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threadedComments/threadedComment3.xml" ContentType="application/vnd.ms-excel.threadedcomments+xml"/>
  <Override PartName="/xl/comments18.xml" ContentType="application/vnd.openxmlformats-officedocument.spreadsheetml.comments+xml"/>
  <Override PartName="/xl/threadedComments/threadedComment4.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threadedComments/threadedComment5.xml" ContentType="application/vnd.ms-excel.threaded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threadedComments/threadedComment6.xml" ContentType="application/vnd.ms-excel.threaded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threadedComments/threadedComment7.xml" ContentType="application/vnd.ms-excel.threadedcomments+xml"/>
  <Override PartName="/xl/comments37.xml" ContentType="application/vnd.openxmlformats-officedocument.spreadsheetml.comments+xml"/>
  <Override PartName="/xl/comments38.xml" ContentType="application/vnd.openxmlformats-officedocument.spreadsheetml.comments+xml"/>
  <Override PartName="/xl/comments39.xml" ContentType="application/vnd.openxmlformats-officedocument.spreadsheetml.comments+xml"/>
  <Override PartName="/xl/threadedComments/threadedComment8.xml" ContentType="application/vnd.ms-excel.threadedcomments+xml"/>
  <Override PartName="/xl/comments40.xml" ContentType="application/vnd.openxmlformats-officedocument.spreadsheetml.comments+xml"/>
  <Override PartName="/xl/comments41.xml" ContentType="application/vnd.openxmlformats-officedocument.spreadsheetml.comments+xml"/>
  <Override PartName="/xl/comments42.xml" ContentType="application/vnd.openxmlformats-officedocument.spreadsheetml.comments+xml"/>
  <Override PartName="/xl/comments43.xml" ContentType="application/vnd.openxmlformats-officedocument.spreadsheetml.comments+xml"/>
  <Override PartName="/xl/threadedComments/threadedComment9.xml" ContentType="application/vnd.ms-excel.threadedcomments+xml"/>
  <Override PartName="/xl/comments44.xml" ContentType="application/vnd.openxmlformats-officedocument.spreadsheetml.comments+xml"/>
  <Override PartName="/xl/threadedComments/threadedComment10.xml" ContentType="application/vnd.ms-excel.threadedcomments+xml"/>
  <Override PartName="/xl/comments45.xml" ContentType="application/vnd.openxmlformats-officedocument.spreadsheetml.comments+xml"/>
  <Override PartName="/xl/threadedComments/threadedComment11.xml" ContentType="application/vnd.ms-excel.threadedcomments+xml"/>
  <Override PartName="/xl/comments46.xml" ContentType="application/vnd.openxmlformats-officedocument.spreadsheetml.comments+xml"/>
  <Override PartName="/xl/comments47.xml" ContentType="application/vnd.openxmlformats-officedocument.spreadsheetml.comments+xml"/>
  <Override PartName="/xl/comments48.xml" ContentType="application/vnd.openxmlformats-officedocument.spreadsheetml.comments+xml"/>
  <Override PartName="/xl/threadedComments/threadedComment12.xml" ContentType="application/vnd.ms-excel.threadedcomments+xml"/>
  <Override PartName="/xl/comments49.xml" ContentType="application/vnd.openxmlformats-officedocument.spreadsheetml.comments+xml"/>
  <Override PartName="/xl/comments50.xml" ContentType="application/vnd.openxmlformats-officedocument.spreadsheetml.comments+xml"/>
  <Override PartName="/xl/comments51.xml" ContentType="application/vnd.openxmlformats-officedocument.spreadsheetml.comments+xml"/>
  <Override PartName="/xl/comments52.xml" ContentType="application/vnd.openxmlformats-officedocument.spreadsheetml.comments+xml"/>
  <Override PartName="/xl/comments53.xml" ContentType="application/vnd.openxmlformats-officedocument.spreadsheetml.comments+xml"/>
  <Override PartName="/xl/comments54.xml" ContentType="application/vnd.openxmlformats-officedocument.spreadsheetml.comments+xml"/>
  <Override PartName="/xl/threadedComments/threadedComment13.xml" ContentType="application/vnd.ms-excel.threadedcomments+xml"/>
  <Override PartName="/xl/comments55.xml" ContentType="application/vnd.openxmlformats-officedocument.spreadsheetml.comments+xml"/>
  <Override PartName="/xl/threadedComments/threadedComment14.xml" ContentType="application/vnd.ms-excel.threadedcomments+xml"/>
  <Override PartName="/xl/comments56.xml" ContentType="application/vnd.openxmlformats-officedocument.spreadsheetml.comments+xml"/>
  <Override PartName="/xl/threadedComments/threadedComment15.xml" ContentType="application/vnd.ms-excel.threadedcomments+xml"/>
  <Override PartName="/xl/comments57.xml" ContentType="application/vnd.openxmlformats-officedocument.spreadsheetml.comments+xml"/>
  <Override PartName="/xl/threadedComments/threadedComment16.xml" ContentType="application/vnd.ms-excel.threadedcomments+xml"/>
  <Override PartName="/xl/comments58.xml" ContentType="application/vnd.openxmlformats-officedocument.spreadsheetml.comments+xml"/>
  <Override PartName="/xl/threadedComments/threadedComment17.xml" ContentType="application/vnd.ms-excel.threadedcomments+xml"/>
  <Override PartName="/xl/comments59.xml" ContentType="application/vnd.openxmlformats-officedocument.spreadsheetml.comments+xml"/>
  <Override PartName="/xl/threadedComments/threadedComment18.xml" ContentType="application/vnd.ms-excel.threadedcomments+xml"/>
  <Override PartName="/xl/comments60.xml" ContentType="application/vnd.openxmlformats-officedocument.spreadsheetml.comments+xml"/>
  <Override PartName="/xl/comments61.xml" ContentType="application/vnd.openxmlformats-officedocument.spreadsheetml.comments+xml"/>
  <Override PartName="/xl/comments6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https://octafoodsa-my.sharepoint.com/personal/alshareef_ka_octafoodksa_com/Documents/Octa File/SOPs &amp; Operation/Tokyo Project/Tokyo Files/July W1/"/>
    </mc:Choice>
  </mc:AlternateContent>
  <xr:revisionPtr revIDLastSave="6985" documentId="13_ncr:1_{03E0E7F0-55EC-4BEA-AAA3-7F46A960EAB8}" xr6:coauthVersionLast="47" xr6:coauthVersionMax="47" xr10:uidLastSave="{B79EBD27-0936-41D6-BA14-51E68F3BE6EE}"/>
  <bookViews>
    <workbookView xWindow="-110" yWindow="-110" windowWidth="38620" windowHeight="21220" tabRatio="834" firstSheet="4" activeTab="17" xr2:uid="{00000000-000D-0000-FFFF-FFFF00000000}"/>
  </bookViews>
  <sheets>
    <sheet name="Butchery" sheetId="80" r:id="rId1"/>
    <sheet name="All_Ingredients" sheetId="1" r:id="rId2"/>
    <sheet name="Marination_Ordering" sheetId="2" r:id="rId3"/>
    <sheet name="Curry Chicken" sheetId="3" r:id="rId4"/>
    <sheet name="Kabsa Lahm" sheetId="4" r:id="rId5"/>
    <sheet name="Pan Fried Fish" sheetId="6" r:id="rId6"/>
    <sheet name="Beef Chilli Dry" sheetId="5" r:id="rId7"/>
    <sheet name="Meat with Bamiya" sheetId="7" r:id="rId8"/>
    <sheet name="Chinese Chicken" sheetId="8" r:id="rId9"/>
    <sheet name="Herbal Chicken" sheetId="9" r:id="rId10"/>
    <sheet name="Asian Chicken Sandwich" sheetId="11" r:id="rId11"/>
    <sheet name="Jollof Sauce" sheetId="87" r:id="rId12"/>
    <sheet name="Chicken Mandi (1)" sheetId="10" r:id="rId13"/>
    <sheet name="Asian Potato Cubes" sheetId="89" r:id="rId14"/>
    <sheet name="Herbal Potato Wedges" sheetId="12" r:id="rId15"/>
    <sheet name="Spaghetti pasta" sheetId="82" r:id="rId16"/>
    <sheet name="Sautee Vegetables (1)" sheetId="13" r:id="rId17"/>
    <sheet name="Mached Potato(1)" sheetId="14" r:id="rId18"/>
    <sheet name="Chicken Alfredo" sheetId="15" r:id="rId19"/>
    <sheet name="Fettuccine Pasta Sauce" sheetId="16" r:id="rId20"/>
    <sheet name="Blankwet Shrimp" sheetId="19" r:id="rId21"/>
    <sheet name="Coconut Chicken" sheetId="17" r:id="rId22"/>
    <sheet name="Chicken 65" sheetId="18" r:id="rId23"/>
    <sheet name="Mkhtoum Lahm" sheetId="20" r:id="rId24"/>
    <sheet name="BBQ Chicken Skewers" sheetId="21" r:id="rId25"/>
    <sheet name="Beef Burger" sheetId="22" r:id="rId26"/>
    <sheet name="Beef Zurbian" sheetId="23" r:id="rId27"/>
    <sheet name="Burger Potato Wedges" sheetId="91" r:id="rId28"/>
    <sheet name="Grilled Vegetables(2)" sheetId="24" r:id="rId29"/>
    <sheet name="Almond Chicken" sheetId="25" r:id="rId30"/>
    <sheet name="Chicken Pasta with Vegetable" sheetId="26" r:id="rId31"/>
    <sheet name="Pasta with Vegetable(Pasta)" sheetId="27" r:id="rId32"/>
    <sheet name="Changezi Chicken" sheetId="28" r:id="rId33"/>
    <sheet name="Daoud Basha" sheetId="29" r:id="rId34"/>
    <sheet name="Salmon with cream" sheetId="30" r:id="rId35"/>
    <sheet name="Moussaka Vegi" sheetId="31" r:id="rId36"/>
    <sheet name="Moussaka Meat" sheetId="32" r:id="rId37"/>
    <sheet name="Laham Oriental" sheetId="33" r:id="rId38"/>
    <sheet name="Chicken Saleeq (3)" sheetId="34" r:id="rId39"/>
    <sheet name="Beef Oriental rice" sheetId="92" r:id="rId40"/>
    <sheet name="Chicken Mandi (3)" sheetId="35" r:id="rId41"/>
    <sheet name="Chicken Caesar Salad" sheetId="36" r:id="rId42"/>
    <sheet name="Chicken Fajita" sheetId="37" r:id="rId43"/>
    <sheet name="Mached Potato(3)" sheetId="38" r:id="rId44"/>
    <sheet name="Potato Wedges" sheetId="39" r:id="rId45"/>
    <sheet name="Oven Vegetables (3)" sheetId="40" r:id="rId46"/>
    <sheet name="Chicken Steak Sauce" sheetId="41" r:id="rId47"/>
    <sheet name="Chicken Steak Topping" sheetId="42" r:id="rId48"/>
    <sheet name="Chicken Mushroom" sheetId="43" r:id="rId49"/>
    <sheet name="Stroganoff Beef" sheetId="44" r:id="rId50"/>
    <sheet name="Stroganoff pasta" sheetId="45" r:id="rId51"/>
    <sheet name="Beef Amansi" sheetId="46" r:id="rId52"/>
    <sheet name="Chicken Tikka" sheetId="47" r:id="rId53"/>
    <sheet name="Lahm Fasooliya" sheetId="48" r:id="rId54"/>
    <sheet name="Lemon Shrimp" sheetId="49" r:id="rId55"/>
    <sheet name="Orzo Pasta" sheetId="50" r:id="rId56"/>
    <sheet name="Octa Poki Bowl" sheetId="79" r:id="rId57"/>
    <sheet name="Chicken Makloba" sheetId="51" r:id="rId58"/>
    <sheet name="Makloba Veggi" sheetId="52" r:id="rId59"/>
    <sheet name="BBQ Chicken" sheetId="53" r:id="rId60"/>
    <sheet name="Mached Potato(4)" sheetId="54" r:id="rId61"/>
    <sheet name="Sautee Vegetables (4)" sheetId="55" r:id="rId62"/>
    <sheet name="Sriracha Chicken" sheetId="56" r:id="rId63"/>
    <sheet name="Butter Chicken" sheetId="57" r:id="rId64"/>
    <sheet name="Meat Kebab" sheetId="58" r:id="rId65"/>
    <sheet name="Curry Shrimp" sheetId="59" r:id="rId66"/>
    <sheet name="Kebab Hindi" sheetId="60" r:id="rId67"/>
    <sheet name="Pizziola Chicken" sheetId="61" r:id="rId68"/>
    <sheet name="Lahm Bolognese" sheetId="62" r:id="rId69"/>
    <sheet name="Lasagne Bachamel" sheetId="64" r:id="rId70"/>
    <sheet name="Beef Lasagne Sauce" sheetId="65" r:id="rId71"/>
    <sheet name="Beef Bokhary" sheetId="66" r:id="rId72"/>
    <sheet name="Beef philly cheese steak" sheetId="67" r:id="rId73"/>
    <sheet name="Spaghetti pasta (2)" sheetId="83" r:id="rId74"/>
    <sheet name="Grilled Vegetables(5)" sheetId="68" r:id="rId75"/>
    <sheet name="Sigapore Vegetables" sheetId="86" r:id="rId76"/>
    <sheet name="Mexican Vegetables" sheetId="85" r:id="rId77"/>
    <sheet name="Pink Chicken" sheetId="69" r:id="rId78"/>
    <sheet name="Ginger Chicken" sheetId="70" r:id="rId79"/>
    <sheet name="French Meatball" sheetId="71" r:id="rId80"/>
    <sheet name="Singapore Chicken" sheetId="72" r:id="rId81"/>
    <sheet name="Fish with Shabat and Lemon" sheetId="73" r:id="rId82"/>
    <sheet name="Chicken Molokeya" sheetId="74" r:id="rId83"/>
    <sheet name="Beef Kebab Sandwich" sheetId="75" r:id="rId84"/>
    <sheet name="Chicken Saleeq (6)" sheetId="77" r:id="rId85"/>
    <sheet name="Beef Kabli" sheetId="88" r:id="rId86"/>
    <sheet name="Spaghetti pasta (3)" sheetId="84" r:id="rId87"/>
    <sheet name="Oven Vegetables (6)" sheetId="78" r:id="rId88"/>
  </sheets>
  <functionGroups builtInGroupCount="19"/>
  <definedNames>
    <definedName name="_xlnm._FilterDatabase" localSheetId="1" hidden="1">All_Ingredients!$A$1:$O$301</definedName>
    <definedName name="_xlnm._FilterDatabase" localSheetId="0" hidden="1">Butchery!$A$2:$E$155</definedName>
    <definedName name="_xlnm._FilterDatabase" localSheetId="2" hidden="1">Marination_Ordering!$A$1:$O$68</definedName>
    <definedName name="_xleta.COUNTIF" localSheetId="13" hidden="1">none</definedName>
    <definedName name="_xleta.COUNTIF" localSheetId="85" hidden="1">none</definedName>
    <definedName name="_xleta.COUNTIF" localSheetId="39" hidden="1">none</definedName>
    <definedName name="_xleta.COUNTIF" localSheetId="27" hidden="1">none</definedName>
    <definedName name="_xleta.COUNTIF" localSheetId="11" hidden="1">none</definedName>
    <definedName name="_xleta.COUNTIF" localSheetId="56" hidden="1">none</definedName>
    <definedName name="_xleta.COUNTIF" localSheetId="73" hidden="1">none</definedName>
    <definedName name="_xleta.COUNTIF" localSheetId="86" hidden="1">none</definedName>
    <definedName name="_xleta.COUNTIF" hidden="1">none</definedName>
    <definedName name="_xleta.IF" localSheetId="13" hidden="1">none</definedName>
    <definedName name="_xleta.IF" localSheetId="85" hidden="1">none</definedName>
    <definedName name="_xleta.IF" localSheetId="39" hidden="1">none</definedName>
    <definedName name="_xleta.IF" localSheetId="27" hidden="1">none</definedName>
    <definedName name="_xleta.IF" localSheetId="11" hidden="1">none</definedName>
    <definedName name="_xleta.IF" localSheetId="56" hidden="1">none</definedName>
    <definedName name="_xleta.IF" localSheetId="73" hidden="1">none</definedName>
    <definedName name="_xleta.IF" localSheetId="86" hidden="1">none</definedName>
    <definedName name="_xleta.IF" hidden="1">none</definedName>
    <definedName name="_xleta.MAX" localSheetId="13" hidden="1">none</definedName>
    <definedName name="_xleta.MAX" localSheetId="85" hidden="1">none</definedName>
    <definedName name="_xleta.MAX" localSheetId="39" hidden="1">none</definedName>
    <definedName name="_xleta.MAX" localSheetId="27" hidden="1">none</definedName>
    <definedName name="_xleta.MAX" localSheetId="11" hidden="1">none</definedName>
    <definedName name="_xleta.MAX" localSheetId="56" hidden="1">none</definedName>
    <definedName name="_xleta.MAX" localSheetId="73" hidden="1">none</definedName>
    <definedName name="_xleta.MAX" localSheetId="86" hidden="1">none</definedName>
    <definedName name="_xleta.MAX" hidden="1">none</definedName>
    <definedName name="_xleta.MIN" localSheetId="13" hidden="1">none</definedName>
    <definedName name="_xleta.MIN" localSheetId="85" hidden="1">none</definedName>
    <definedName name="_xleta.MIN" localSheetId="39" hidden="1">none</definedName>
    <definedName name="_xleta.MIN" localSheetId="27" hidden="1">none</definedName>
    <definedName name="_xleta.MIN" localSheetId="11" hidden="1">none</definedName>
    <definedName name="_xleta.MIN" localSheetId="56" hidden="1">none</definedName>
    <definedName name="_xleta.MIN" localSheetId="73" hidden="1">none</definedName>
    <definedName name="_xleta.MIN" localSheetId="86" hidden="1">none</definedName>
    <definedName name="_xleta.MIN" hidden="1">none</definedName>
    <definedName name="_xleta.N" localSheetId="13" hidden="1">none</definedName>
    <definedName name="_xleta.N" localSheetId="85" hidden="1">none</definedName>
    <definedName name="_xleta.N" localSheetId="39" hidden="1">none</definedName>
    <definedName name="_xleta.N" localSheetId="27" hidden="1">none</definedName>
    <definedName name="_xleta.N" localSheetId="11" hidden="1">none</definedName>
    <definedName name="_xleta.N" localSheetId="56" hidden="1">none</definedName>
    <definedName name="_xleta.N" localSheetId="73" hidden="1">none</definedName>
    <definedName name="_xleta.N" localSheetId="86" hidden="1">none</definedName>
    <definedName name="_xleta.N" hidden="1">none</definedName>
    <definedName name="_xleta.SUM" localSheetId="13" hidden="1">none</definedName>
    <definedName name="_xleta.SUM" localSheetId="85" hidden="1">none</definedName>
    <definedName name="_xleta.SUM" localSheetId="27" hidden="1">none</definedName>
    <definedName name="_xleta.SUM" localSheetId="11" hidden="1">none</definedName>
    <definedName name="_xleta.SUM" localSheetId="56" hidden="1">none</definedName>
    <definedName name="_xleta.SUM" localSheetId="73" hidden="1">none</definedName>
    <definedName name="_xleta.SUM" localSheetId="86" hidden="1">none</definedName>
    <definedName name="_xleta.SUM" hidden="1">none</definedName>
    <definedName name="_xleta.SUMPRODUCT" hidden="1" xlm="1">#NAME?</definedName>
    <definedName name="_xleta.T" localSheetId="13" hidden="1">none</definedName>
    <definedName name="_xleta.T" localSheetId="85" hidden="1">none</definedName>
    <definedName name="_xleta.T" localSheetId="39" hidden="1">none</definedName>
    <definedName name="_xleta.T" localSheetId="27" hidden="1">none</definedName>
    <definedName name="_xleta.T" localSheetId="11" hidden="1">none</definedName>
    <definedName name="_xleta.T" localSheetId="56" hidden="1">none</definedName>
    <definedName name="_xleta.T" localSheetId="73" hidden="1">none</definedName>
    <definedName name="_xleta.T" localSheetId="86" hidden="1">none</definedName>
    <definedName name="_xleta.T" hidden="1">none</definedName>
    <definedName name="_xlpm.s" localSheetId="13" hidden="1">none</definedName>
    <definedName name="_xlpm.s" localSheetId="85" hidden="1">none</definedName>
    <definedName name="_xlpm.s" localSheetId="39" hidden="1">none</definedName>
    <definedName name="_xlpm.s" localSheetId="27" hidden="1">none</definedName>
    <definedName name="_xlpm.s" localSheetId="11" hidden="1">none</definedName>
    <definedName name="_xlpm.s" localSheetId="56" hidden="1">none</definedName>
    <definedName name="_xlpm.s" localSheetId="73" hidden="1">none</definedName>
    <definedName name="_xlpm.s" localSheetId="86" hidden="1">none</definedName>
    <definedName name="_xlpm.s" hidden="1">none</definedName>
    <definedName name="_xlnm.Print_Area" localSheetId="29">'Almond Chicken'!$A$62:$P$79</definedName>
    <definedName name="_xlnm.Print_Area" localSheetId="10">'Asian Chicken Sandwich'!$A$62:$P$75</definedName>
    <definedName name="_xlnm.Print_Area" localSheetId="13">'Asian Potato Cubes'!$A$64:$P$103</definedName>
    <definedName name="_xlnm.Print_Area" localSheetId="59">'BBQ Chicken'!$A$62:$P$70</definedName>
    <definedName name="_xlnm.Print_Area" localSheetId="24">'BBQ Chicken Skewers'!$A$62:$P$77</definedName>
    <definedName name="_xlnm.Print_Area" localSheetId="51">'Beef Amansi'!$A$62:$P$75</definedName>
    <definedName name="_xlnm.Print_Area" localSheetId="71">'Beef Bokhary'!$A$62:$P$158</definedName>
    <definedName name="_xlnm.Print_Area" localSheetId="25">'Beef Burger'!$A$62:$P$74</definedName>
    <definedName name="_xlnm.Print_Area" localSheetId="6">'Beef Chilli Dry'!$A$62:$P$90</definedName>
    <definedName name="_xlnm.Print_Area" localSheetId="85">'Beef Kabli'!$A$62:$P$145</definedName>
    <definedName name="_xlnm.Print_Area" localSheetId="83">'Beef Kebab Sandwich'!$A$62:$P$92</definedName>
    <definedName name="_xlnm.Print_Area" localSheetId="70">'Beef Lasagne Sauce'!$A$62:$P$143</definedName>
    <definedName name="_xlnm.Print_Area" localSheetId="72">'Beef philly cheese steak'!$A$62:$P$93</definedName>
    <definedName name="_xlnm.Print_Area" localSheetId="26">'Beef Zurbian'!$A$62:$P$120</definedName>
    <definedName name="_xlnm.Print_Area" localSheetId="20">'Blankwet Shrimp'!$A$62:$P$99</definedName>
    <definedName name="_xlnm.Print_Area" localSheetId="27">'Burger Potato Wedges'!$A$62:$P$101</definedName>
    <definedName name="_xlnm.Print_Area" localSheetId="0">Butchery!$A$62:$R$104</definedName>
    <definedName name="_xlnm.Print_Area" localSheetId="63">'Butter Chicken'!$A$62:$H$143</definedName>
    <definedName name="_xlnm.Print_Area" localSheetId="32">'Changezi Chicken'!$A$62:$P$110</definedName>
    <definedName name="_xlnm.Print_Area" localSheetId="22">'Chicken 65'!$A$62:$P$105</definedName>
    <definedName name="_xlnm.Print_Area" localSheetId="18">'Chicken Alfredo'!$A$62:$P$121</definedName>
    <definedName name="_xlnm.Print_Area" localSheetId="42">'Chicken Fajita'!$A$62:$P$72</definedName>
    <definedName name="_xlnm.Print_Area" localSheetId="57">'Chicken Makloba'!$A$62:$P$117</definedName>
    <definedName name="_xlnm.Print_Area" localSheetId="12">'Chicken Mandi (1)'!$A$62:$P$104</definedName>
    <definedName name="_xlnm.Print_Area" localSheetId="40">'Chicken Mandi (3)'!$A$62:$P$93</definedName>
    <definedName name="_xlnm.Print_Area" localSheetId="82">'Chicken Molokeya'!$A$62:$P$129</definedName>
    <definedName name="_xlnm.Print_Area" localSheetId="48">'Chicken Mushroom'!$A$62:$P$96</definedName>
    <definedName name="_xlnm.Print_Area" localSheetId="30">'Chicken Pasta with Vegetable'!$A$62:$P$80</definedName>
    <definedName name="_xlnm.Print_Area" localSheetId="38">'Chicken Saleeq (3)'!$A$62:$P$96</definedName>
    <definedName name="_xlnm.Print_Area" localSheetId="84">'Chicken Saleeq (6)'!$A$62:$P$96</definedName>
    <definedName name="_xlnm.Print_Area" localSheetId="46">'Chicken Steak Sauce'!$A$62:$P$90</definedName>
    <definedName name="_xlnm.Print_Area" localSheetId="47">'Chicken Steak Topping'!$A$62:$P$86</definedName>
    <definedName name="_xlnm.Print_Area" localSheetId="52">'Chicken Tikka'!$A$62:$P$105</definedName>
    <definedName name="_xlnm.Print_Area" localSheetId="8">'Chinese Chicken'!$A$62:$P$108</definedName>
    <definedName name="_xlnm.Print_Area" localSheetId="21">'Coconut Chicken'!$A$62:$P$119</definedName>
    <definedName name="_xlnm.Print_Area" localSheetId="3">'Curry Chicken'!$A$62:$P$134</definedName>
    <definedName name="_xlnm.Print_Area" localSheetId="65">'Curry Shrimp'!$A$62:$P$105</definedName>
    <definedName name="_xlnm.Print_Area" localSheetId="33">'Daoud Basha'!$A$62:$P$124</definedName>
    <definedName name="_xlnm.Print_Area" localSheetId="19">'Fettuccine Pasta Sauce'!$A$62:$P$122</definedName>
    <definedName name="_xlnm.Print_Area" localSheetId="81">'Fish with Shabat and Lemon'!$A$62:$P$70</definedName>
    <definedName name="_xlnm.Print_Area" localSheetId="79">'French Meatball'!$A$62:$P$92</definedName>
    <definedName name="_xlnm.Print_Area" localSheetId="78">'Ginger Chicken'!$A$62:$P$134</definedName>
    <definedName name="_xlnm.Print_Area" localSheetId="28">'Grilled Vegetables(2)'!$A$62:$P$103</definedName>
    <definedName name="_xlnm.Print_Area" localSheetId="74">'Grilled Vegetables(5)'!$A$62:$P$104</definedName>
    <definedName name="_xlnm.Print_Area" localSheetId="9">'Herbal Chicken'!$A$62:$P$104</definedName>
    <definedName name="_xlnm.Print_Area" localSheetId="14">'Herbal Potato Wedges'!$A$62:$P$101</definedName>
    <definedName name="_xlnm.Print_Area" localSheetId="4">'Kabsa Lahm'!$A$62:$P$169</definedName>
    <definedName name="_xlnm.Print_Area" localSheetId="66">'Kebab Hindi'!$A$62:$P$96</definedName>
    <definedName name="_xlnm.Print_Area" localSheetId="37">'Laham Oriental'!$A$62:$P$113</definedName>
    <definedName name="_xlnm.Print_Area" localSheetId="68">'Lahm Bolognese'!$A$62:$P$83</definedName>
    <definedName name="_xlnm.Print_Area" localSheetId="53">'Lahm Fasooliya'!$A$62:$P$99</definedName>
    <definedName name="_xlnm.Print_Area" localSheetId="69">'Lasagne Bachamel'!$A$62:$P$169</definedName>
    <definedName name="_xlnm.Print_Area" localSheetId="54">'Lemon Shrimp'!$A$62:$P$97</definedName>
    <definedName name="_xlnm.Print_Area" localSheetId="17">'Mached Potato(1)'!$A$62:$P$126</definedName>
    <definedName name="_xlnm.Print_Area" localSheetId="43">'Mached Potato(3)'!$A$62:$P$155</definedName>
    <definedName name="_xlnm.Print_Area" localSheetId="60">'Mached Potato(4)'!$A$62:$P$127</definedName>
    <definedName name="_xlnm.Print_Area" localSheetId="64">'Meat Kebab'!$A$62:$P$107</definedName>
    <definedName name="_xlnm.Print_Area" localSheetId="7">'Meat with Bamiya'!$A$62:$P$123</definedName>
    <definedName name="_xlnm.Print_Area" localSheetId="23">'Mkhtoum Lahm'!$A$62:$P$122</definedName>
    <definedName name="_xlnm.Print_Area" localSheetId="36">'Moussaka Meat'!$A$62:$P$80</definedName>
    <definedName name="_xlnm.Print_Area" localSheetId="35">'Moussaka Vegi'!$A$62:$P$84</definedName>
    <definedName name="_xlnm.Print_Area" localSheetId="56">'Octa Poki Bowl'!$A$62:$P$75</definedName>
    <definedName name="_xlnm.Print_Area" localSheetId="55">'Orzo Pasta'!$A$62:$P$104</definedName>
    <definedName name="_xlnm.Print_Area" localSheetId="45">'Oven Vegetables (3)'!$A$62:$P$108</definedName>
    <definedName name="_xlnm.Print_Area" localSheetId="87">'Oven Vegetables (6)'!$A$62:$P$104</definedName>
    <definedName name="_xlnm.Print_Area" localSheetId="5">'Pan Fried Fish'!$A$62:$P$71</definedName>
    <definedName name="_xlnm.Print_Area" localSheetId="31">'Pasta with Vegetable(Pasta)'!$A$62:$P$102</definedName>
    <definedName name="_xlnm.Print_Area" localSheetId="77">'Pink Chicken'!$A$62:$P$109</definedName>
    <definedName name="_xlnm.Print_Area" localSheetId="67">'Pizziola Chicken'!$A$62:$P$81</definedName>
    <definedName name="_xlnm.Print_Area" localSheetId="44">'Potato Wedges'!$A$62:$P$125</definedName>
    <definedName name="_xlnm.Print_Area" localSheetId="34">'Salmon with cream'!$A$62:$P$88</definedName>
    <definedName name="_xlnm.Print_Area" localSheetId="16">'Sautee Vegetables (1)'!$A$62:$P$105</definedName>
    <definedName name="_xlnm.Print_Area" localSheetId="61">'Sautee Vegetables (4)'!$A$62:$P$106</definedName>
    <definedName name="_xlnm.Print_Area" localSheetId="80">'Singapore Chicken'!$A$62:$P$116</definedName>
    <definedName name="_xlnm.Print_Area" localSheetId="62">'Sriracha Chicken'!$A$62:$H$100</definedName>
    <definedName name="_xlnm.Print_Area" localSheetId="49">'Stroganoff Beef'!$A$62:$P$105</definedName>
    <definedName name="_xlnm.Print_Area" localSheetId="50">'Stroganoff pasta'!$A$62:$P$127</definedName>
    <definedName name="SheetList" localSheetId="13">none</definedName>
    <definedName name="SheetList" localSheetId="85">none</definedName>
    <definedName name="SheetList" localSheetId="39">none</definedName>
    <definedName name="SheetList" localSheetId="27">none</definedName>
    <definedName name="SheetList" localSheetId="11">none</definedName>
    <definedName name="SheetList" localSheetId="56">none</definedName>
    <definedName name="SheetList" localSheetId="73">none</definedName>
    <definedName name="SheetList" localSheetId="86">none</definedName>
    <definedName name="SheetList">none</definedName>
    <definedName name="ww" localSheetId="27" hidden="1">none</definedName>
    <definedName name="ww" hidden="1">none</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 i="14" l="1"/>
  <c r="O1" i="14"/>
  <c r="U32" i="28"/>
  <c r="S32" i="28"/>
  <c r="T32" i="28"/>
  <c r="T29" i="28"/>
  <c r="R44" i="28"/>
  <c r="S30" i="37"/>
  <c r="S28" i="37"/>
  <c r="T28" i="37"/>
  <c r="T30" i="37"/>
  <c r="U30" i="37"/>
  <c r="L55" i="2"/>
  <c r="L58" i="2"/>
  <c r="B131" i="4"/>
  <c r="C131" i="4"/>
  <c r="D131" i="4"/>
  <c r="F131" i="4"/>
  <c r="B128" i="4"/>
  <c r="C128" i="4"/>
  <c r="D128" i="4"/>
  <c r="F128" i="4"/>
  <c r="B129" i="4"/>
  <c r="C129" i="4"/>
  <c r="D129" i="4"/>
  <c r="F129" i="4"/>
  <c r="B130" i="4"/>
  <c r="C130" i="4"/>
  <c r="D130" i="4"/>
  <c r="F130" i="4"/>
  <c r="B109" i="4"/>
  <c r="C109" i="4"/>
  <c r="D109" i="4"/>
  <c r="F109" i="4"/>
  <c r="B110" i="4"/>
  <c r="C110" i="4"/>
  <c r="D110" i="4"/>
  <c r="F110" i="4"/>
  <c r="B111" i="4"/>
  <c r="C111" i="4"/>
  <c r="D111" i="4"/>
  <c r="F111" i="4"/>
  <c r="B112" i="4"/>
  <c r="C112" i="4"/>
  <c r="D112" i="4"/>
  <c r="F112" i="4"/>
  <c r="B89" i="4"/>
  <c r="C89" i="4"/>
  <c r="D89" i="4"/>
  <c r="F89" i="4"/>
  <c r="B90" i="4"/>
  <c r="C90" i="4"/>
  <c r="D90" i="4"/>
  <c r="F90" i="4"/>
  <c r="B91" i="4"/>
  <c r="C91" i="4"/>
  <c r="D91" i="4"/>
  <c r="F91" i="4"/>
  <c r="B92" i="4"/>
  <c r="C92" i="4"/>
  <c r="D92" i="4"/>
  <c r="F92" i="4"/>
  <c r="B71" i="4"/>
  <c r="C71" i="4"/>
  <c r="D71" i="4"/>
  <c r="F71" i="4"/>
  <c r="B72" i="4"/>
  <c r="C72" i="4"/>
  <c r="D72" i="4"/>
  <c r="F72" i="4"/>
  <c r="B73" i="4"/>
  <c r="C73" i="4"/>
  <c r="D73" i="4"/>
  <c r="F73" i="4"/>
  <c r="B74" i="4"/>
  <c r="C74" i="4"/>
  <c r="D74" i="4"/>
  <c r="F74" i="4"/>
  <c r="I15" i="4"/>
  <c r="I16" i="4"/>
  <c r="L94" i="1"/>
  <c r="L82" i="1"/>
  <c r="O82" i="1" s="1"/>
  <c r="K82" i="1"/>
  <c r="N82" i="1" s="1"/>
  <c r="J82" i="1"/>
  <c r="C49" i="4"/>
  <c r="K1" i="12"/>
  <c r="E37" i="61"/>
  <c r="I39" i="61"/>
  <c r="E39" i="61"/>
  <c r="F39" i="61" s="1"/>
  <c r="H39" i="61" s="1"/>
  <c r="I38" i="61"/>
  <c r="E38" i="61"/>
  <c r="F38" i="61" s="1"/>
  <c r="H38" i="61" s="1"/>
  <c r="I37" i="61"/>
  <c r="F37" i="61"/>
  <c r="H37" i="61" s="1"/>
  <c r="D6" i="75"/>
  <c r="D5" i="75"/>
  <c r="I37" i="75"/>
  <c r="E37" i="75"/>
  <c r="F37" i="75" s="1"/>
  <c r="H37" i="75" s="1"/>
  <c r="F121" i="4"/>
  <c r="F122" i="4"/>
  <c r="F123" i="4"/>
  <c r="F124" i="4"/>
  <c r="F125" i="4"/>
  <c r="F126" i="4"/>
  <c r="F127" i="4"/>
  <c r="B121" i="4"/>
  <c r="C121" i="4"/>
  <c r="D121" i="4"/>
  <c r="B122" i="4"/>
  <c r="C122" i="4"/>
  <c r="D122" i="4"/>
  <c r="B123" i="4"/>
  <c r="C123" i="4"/>
  <c r="D123" i="4"/>
  <c r="B124" i="4"/>
  <c r="C124" i="4"/>
  <c r="D124" i="4"/>
  <c r="B125" i="4"/>
  <c r="C125" i="4"/>
  <c r="D125" i="4"/>
  <c r="B126" i="4"/>
  <c r="C126" i="4"/>
  <c r="D126" i="4"/>
  <c r="B127" i="4"/>
  <c r="C127" i="4"/>
  <c r="D127" i="4"/>
  <c r="F102" i="4"/>
  <c r="F103" i="4"/>
  <c r="F104" i="4"/>
  <c r="F105" i="4"/>
  <c r="F106" i="4"/>
  <c r="F107" i="4"/>
  <c r="F108" i="4"/>
  <c r="B102" i="4"/>
  <c r="C102" i="4"/>
  <c r="D102" i="4"/>
  <c r="B103" i="4"/>
  <c r="C103" i="4"/>
  <c r="D103" i="4"/>
  <c r="B104" i="4"/>
  <c r="C104" i="4"/>
  <c r="D104" i="4"/>
  <c r="B105" i="4"/>
  <c r="C105" i="4"/>
  <c r="D105" i="4"/>
  <c r="B106" i="4"/>
  <c r="C106" i="4"/>
  <c r="D106" i="4"/>
  <c r="B107" i="4"/>
  <c r="C107" i="4"/>
  <c r="D107" i="4"/>
  <c r="B108" i="4"/>
  <c r="C108" i="4"/>
  <c r="D108" i="4"/>
  <c r="F82" i="4"/>
  <c r="F83" i="4"/>
  <c r="F84" i="4"/>
  <c r="F85" i="4"/>
  <c r="F86" i="4"/>
  <c r="F87" i="4"/>
  <c r="F88" i="4"/>
  <c r="B82" i="4"/>
  <c r="C82" i="4"/>
  <c r="D82" i="4"/>
  <c r="B83" i="4"/>
  <c r="C83" i="4"/>
  <c r="D83" i="4"/>
  <c r="B84" i="4"/>
  <c r="C84" i="4"/>
  <c r="D84" i="4"/>
  <c r="B85" i="4"/>
  <c r="C85" i="4"/>
  <c r="D85" i="4"/>
  <c r="B86" i="4"/>
  <c r="C86" i="4"/>
  <c r="D86" i="4"/>
  <c r="B87" i="4"/>
  <c r="C87" i="4"/>
  <c r="D87" i="4"/>
  <c r="B88" i="4"/>
  <c r="C88" i="4"/>
  <c r="D88" i="4"/>
  <c r="F64" i="4"/>
  <c r="F65" i="4"/>
  <c r="F66" i="4"/>
  <c r="F67" i="4"/>
  <c r="F68" i="4"/>
  <c r="F69" i="4"/>
  <c r="F70" i="4"/>
  <c r="B64" i="4"/>
  <c r="C64" i="4"/>
  <c r="D64" i="4"/>
  <c r="B65" i="4"/>
  <c r="C65" i="4"/>
  <c r="D65" i="4"/>
  <c r="B66" i="4"/>
  <c r="C66" i="4"/>
  <c r="D66" i="4"/>
  <c r="B67" i="4"/>
  <c r="C67" i="4"/>
  <c r="D67" i="4"/>
  <c r="B68" i="4"/>
  <c r="C68" i="4"/>
  <c r="D68" i="4"/>
  <c r="B69" i="4"/>
  <c r="C69" i="4"/>
  <c r="D69" i="4"/>
  <c r="B70" i="4"/>
  <c r="C70" i="4"/>
  <c r="D70" i="4"/>
  <c r="F101" i="71"/>
  <c r="F102" i="71"/>
  <c r="F103" i="71"/>
  <c r="F104" i="71"/>
  <c r="F105" i="71"/>
  <c r="F106" i="71"/>
  <c r="F107" i="71"/>
  <c r="F108" i="71"/>
  <c r="F109" i="71"/>
  <c r="F110" i="71"/>
  <c r="F100" i="71"/>
  <c r="B101" i="71"/>
  <c r="C101" i="71"/>
  <c r="D101" i="71"/>
  <c r="B102" i="71"/>
  <c r="C102" i="71"/>
  <c r="D102" i="71"/>
  <c r="B103" i="71"/>
  <c r="C103" i="71"/>
  <c r="D103" i="71"/>
  <c r="B104" i="71"/>
  <c r="C104" i="71"/>
  <c r="D104" i="71"/>
  <c r="B105" i="71"/>
  <c r="C105" i="71"/>
  <c r="D105" i="71"/>
  <c r="B106" i="71"/>
  <c r="C106" i="71"/>
  <c r="D106" i="71"/>
  <c r="B107" i="71"/>
  <c r="C107" i="71"/>
  <c r="D107" i="71"/>
  <c r="B108" i="71"/>
  <c r="C108" i="71"/>
  <c r="D108" i="71"/>
  <c r="B109" i="71"/>
  <c r="C109" i="71"/>
  <c r="D109" i="71"/>
  <c r="B110" i="71"/>
  <c r="C110" i="71"/>
  <c r="D110" i="71"/>
  <c r="C100" i="71"/>
  <c r="B100" i="71"/>
  <c r="I13" i="75"/>
  <c r="AB28" i="74"/>
  <c r="V35" i="74"/>
  <c r="V32" i="74"/>
  <c r="V28" i="74"/>
  <c r="AC28" i="73"/>
  <c r="W28" i="73"/>
  <c r="W35" i="73"/>
  <c r="W32" i="73"/>
  <c r="AC28" i="72"/>
  <c r="AD28" i="72"/>
  <c r="AB28" i="71"/>
  <c r="AD28" i="71"/>
  <c r="AC28" i="71"/>
  <c r="AC28" i="70"/>
  <c r="AD28" i="70"/>
  <c r="AC28" i="69"/>
  <c r="AD28" i="69"/>
  <c r="AC28" i="65"/>
  <c r="AB28" i="65"/>
  <c r="AB28" i="62"/>
  <c r="AD28" i="60"/>
  <c r="AC28" i="60"/>
  <c r="AB28" i="60"/>
  <c r="AB28" i="59"/>
  <c r="AB28" i="58"/>
  <c r="W35" i="58"/>
  <c r="W32" i="58"/>
  <c r="W28" i="58"/>
  <c r="AD28" i="57"/>
  <c r="AC28" i="57"/>
  <c r="V40" i="56"/>
  <c r="K37" i="75" l="1"/>
  <c r="K38" i="61"/>
  <c r="K39" i="61"/>
  <c r="K37" i="61"/>
  <c r="W28" i="61"/>
  <c r="W32" i="61" s="1"/>
  <c r="AB28" i="56"/>
  <c r="AC28" i="56"/>
  <c r="AE28" i="56"/>
  <c r="W28" i="53"/>
  <c r="Z55" i="52"/>
  <c r="Z54" i="52"/>
  <c r="Z53" i="52"/>
  <c r="Z52" i="52"/>
  <c r="AA55" i="52"/>
  <c r="U33" i="51"/>
  <c r="U28" i="51"/>
  <c r="U30" i="51" s="1"/>
  <c r="AB28" i="79"/>
  <c r="AA28" i="79"/>
  <c r="S28" i="79"/>
  <c r="T28" i="79" s="1"/>
  <c r="AB28" i="50"/>
  <c r="AB28" i="49" l="1"/>
  <c r="AB28" i="48"/>
  <c r="AC28" i="48"/>
  <c r="AB28" i="46"/>
  <c r="AC28" i="45"/>
  <c r="AB28" i="45"/>
  <c r="AA28" i="45"/>
  <c r="AB28" i="44"/>
  <c r="AD28" i="44" s="1"/>
  <c r="AB29" i="44" s="1"/>
  <c r="AD28" i="43"/>
  <c r="AC28" i="43"/>
  <c r="AB28" i="43"/>
  <c r="I37" i="43"/>
  <c r="AC28" i="41"/>
  <c r="U28" i="37"/>
  <c r="AQ13" i="36"/>
  <c r="AQ12" i="36"/>
  <c r="AQ11" i="36"/>
  <c r="AQ10" i="36"/>
  <c r="AQ9" i="36"/>
  <c r="AQ8" i="36"/>
  <c r="AQ7" i="36"/>
  <c r="AQ6" i="36"/>
  <c r="AA28" i="36"/>
  <c r="AC28" i="36" s="1"/>
  <c r="AC29" i="36" s="1"/>
  <c r="U28" i="34"/>
  <c r="U33" i="34"/>
  <c r="U30" i="34"/>
  <c r="AB28" i="33"/>
  <c r="AB28" i="32"/>
  <c r="AA28" i="32"/>
  <c r="AC28" i="27"/>
  <c r="AB28" i="27"/>
  <c r="AA28" i="27"/>
  <c r="AC28" i="26"/>
  <c r="AB28" i="26"/>
  <c r="AC28" i="25"/>
  <c r="AB28" i="25"/>
  <c r="X28" i="22"/>
  <c r="AC28" i="21"/>
  <c r="W35" i="21"/>
  <c r="W32" i="21"/>
  <c r="W28" i="21"/>
  <c r="AA25" i="20"/>
  <c r="AF1" i="75"/>
  <c r="AC30" i="75" s="1"/>
  <c r="AF1" i="67"/>
  <c r="AC30" i="67" s="1"/>
  <c r="AF1" i="53"/>
  <c r="AF1" i="37"/>
  <c r="AD30" i="37" s="1"/>
  <c r="AF1" i="22"/>
  <c r="AB28" i="20"/>
  <c r="AC28" i="20"/>
  <c r="AD28" i="17"/>
  <c r="D5" i="19"/>
  <c r="AA28" i="19"/>
  <c r="AF1" i="11"/>
  <c r="AA25" i="89"/>
  <c r="S30" i="6"/>
  <c r="T30" i="6" s="1"/>
  <c r="AD28" i="6"/>
  <c r="S9" i="54"/>
  <c r="P13" i="55"/>
  <c r="Q13" i="55"/>
  <c r="R13" i="55"/>
  <c r="S13" i="55"/>
  <c r="O13" i="55"/>
  <c r="T13" i="55" s="1"/>
  <c r="S16" i="55" s="1"/>
  <c r="D51" i="87"/>
  <c r="C51" i="87"/>
  <c r="R15" i="82"/>
  <c r="Q15" i="82"/>
  <c r="S15" i="14"/>
  <c r="R15" i="14"/>
  <c r="AA28" i="10"/>
  <c r="AC28" i="10" s="1"/>
  <c r="I16" i="67"/>
  <c r="G16" i="67"/>
  <c r="H16" i="67" s="1"/>
  <c r="W28" i="67" s="1"/>
  <c r="E16" i="67"/>
  <c r="I13" i="37"/>
  <c r="G13" i="37"/>
  <c r="H13" i="37" s="1"/>
  <c r="E13" i="37"/>
  <c r="I7" i="75"/>
  <c r="G7" i="75"/>
  <c r="E7" i="75"/>
  <c r="I11" i="53"/>
  <c r="G11" i="53"/>
  <c r="H11" i="53" s="1"/>
  <c r="E11" i="53"/>
  <c r="X28" i="11"/>
  <c r="X28" i="37"/>
  <c r="I7" i="22"/>
  <c r="G7" i="22"/>
  <c r="H7" i="22" s="1"/>
  <c r="E7" i="22"/>
  <c r="E7" i="11"/>
  <c r="G7" i="11"/>
  <c r="H7" i="11" s="1"/>
  <c r="J90" i="1"/>
  <c r="J11" i="53" s="1"/>
  <c r="J91" i="1"/>
  <c r="J7" i="22" s="1"/>
  <c r="J89" i="1"/>
  <c r="J13" i="37" s="1"/>
  <c r="I7" i="11"/>
  <c r="L90" i="1"/>
  <c r="O90" i="1" s="1"/>
  <c r="K90" i="1"/>
  <c r="N90" i="1" s="1"/>
  <c r="L89" i="1"/>
  <c r="O89" i="1" s="1"/>
  <c r="K89" i="1"/>
  <c r="N89" i="1" s="1"/>
  <c r="K11" i="1"/>
  <c r="N11" i="1" s="1"/>
  <c r="L11" i="1"/>
  <c r="O11" i="1" s="1"/>
  <c r="F68" i="84"/>
  <c r="D68" i="84"/>
  <c r="C68" i="84"/>
  <c r="B68" i="84"/>
  <c r="F67" i="84"/>
  <c r="D67" i="84"/>
  <c r="C67" i="84"/>
  <c r="B67" i="84"/>
  <c r="F66" i="84"/>
  <c r="D66" i="84"/>
  <c r="C66" i="84"/>
  <c r="B66" i="84"/>
  <c r="F65" i="84"/>
  <c r="D65" i="84"/>
  <c r="C65" i="84"/>
  <c r="B65" i="84"/>
  <c r="I38" i="23"/>
  <c r="J38" i="23"/>
  <c r="S30" i="11"/>
  <c r="S28" i="11"/>
  <c r="U30" i="17"/>
  <c r="T30" i="17" s="1"/>
  <c r="U28" i="17"/>
  <c r="T29" i="17" s="1"/>
  <c r="U30" i="29"/>
  <c r="AD28" i="28"/>
  <c r="AC28" i="17"/>
  <c r="AB28" i="17"/>
  <c r="W35" i="17"/>
  <c r="W28" i="17"/>
  <c r="W32" i="17" s="1"/>
  <c r="U28" i="3"/>
  <c r="T29" i="3" s="1"/>
  <c r="U29" i="3" s="1"/>
  <c r="U28" i="7"/>
  <c r="U28" i="8"/>
  <c r="T29" i="8" s="1"/>
  <c r="AC28" i="7"/>
  <c r="AD28" i="3"/>
  <c r="AC28" i="3"/>
  <c r="AB28" i="3"/>
  <c r="AB28" i="5"/>
  <c r="AA28" i="5"/>
  <c r="AD28" i="8"/>
  <c r="AB28" i="8"/>
  <c r="AB28" i="16"/>
  <c r="AA28" i="16"/>
  <c r="AC28" i="16" s="1"/>
  <c r="AB28" i="15"/>
  <c r="J16" i="67" l="1"/>
  <c r="J7" i="75"/>
  <c r="T28" i="8"/>
  <c r="H7" i="75"/>
  <c r="K7" i="75" s="1"/>
  <c r="W28" i="75"/>
  <c r="AD30" i="53"/>
  <c r="T30" i="29"/>
  <c r="S30" i="29"/>
  <c r="S32" i="11"/>
  <c r="AF28" i="43"/>
  <c r="J7" i="11"/>
  <c r="T15" i="14"/>
  <c r="U30" i="6"/>
  <c r="K16" i="67"/>
  <c r="K13" i="37"/>
  <c r="L13" i="37" s="1"/>
  <c r="X35" i="37" s="1"/>
  <c r="AE30" i="37" s="1"/>
  <c r="K11" i="53"/>
  <c r="K7" i="11"/>
  <c r="K7" i="22"/>
  <c r="L7" i="22" s="1"/>
  <c r="X35" i="22" s="1"/>
  <c r="AD30" i="22" s="1"/>
  <c r="K91" i="1"/>
  <c r="N91" i="1" s="1"/>
  <c r="L91" i="1"/>
  <c r="O91" i="1" s="1"/>
  <c r="AC28" i="8"/>
  <c r="AB29" i="16"/>
  <c r="L16" i="67" l="1"/>
  <c r="W35" i="67" s="1"/>
  <c r="AD30" i="67" s="1"/>
  <c r="L7" i="75"/>
  <c r="W33" i="75" s="1"/>
  <c r="AD30" i="75" s="1"/>
  <c r="L11" i="53"/>
  <c r="X35" i="53" s="1"/>
  <c r="AE30" i="53" s="1"/>
  <c r="X28" i="53"/>
  <c r="L7" i="11"/>
  <c r="X35" i="11" s="1"/>
  <c r="AF28" i="8"/>
  <c r="I10" i="87"/>
  <c r="S27" i="87"/>
  <c r="S29" i="10"/>
  <c r="AD29" i="8" l="1"/>
  <c r="AB29" i="8"/>
  <c r="AC29" i="8"/>
  <c r="W28" i="37"/>
  <c r="AC28" i="37"/>
  <c r="AB28" i="37"/>
  <c r="AB28" i="11"/>
  <c r="D5" i="11"/>
  <c r="V32" i="5"/>
  <c r="V28" i="5"/>
  <c r="V28" i="4"/>
  <c r="V32" i="4" s="1"/>
  <c r="J144" i="1"/>
  <c r="V28" i="61"/>
  <c r="U30" i="3"/>
  <c r="U48" i="3"/>
  <c r="T48" i="3"/>
  <c r="V40" i="60"/>
  <c r="U28" i="60"/>
  <c r="U30" i="60"/>
  <c r="T30" i="60" s="1"/>
  <c r="I37" i="88"/>
  <c r="I37" i="72"/>
  <c r="I38" i="71"/>
  <c r="I37" i="71"/>
  <c r="I38" i="70"/>
  <c r="I37" i="70"/>
  <c r="I37" i="69"/>
  <c r="I38" i="66"/>
  <c r="I37" i="66"/>
  <c r="I37" i="62"/>
  <c r="I38" i="60"/>
  <c r="I37" i="60"/>
  <c r="I37" i="59"/>
  <c r="I38" i="57"/>
  <c r="I37" i="57"/>
  <c r="I37" i="56"/>
  <c r="I37" i="79"/>
  <c r="I38" i="49"/>
  <c r="I37" i="49"/>
  <c r="I38" i="48"/>
  <c r="I37" i="48"/>
  <c r="I37" i="47"/>
  <c r="I37" i="46"/>
  <c r="I37" i="44"/>
  <c r="I37" i="41"/>
  <c r="I37" i="35"/>
  <c r="I38" i="33"/>
  <c r="I37" i="33"/>
  <c r="I37" i="32"/>
  <c r="I38" i="30"/>
  <c r="I37" i="30"/>
  <c r="I37" i="29"/>
  <c r="I38" i="28"/>
  <c r="I37" i="28"/>
  <c r="I38" i="26"/>
  <c r="I39" i="26"/>
  <c r="I37" i="26"/>
  <c r="I37" i="25"/>
  <c r="I37" i="23"/>
  <c r="I38" i="20"/>
  <c r="I37" i="20"/>
  <c r="I37" i="18"/>
  <c r="I37" i="19"/>
  <c r="I37" i="15"/>
  <c r="I37" i="10"/>
  <c r="I38" i="9"/>
  <c r="I37" i="9"/>
  <c r="I38" i="8"/>
  <c r="I37" i="8"/>
  <c r="I37" i="7"/>
  <c r="I38" i="5"/>
  <c r="I37" i="5"/>
  <c r="I37" i="6"/>
  <c r="I36" i="4"/>
  <c r="I35" i="4"/>
  <c r="I37" i="3"/>
  <c r="T28" i="60" l="1"/>
  <c r="T29" i="60"/>
  <c r="S30" i="60"/>
  <c r="S28" i="60"/>
  <c r="AE30" i="11"/>
  <c r="AF28" i="37"/>
  <c r="AB29" i="37" s="1"/>
  <c r="T32" i="60" l="1"/>
  <c r="S32" i="60"/>
  <c r="AF29" i="37"/>
  <c r="AC29" i="37"/>
  <c r="AB28" i="75"/>
  <c r="AA28" i="74"/>
  <c r="AB28" i="73"/>
  <c r="AB28" i="72"/>
  <c r="AB28" i="70"/>
  <c r="AB28" i="69"/>
  <c r="AA28" i="67"/>
  <c r="AA28" i="65"/>
  <c r="AA28" i="62"/>
  <c r="AB28" i="61"/>
  <c r="AA28" i="59"/>
  <c r="AA28" i="58"/>
  <c r="AB28" i="57"/>
  <c r="AB28" i="53"/>
  <c r="AC28" i="53" s="1"/>
  <c r="AA28" i="51"/>
  <c r="AA28" i="50"/>
  <c r="AC28" i="50" s="1"/>
  <c r="AA28" i="49"/>
  <c r="AA28" i="48"/>
  <c r="AE28" i="48" s="1"/>
  <c r="AA28" i="47"/>
  <c r="AA28" i="46"/>
  <c r="AA28" i="44"/>
  <c r="AB28" i="41"/>
  <c r="AA28" i="33"/>
  <c r="AB28" i="28"/>
  <c r="AB28" i="22"/>
  <c r="AB28" i="21"/>
  <c r="AA28" i="20"/>
  <c r="AB28" i="18"/>
  <c r="AB28" i="9"/>
  <c r="AA28" i="7"/>
  <c r="AB28" i="6"/>
  <c r="I24" i="75"/>
  <c r="I15" i="75"/>
  <c r="I16" i="75"/>
  <c r="I17" i="75"/>
  <c r="I18" i="75"/>
  <c r="I19" i="75"/>
  <c r="I20" i="75"/>
  <c r="I21" i="75"/>
  <c r="I22" i="75"/>
  <c r="I23" i="75"/>
  <c r="I14" i="75"/>
  <c r="AQ8" i="73"/>
  <c r="AQ9" i="73"/>
  <c r="AQ10" i="73"/>
  <c r="AQ11" i="73"/>
  <c r="AQ12" i="73"/>
  <c r="AQ13" i="73"/>
  <c r="AQ7" i="73"/>
  <c r="AQ6" i="73"/>
  <c r="AQ8" i="72"/>
  <c r="AQ9" i="72"/>
  <c r="AQ10" i="72"/>
  <c r="AQ11" i="72"/>
  <c r="AQ12" i="72"/>
  <c r="AQ13" i="72"/>
  <c r="AQ14" i="72"/>
  <c r="AQ15" i="72"/>
  <c r="AQ16" i="72"/>
  <c r="AQ17" i="72"/>
  <c r="AQ18" i="72"/>
  <c r="AQ19" i="72"/>
  <c r="AQ7" i="72"/>
  <c r="AQ6" i="72"/>
  <c r="AQ8" i="71"/>
  <c r="AQ9" i="71"/>
  <c r="AQ10" i="71"/>
  <c r="AQ11" i="71"/>
  <c r="AQ12" i="71"/>
  <c r="AQ13" i="71"/>
  <c r="AQ7" i="71"/>
  <c r="AQ6" i="71"/>
  <c r="AQ8" i="70"/>
  <c r="AQ9" i="70"/>
  <c r="AQ10" i="70"/>
  <c r="AQ11" i="70"/>
  <c r="AQ12" i="70"/>
  <c r="AQ7" i="70"/>
  <c r="AQ6" i="70"/>
  <c r="AQ8" i="69"/>
  <c r="AQ9" i="69"/>
  <c r="AQ10" i="69"/>
  <c r="AQ11" i="69"/>
  <c r="AQ12" i="69"/>
  <c r="AQ7" i="69"/>
  <c r="AQ6" i="69"/>
  <c r="AQ8" i="61"/>
  <c r="AS8" i="61" s="1"/>
  <c r="AQ9" i="61"/>
  <c r="AS9" i="61" s="1"/>
  <c r="AQ10" i="61"/>
  <c r="AS10" i="61" s="1"/>
  <c r="AQ11" i="61"/>
  <c r="AS11" i="61" s="1"/>
  <c r="AQ12" i="61"/>
  <c r="AS12" i="61" s="1"/>
  <c r="AQ7" i="61"/>
  <c r="AS7" i="61" s="1"/>
  <c r="AQ6" i="61"/>
  <c r="AS6" i="61" s="1"/>
  <c r="AQ8" i="60"/>
  <c r="AQ9" i="60"/>
  <c r="AQ10" i="60"/>
  <c r="AQ11" i="60"/>
  <c r="AQ12" i="60"/>
  <c r="AQ13" i="60"/>
  <c r="AQ14" i="60"/>
  <c r="AR14" i="60"/>
  <c r="AQ7" i="60"/>
  <c r="AQ6" i="60"/>
  <c r="AQ8" i="58"/>
  <c r="AR8" i="58"/>
  <c r="AQ9" i="58"/>
  <c r="AQ10" i="58"/>
  <c r="AQ11" i="58"/>
  <c r="AQ12" i="58"/>
  <c r="AQ13" i="58"/>
  <c r="AQ14" i="58"/>
  <c r="AQ15" i="58"/>
  <c r="AQ7" i="58"/>
  <c r="AQ6" i="58"/>
  <c r="AQ8" i="57"/>
  <c r="AQ9" i="57"/>
  <c r="AQ10" i="57"/>
  <c r="AQ11" i="57"/>
  <c r="AQ12" i="57"/>
  <c r="AQ13" i="57"/>
  <c r="AQ14" i="57"/>
  <c r="AQ15" i="57"/>
  <c r="AQ16" i="57"/>
  <c r="AQ17" i="57"/>
  <c r="AQ18" i="57"/>
  <c r="AQ19" i="57"/>
  <c r="AQ7" i="57"/>
  <c r="AQ6" i="57"/>
  <c r="AQ8" i="56"/>
  <c r="AQ9" i="56"/>
  <c r="AQ10" i="56"/>
  <c r="AQ11" i="56"/>
  <c r="AQ12" i="56"/>
  <c r="AQ13" i="56"/>
  <c r="AQ7" i="56"/>
  <c r="AQ6" i="56"/>
  <c r="AQ7" i="53"/>
  <c r="AQ8" i="53"/>
  <c r="AQ9" i="53"/>
  <c r="AQ10" i="53"/>
  <c r="AQ11" i="53"/>
  <c r="AQ12" i="53"/>
  <c r="AQ6" i="53"/>
  <c r="AQ9" i="79"/>
  <c r="AQ10" i="79"/>
  <c r="AQ11" i="79"/>
  <c r="AQ12" i="79"/>
  <c r="AQ13" i="79"/>
  <c r="AQ14" i="79"/>
  <c r="AQ15" i="79"/>
  <c r="AQ16" i="79"/>
  <c r="AQ17" i="79"/>
  <c r="AQ18" i="79"/>
  <c r="AR18" i="79"/>
  <c r="AQ19" i="79"/>
  <c r="AQ8" i="79"/>
  <c r="AQ7" i="79"/>
  <c r="AQ6" i="79"/>
  <c r="AQ9" i="47"/>
  <c r="AQ10" i="47"/>
  <c r="AQ11" i="47"/>
  <c r="AQ12" i="47"/>
  <c r="AQ13" i="47"/>
  <c r="AQ14" i="47"/>
  <c r="AQ15" i="47"/>
  <c r="AQ16" i="47"/>
  <c r="AQ17" i="47"/>
  <c r="AQ8" i="47"/>
  <c r="AQ7" i="47"/>
  <c r="AQ6" i="47"/>
  <c r="AQ8" i="43"/>
  <c r="AQ9" i="43"/>
  <c r="AQ10" i="43"/>
  <c r="AQ11" i="43"/>
  <c r="AQ12" i="43"/>
  <c r="AR12" i="43"/>
  <c r="AQ13" i="43"/>
  <c r="AQ14" i="43"/>
  <c r="AQ15" i="43"/>
  <c r="AQ16" i="43"/>
  <c r="AQ17" i="43"/>
  <c r="AQ7" i="43"/>
  <c r="AQ6" i="43"/>
  <c r="AQ8" i="41"/>
  <c r="AQ9" i="41"/>
  <c r="AQ10" i="41"/>
  <c r="AQ11" i="41"/>
  <c r="AQ12" i="41"/>
  <c r="AQ7" i="41"/>
  <c r="AQ6" i="41"/>
  <c r="AQ10" i="37"/>
  <c r="AQ11" i="37"/>
  <c r="AQ12" i="37"/>
  <c r="AQ13" i="37"/>
  <c r="AQ9" i="37"/>
  <c r="AQ8" i="37"/>
  <c r="AQ7" i="37"/>
  <c r="AQ6" i="37"/>
  <c r="I9" i="92"/>
  <c r="I10" i="92"/>
  <c r="I11" i="92"/>
  <c r="I12" i="92"/>
  <c r="I13" i="92"/>
  <c r="I14" i="92"/>
  <c r="I15" i="92"/>
  <c r="I16" i="92"/>
  <c r="I17" i="92"/>
  <c r="I18" i="92"/>
  <c r="I19" i="92"/>
  <c r="I8" i="92"/>
  <c r="I7" i="92"/>
  <c r="I6" i="92"/>
  <c r="J5" i="92"/>
  <c r="I5" i="92"/>
  <c r="AQ8" i="30"/>
  <c r="AQ9" i="30"/>
  <c r="AQ10" i="30"/>
  <c r="AQ11" i="30"/>
  <c r="AQ12" i="30"/>
  <c r="AQ13" i="30"/>
  <c r="AQ7" i="30"/>
  <c r="AQ6" i="30"/>
  <c r="AQ8" i="29"/>
  <c r="AQ9" i="29"/>
  <c r="AQ10" i="29"/>
  <c r="AQ11" i="29"/>
  <c r="AQ12" i="29"/>
  <c r="AQ13" i="29"/>
  <c r="AQ7" i="29"/>
  <c r="AQ6" i="29"/>
  <c r="AQ8" i="28"/>
  <c r="AQ9" i="28"/>
  <c r="AQ10" i="28"/>
  <c r="AQ11" i="28"/>
  <c r="AQ12" i="28"/>
  <c r="AQ13" i="28"/>
  <c r="AQ14" i="28"/>
  <c r="AQ15" i="28"/>
  <c r="AQ16" i="28"/>
  <c r="AQ17" i="28"/>
  <c r="AQ18" i="28"/>
  <c r="AQ19" i="28"/>
  <c r="AQ7" i="28"/>
  <c r="AQ6" i="28"/>
  <c r="AQ9" i="26"/>
  <c r="AQ10" i="26"/>
  <c r="AQ11" i="26"/>
  <c r="AQ12" i="26"/>
  <c r="AQ8" i="26"/>
  <c r="AQ7" i="26"/>
  <c r="AQ6" i="26"/>
  <c r="AQ9" i="25"/>
  <c r="AQ10" i="25"/>
  <c r="AQ11" i="25"/>
  <c r="AQ12" i="25"/>
  <c r="AQ13" i="25"/>
  <c r="AQ14" i="25"/>
  <c r="AQ15" i="25"/>
  <c r="AQ16" i="25"/>
  <c r="AQ8" i="25"/>
  <c r="AQ7" i="25"/>
  <c r="AQ6" i="25"/>
  <c r="AQ8" i="22"/>
  <c r="AQ9" i="22"/>
  <c r="AQ10" i="22"/>
  <c r="AQ11" i="22"/>
  <c r="AQ12" i="22"/>
  <c r="AQ13" i="22"/>
  <c r="AQ14" i="22"/>
  <c r="AR14" i="22"/>
  <c r="AQ15" i="22"/>
  <c r="AQ16" i="22"/>
  <c r="AQ17" i="22"/>
  <c r="AQ7" i="22"/>
  <c r="AQ6" i="22"/>
  <c r="AQ9" i="21"/>
  <c r="AQ10" i="21"/>
  <c r="AQ11" i="21"/>
  <c r="AQ12" i="21"/>
  <c r="AQ13" i="21"/>
  <c r="AQ8" i="21"/>
  <c r="AQ7" i="21"/>
  <c r="AQ6" i="21"/>
  <c r="AQ8" i="18"/>
  <c r="AQ9" i="18"/>
  <c r="AQ10" i="18"/>
  <c r="AQ11" i="18"/>
  <c r="AQ12" i="18"/>
  <c r="AQ13" i="18"/>
  <c r="AQ14" i="18"/>
  <c r="AQ15" i="18"/>
  <c r="AQ16" i="18"/>
  <c r="AQ17" i="18"/>
  <c r="AQ18" i="18"/>
  <c r="AQ19" i="18"/>
  <c r="AQ7" i="18"/>
  <c r="AQ6" i="18"/>
  <c r="AQ7" i="15"/>
  <c r="AQ8" i="15"/>
  <c r="AQ9" i="15"/>
  <c r="AQ10" i="15"/>
  <c r="AQ11" i="15"/>
  <c r="AQ12" i="15"/>
  <c r="AQ6" i="15"/>
  <c r="I14" i="11"/>
  <c r="I15" i="11"/>
  <c r="I16" i="11"/>
  <c r="I17" i="11"/>
  <c r="I18" i="11"/>
  <c r="I19" i="11"/>
  <c r="I20" i="11"/>
  <c r="I21" i="11"/>
  <c r="I22" i="11"/>
  <c r="I23" i="11"/>
  <c r="I24" i="11"/>
  <c r="I25" i="11"/>
  <c r="I26" i="11"/>
  <c r="I27" i="11"/>
  <c r="I28" i="11"/>
  <c r="AQ8" i="9"/>
  <c r="AQ9" i="9"/>
  <c r="AQ10" i="9"/>
  <c r="AQ11" i="9"/>
  <c r="AQ12" i="9"/>
  <c r="AQ13" i="9"/>
  <c r="AQ14" i="9"/>
  <c r="AQ15" i="9"/>
  <c r="AR15" i="9"/>
  <c r="AQ16" i="9"/>
  <c r="AQ17" i="9"/>
  <c r="AQ18" i="9"/>
  <c r="AQ19" i="9"/>
  <c r="AQ20" i="9"/>
  <c r="AQ7" i="9"/>
  <c r="AQ6" i="9"/>
  <c r="AQ7" i="6"/>
  <c r="AQ8" i="6"/>
  <c r="AQ9" i="6"/>
  <c r="AQ10" i="6"/>
  <c r="AQ11" i="6"/>
  <c r="AQ12" i="6"/>
  <c r="AQ13" i="6"/>
  <c r="AQ6" i="6"/>
  <c r="AQ7" i="17"/>
  <c r="AQ8" i="17"/>
  <c r="AQ9" i="17"/>
  <c r="AQ10" i="17"/>
  <c r="AQ11" i="17"/>
  <c r="AQ12" i="17"/>
  <c r="AQ13" i="17"/>
  <c r="AQ14" i="17"/>
  <c r="AQ15" i="17"/>
  <c r="AQ16" i="17"/>
  <c r="AQ6" i="17"/>
  <c r="AQ7" i="8"/>
  <c r="AQ8" i="8"/>
  <c r="AQ9" i="8"/>
  <c r="AQ10" i="8"/>
  <c r="AQ11" i="8"/>
  <c r="AQ12" i="8"/>
  <c r="AQ6" i="8"/>
  <c r="AQ7" i="3"/>
  <c r="AQ8" i="3"/>
  <c r="AQ9" i="3"/>
  <c r="AQ10" i="3"/>
  <c r="AQ11" i="3"/>
  <c r="AQ12" i="3"/>
  <c r="AQ13" i="3"/>
  <c r="AQ6" i="3"/>
  <c r="U32" i="60" l="1"/>
  <c r="U29" i="60"/>
  <c r="AF28" i="53"/>
  <c r="AC29" i="53" s="1"/>
  <c r="L111" i="1"/>
  <c r="AL78" i="1"/>
  <c r="P56" i="23"/>
  <c r="O56" i="23"/>
  <c r="O58" i="23" s="1"/>
  <c r="Q51" i="23"/>
  <c r="Q52" i="23"/>
  <c r="Q53" i="23"/>
  <c r="Q54" i="23"/>
  <c r="Q50" i="23"/>
  <c r="S8" i="91"/>
  <c r="R8" i="91"/>
  <c r="P6" i="16"/>
  <c r="P4" i="16"/>
  <c r="B88" i="5"/>
  <c r="C88" i="5"/>
  <c r="D88" i="5"/>
  <c r="F88" i="5"/>
  <c r="I28" i="5"/>
  <c r="T30" i="8"/>
  <c r="I20" i="3"/>
  <c r="I22" i="3"/>
  <c r="I21" i="3"/>
  <c r="F119" i="28"/>
  <c r="F120" i="28"/>
  <c r="F121" i="28"/>
  <c r="F122" i="28"/>
  <c r="F123" i="28"/>
  <c r="F124" i="28"/>
  <c r="F125" i="28"/>
  <c r="F126" i="28"/>
  <c r="F127" i="28"/>
  <c r="F128" i="28"/>
  <c r="F129" i="28"/>
  <c r="F130" i="28"/>
  <c r="F131" i="28"/>
  <c r="F132" i="28"/>
  <c r="F133" i="28"/>
  <c r="F134" i="28"/>
  <c r="F135" i="28"/>
  <c r="F136" i="28"/>
  <c r="F137" i="28"/>
  <c r="F118" i="28"/>
  <c r="B119" i="28"/>
  <c r="C119" i="28"/>
  <c r="D119" i="28"/>
  <c r="B120" i="28"/>
  <c r="C120" i="28"/>
  <c r="D120" i="28"/>
  <c r="B121" i="28"/>
  <c r="C121" i="28"/>
  <c r="D121" i="28"/>
  <c r="B122" i="28"/>
  <c r="C122" i="28"/>
  <c r="D122" i="28"/>
  <c r="B123" i="28"/>
  <c r="C123" i="28"/>
  <c r="D123" i="28"/>
  <c r="B124" i="28"/>
  <c r="C124" i="28"/>
  <c r="D124" i="28"/>
  <c r="B125" i="28"/>
  <c r="C125" i="28"/>
  <c r="D125" i="28"/>
  <c r="B126" i="28"/>
  <c r="C126" i="28"/>
  <c r="D126" i="28"/>
  <c r="B127" i="28"/>
  <c r="C127" i="28"/>
  <c r="D127" i="28"/>
  <c r="B128" i="28"/>
  <c r="C128" i="28"/>
  <c r="D128" i="28"/>
  <c r="B129" i="28"/>
  <c r="C129" i="28"/>
  <c r="D129" i="28"/>
  <c r="B130" i="28"/>
  <c r="C130" i="28"/>
  <c r="D130" i="28"/>
  <c r="B131" i="28"/>
  <c r="C131" i="28"/>
  <c r="D131" i="28"/>
  <c r="B132" i="28"/>
  <c r="C132" i="28"/>
  <c r="D132" i="28"/>
  <c r="B133" i="28"/>
  <c r="C133" i="28"/>
  <c r="D133" i="28"/>
  <c r="B134" i="28"/>
  <c r="C134" i="28"/>
  <c r="D134" i="28"/>
  <c r="B135" i="28"/>
  <c r="C135" i="28"/>
  <c r="D135" i="28"/>
  <c r="B136" i="28"/>
  <c r="C136" i="28"/>
  <c r="D136" i="28"/>
  <c r="B137" i="28"/>
  <c r="C137" i="28"/>
  <c r="D137" i="28"/>
  <c r="C118" i="28"/>
  <c r="B118" i="28"/>
  <c r="L3" i="1"/>
  <c r="T12" i="13"/>
  <c r="U12" i="13"/>
  <c r="W12" i="13"/>
  <c r="V12" i="13"/>
  <c r="S12" i="13"/>
  <c r="S28" i="6"/>
  <c r="S32" i="6" s="1"/>
  <c r="L4" i="1"/>
  <c r="K30" i="1"/>
  <c r="N30" i="1" s="1"/>
  <c r="L30" i="1"/>
  <c r="O30" i="1" s="1"/>
  <c r="K32" i="1"/>
  <c r="N32" i="1" s="1"/>
  <c r="L32" i="1"/>
  <c r="O32" i="1" s="1"/>
  <c r="K33" i="1"/>
  <c r="N33" i="1" s="1"/>
  <c r="L33" i="1"/>
  <c r="O33" i="1" s="1"/>
  <c r="K67" i="1"/>
  <c r="N67" i="1" s="1"/>
  <c r="L67" i="1"/>
  <c r="O67" i="1" s="1"/>
  <c r="K79" i="1"/>
  <c r="N79" i="1" s="1"/>
  <c r="L79" i="1"/>
  <c r="O79" i="1" s="1"/>
  <c r="K80" i="1"/>
  <c r="N80" i="1" s="1"/>
  <c r="L80" i="1"/>
  <c r="O80" i="1" s="1"/>
  <c r="K81" i="1"/>
  <c r="N81" i="1" s="1"/>
  <c r="L81" i="1"/>
  <c r="O81" i="1" s="1"/>
  <c r="N83" i="1"/>
  <c r="O83" i="1"/>
  <c r="L136" i="1"/>
  <c r="L120" i="1"/>
  <c r="L118" i="1"/>
  <c r="L140" i="1"/>
  <c r="L112" i="1"/>
  <c r="L113" i="1"/>
  <c r="L114" i="1"/>
  <c r="L115" i="1"/>
  <c r="L116" i="1"/>
  <c r="L117" i="1"/>
  <c r="L119" i="1"/>
  <c r="L121" i="1"/>
  <c r="L122" i="1"/>
  <c r="L123" i="1"/>
  <c r="L124" i="1"/>
  <c r="L125" i="1"/>
  <c r="L126" i="1"/>
  <c r="L127" i="1"/>
  <c r="L128" i="1"/>
  <c r="L129" i="1"/>
  <c r="L130" i="1"/>
  <c r="L131" i="1"/>
  <c r="L132" i="1"/>
  <c r="L133" i="1"/>
  <c r="L134" i="1"/>
  <c r="L135" i="1"/>
  <c r="L137" i="1"/>
  <c r="L138" i="1"/>
  <c r="L139" i="1"/>
  <c r="L110" i="1"/>
  <c r="L56" i="2"/>
  <c r="L50" i="2"/>
  <c r="L51" i="2"/>
  <c r="L52" i="2"/>
  <c r="L53" i="2"/>
  <c r="L54" i="2"/>
  <c r="L57" i="2"/>
  <c r="L59" i="2"/>
  <c r="L60" i="2"/>
  <c r="L61" i="2"/>
  <c r="L49" i="2"/>
  <c r="I6" i="3"/>
  <c r="I7" i="3"/>
  <c r="I8" i="3"/>
  <c r="I9" i="3"/>
  <c r="I10" i="3"/>
  <c r="I11" i="3"/>
  <c r="I12" i="3"/>
  <c r="I13" i="3"/>
  <c r="I14" i="3"/>
  <c r="I15" i="3"/>
  <c r="I16" i="3"/>
  <c r="I17" i="3"/>
  <c r="I18" i="3"/>
  <c r="I19" i="3"/>
  <c r="T32" i="4"/>
  <c r="S28" i="4"/>
  <c r="S30" i="4"/>
  <c r="I6" i="4"/>
  <c r="I7" i="4"/>
  <c r="I8" i="4"/>
  <c r="I9" i="4"/>
  <c r="I10" i="4"/>
  <c r="I11" i="4"/>
  <c r="I12" i="4"/>
  <c r="I13" i="4"/>
  <c r="I14" i="4"/>
  <c r="I6" i="6"/>
  <c r="I7" i="6"/>
  <c r="I8" i="6"/>
  <c r="I9" i="6"/>
  <c r="I10" i="6"/>
  <c r="I11" i="6"/>
  <c r="U28" i="5"/>
  <c r="U30" i="5"/>
  <c r="I6" i="5"/>
  <c r="I7" i="5"/>
  <c r="I8" i="5"/>
  <c r="I9" i="5"/>
  <c r="I10" i="5"/>
  <c r="I11" i="5"/>
  <c r="I12" i="5"/>
  <c r="I13" i="5"/>
  <c r="I14" i="5"/>
  <c r="I15" i="5"/>
  <c r="I16" i="5"/>
  <c r="I17" i="5"/>
  <c r="I18" i="5"/>
  <c r="I19" i="5"/>
  <c r="I20" i="5"/>
  <c r="I21" i="5"/>
  <c r="I22" i="5"/>
  <c r="I23" i="5"/>
  <c r="I24" i="5"/>
  <c r="I25" i="5"/>
  <c r="I26" i="5"/>
  <c r="I27" i="5"/>
  <c r="I6" i="7"/>
  <c r="I7" i="7"/>
  <c r="I8" i="7"/>
  <c r="I9" i="7"/>
  <c r="I10" i="7"/>
  <c r="I11" i="7"/>
  <c r="I12" i="7"/>
  <c r="I13" i="7"/>
  <c r="I14" i="7"/>
  <c r="I15" i="7"/>
  <c r="I16" i="7"/>
  <c r="I17" i="7"/>
  <c r="I18" i="7"/>
  <c r="I19" i="7"/>
  <c r="I6" i="8"/>
  <c r="I7" i="8"/>
  <c r="I8" i="8"/>
  <c r="I9" i="8"/>
  <c r="I10" i="8"/>
  <c r="I11" i="8"/>
  <c r="I12" i="8"/>
  <c r="I13" i="8"/>
  <c r="I14" i="8"/>
  <c r="I15" i="8"/>
  <c r="I16" i="8"/>
  <c r="I17" i="8"/>
  <c r="I18" i="8"/>
  <c r="I19" i="8"/>
  <c r="I20" i="8"/>
  <c r="I21" i="8"/>
  <c r="I22" i="8"/>
  <c r="I23" i="8"/>
  <c r="S28" i="9"/>
  <c r="S30" i="9"/>
  <c r="I6" i="11"/>
  <c r="I5" i="11"/>
  <c r="S29" i="89"/>
  <c r="S28" i="89"/>
  <c r="I6" i="89"/>
  <c r="I7" i="89"/>
  <c r="I8" i="89"/>
  <c r="I9" i="89"/>
  <c r="I10" i="89"/>
  <c r="I6" i="10"/>
  <c r="I7" i="10"/>
  <c r="I8" i="10"/>
  <c r="I9" i="10"/>
  <c r="S28" i="10"/>
  <c r="S28" i="87"/>
  <c r="I6" i="87"/>
  <c r="I7" i="87"/>
  <c r="I8" i="87"/>
  <c r="I9" i="87"/>
  <c r="I11" i="87"/>
  <c r="I12" i="87"/>
  <c r="I13" i="87"/>
  <c r="I14" i="87"/>
  <c r="I15" i="87"/>
  <c r="I16" i="87"/>
  <c r="I17" i="87"/>
  <c r="I18" i="87"/>
  <c r="I19" i="87"/>
  <c r="I5" i="87"/>
  <c r="I7" i="82"/>
  <c r="I8" i="82"/>
  <c r="I9" i="82"/>
  <c r="S27" i="82"/>
  <c r="S28" i="82"/>
  <c r="S29" i="12"/>
  <c r="S28" i="12"/>
  <c r="I7" i="12"/>
  <c r="I8" i="12"/>
  <c r="I9" i="12"/>
  <c r="I10" i="12"/>
  <c r="I11" i="12"/>
  <c r="I12" i="12"/>
  <c r="I13" i="12"/>
  <c r="I7" i="13"/>
  <c r="I8" i="13"/>
  <c r="I9" i="13"/>
  <c r="I10" i="13"/>
  <c r="I11" i="13"/>
  <c r="I12" i="13"/>
  <c r="I13" i="13"/>
  <c r="I14" i="13"/>
  <c r="T28" i="13"/>
  <c r="S29" i="13"/>
  <c r="I6" i="82"/>
  <c r="I6" i="12"/>
  <c r="I6" i="13"/>
  <c r="I6" i="14"/>
  <c r="I7" i="14"/>
  <c r="I8" i="14"/>
  <c r="I9" i="14"/>
  <c r="I10" i="14"/>
  <c r="I11" i="14"/>
  <c r="I12" i="14"/>
  <c r="T28" i="14"/>
  <c r="S29" i="14"/>
  <c r="U30" i="15"/>
  <c r="U28" i="15"/>
  <c r="I6" i="15"/>
  <c r="I7" i="15"/>
  <c r="I8" i="15"/>
  <c r="I9" i="15"/>
  <c r="I10" i="15"/>
  <c r="I11" i="15"/>
  <c r="I12" i="15"/>
  <c r="I13" i="15"/>
  <c r="I14" i="15"/>
  <c r="I15" i="15"/>
  <c r="I16" i="15"/>
  <c r="I17" i="15"/>
  <c r="I18" i="15"/>
  <c r="I19" i="15"/>
  <c r="I20" i="15"/>
  <c r="I21" i="15"/>
  <c r="I22" i="15"/>
  <c r="I23" i="15"/>
  <c r="I24" i="15"/>
  <c r="I25" i="15"/>
  <c r="I26" i="15"/>
  <c r="I27" i="15"/>
  <c r="I28" i="15"/>
  <c r="I29" i="15"/>
  <c r="U28" i="16"/>
  <c r="U30" i="16"/>
  <c r="T30" i="16" s="1"/>
  <c r="L15" i="16"/>
  <c r="I6" i="16"/>
  <c r="I7" i="16"/>
  <c r="I8" i="16"/>
  <c r="I9" i="16"/>
  <c r="I10" i="16"/>
  <c r="I11" i="16"/>
  <c r="I12" i="16"/>
  <c r="I13" i="16"/>
  <c r="I14" i="16"/>
  <c r="I16" i="16"/>
  <c r="I17" i="16"/>
  <c r="I18" i="16"/>
  <c r="I6" i="19"/>
  <c r="I7" i="19"/>
  <c r="I8" i="19"/>
  <c r="I9" i="19"/>
  <c r="I10" i="19"/>
  <c r="I11" i="19"/>
  <c r="I12" i="19"/>
  <c r="I13" i="19"/>
  <c r="I14" i="19"/>
  <c r="I15" i="19"/>
  <c r="I16" i="19"/>
  <c r="I17" i="19"/>
  <c r="U28" i="19"/>
  <c r="U30" i="19"/>
  <c r="T30" i="19" s="1"/>
  <c r="I6" i="17"/>
  <c r="I7" i="17"/>
  <c r="I8" i="17"/>
  <c r="I9" i="17"/>
  <c r="I10" i="17"/>
  <c r="I11" i="17"/>
  <c r="I12" i="17"/>
  <c r="I13" i="17"/>
  <c r="I14" i="17"/>
  <c r="I15" i="17"/>
  <c r="I16" i="17"/>
  <c r="I17" i="17"/>
  <c r="I18" i="17"/>
  <c r="I19" i="17"/>
  <c r="I20" i="17"/>
  <c r="I21" i="17"/>
  <c r="I22" i="17"/>
  <c r="I23" i="17"/>
  <c r="I24" i="17"/>
  <c r="I25" i="17"/>
  <c r="I26" i="17"/>
  <c r="I27" i="17"/>
  <c r="I28" i="17"/>
  <c r="U28" i="18"/>
  <c r="U30" i="18"/>
  <c r="I6" i="18"/>
  <c r="I7" i="18"/>
  <c r="I8" i="18"/>
  <c r="I9" i="18"/>
  <c r="I10" i="18"/>
  <c r="I11" i="18"/>
  <c r="I12" i="18"/>
  <c r="I13" i="18"/>
  <c r="I14" i="18"/>
  <c r="I15" i="18"/>
  <c r="I16" i="18"/>
  <c r="I17" i="18"/>
  <c r="I18" i="18"/>
  <c r="I19" i="18"/>
  <c r="I20" i="18"/>
  <c r="I6" i="20"/>
  <c r="I7" i="20"/>
  <c r="I8" i="20"/>
  <c r="I9" i="20"/>
  <c r="I10" i="20"/>
  <c r="I11" i="20"/>
  <c r="I12" i="20"/>
  <c r="I13" i="20"/>
  <c r="I14" i="20"/>
  <c r="I15" i="20"/>
  <c r="I16" i="20"/>
  <c r="I17" i="20"/>
  <c r="I18" i="20"/>
  <c r="I19" i="20"/>
  <c r="U28" i="20"/>
  <c r="U30" i="20"/>
  <c r="U30" i="21"/>
  <c r="U28" i="21"/>
  <c r="I6" i="21"/>
  <c r="I7" i="21"/>
  <c r="I8" i="21"/>
  <c r="I9" i="21"/>
  <c r="I10" i="21"/>
  <c r="I11" i="21"/>
  <c r="I12" i="21"/>
  <c r="I13" i="21"/>
  <c r="I14" i="21"/>
  <c r="I15" i="21"/>
  <c r="I16" i="21"/>
  <c r="I17" i="21"/>
  <c r="S30" i="22"/>
  <c r="S28" i="22"/>
  <c r="I6" i="22"/>
  <c r="S29" i="91"/>
  <c r="S28" i="91"/>
  <c r="I6" i="91"/>
  <c r="I7" i="91"/>
  <c r="I8" i="91"/>
  <c r="I9" i="91"/>
  <c r="I10" i="91"/>
  <c r="I11" i="91"/>
  <c r="S29" i="23"/>
  <c r="S28" i="23"/>
  <c r="I6" i="23"/>
  <c r="I7" i="23"/>
  <c r="I8" i="23"/>
  <c r="I9" i="23"/>
  <c r="I10" i="23"/>
  <c r="I11" i="23"/>
  <c r="I12" i="23"/>
  <c r="I13" i="23"/>
  <c r="I14" i="23"/>
  <c r="I15" i="23"/>
  <c r="I16" i="23"/>
  <c r="I17" i="23"/>
  <c r="I18" i="23"/>
  <c r="T28" i="24"/>
  <c r="S29" i="24"/>
  <c r="I6" i="24"/>
  <c r="I7" i="24"/>
  <c r="I8" i="24"/>
  <c r="I9" i="24"/>
  <c r="I10" i="24"/>
  <c r="I11" i="24"/>
  <c r="I12" i="24"/>
  <c r="I13" i="24"/>
  <c r="I6" i="25"/>
  <c r="I7" i="25"/>
  <c r="I8" i="25"/>
  <c r="U30" i="25"/>
  <c r="U28" i="25"/>
  <c r="U30" i="26"/>
  <c r="U28" i="26"/>
  <c r="I6" i="26"/>
  <c r="I7" i="26"/>
  <c r="I8" i="26"/>
  <c r="I9" i="26"/>
  <c r="I10" i="26"/>
  <c r="I11" i="26"/>
  <c r="I12" i="26"/>
  <c r="I13" i="26"/>
  <c r="I14" i="26"/>
  <c r="I15" i="26"/>
  <c r="I16" i="26"/>
  <c r="I17" i="26"/>
  <c r="I18" i="26"/>
  <c r="I19" i="26"/>
  <c r="I5" i="26"/>
  <c r="I6" i="27"/>
  <c r="I7" i="27"/>
  <c r="I8" i="27"/>
  <c r="I9" i="27"/>
  <c r="I10" i="27"/>
  <c r="I11" i="27"/>
  <c r="I12" i="27"/>
  <c r="I13" i="27"/>
  <c r="I14" i="27"/>
  <c r="I15" i="27"/>
  <c r="I16" i="27"/>
  <c r="I17" i="27"/>
  <c r="I18" i="27"/>
  <c r="I19" i="27"/>
  <c r="U28" i="27"/>
  <c r="U30" i="27"/>
  <c r="U28" i="28"/>
  <c r="U30" i="28"/>
  <c r="T30" i="28" s="1"/>
  <c r="I6" i="28"/>
  <c r="I7" i="28"/>
  <c r="I8" i="28"/>
  <c r="I9" i="28"/>
  <c r="I10" i="28"/>
  <c r="I11" i="28"/>
  <c r="I12" i="28"/>
  <c r="I13" i="28"/>
  <c r="I14" i="28"/>
  <c r="I15" i="28"/>
  <c r="I16" i="28"/>
  <c r="I17" i="28"/>
  <c r="I18" i="28"/>
  <c r="I19" i="28"/>
  <c r="I20" i="28"/>
  <c r="I21" i="28"/>
  <c r="I22" i="28"/>
  <c r="I23" i="28"/>
  <c r="I24" i="28"/>
  <c r="U28" i="29"/>
  <c r="I6" i="29"/>
  <c r="I7" i="29"/>
  <c r="I8" i="29"/>
  <c r="I9" i="29"/>
  <c r="I10" i="29"/>
  <c r="I11" i="29"/>
  <c r="I12" i="29"/>
  <c r="I13" i="29"/>
  <c r="I14" i="29"/>
  <c r="I15" i="29"/>
  <c r="I16" i="29"/>
  <c r="I17" i="29"/>
  <c r="I18" i="29"/>
  <c r="I19" i="29"/>
  <c r="S30" i="30"/>
  <c r="S28" i="30"/>
  <c r="I6" i="30"/>
  <c r="I7" i="30"/>
  <c r="I8" i="30"/>
  <c r="I9" i="30"/>
  <c r="I10" i="30"/>
  <c r="I11" i="30"/>
  <c r="I12" i="30"/>
  <c r="I13" i="30"/>
  <c r="T30" i="31"/>
  <c r="U30" i="31" s="1"/>
  <c r="U28" i="31"/>
  <c r="T29" i="31" s="1"/>
  <c r="I6" i="31"/>
  <c r="I7" i="31"/>
  <c r="I8" i="31"/>
  <c r="I9" i="31"/>
  <c r="I10" i="31"/>
  <c r="I11" i="31"/>
  <c r="I12" i="31"/>
  <c r="I13" i="31"/>
  <c r="I14" i="31"/>
  <c r="I15" i="31"/>
  <c r="I16" i="31"/>
  <c r="I17" i="31"/>
  <c r="I18" i="31"/>
  <c r="I19" i="31"/>
  <c r="I20" i="31"/>
  <c r="I21" i="31"/>
  <c r="I22" i="31"/>
  <c r="I23" i="31"/>
  <c r="I24" i="31"/>
  <c r="U30" i="32"/>
  <c r="U28" i="32"/>
  <c r="I6" i="32"/>
  <c r="I7" i="32"/>
  <c r="I8" i="32"/>
  <c r="I9" i="32"/>
  <c r="I10" i="32"/>
  <c r="I11" i="32"/>
  <c r="I12" i="32"/>
  <c r="I13" i="32"/>
  <c r="I14" i="32"/>
  <c r="I15" i="32"/>
  <c r="I16" i="32"/>
  <c r="I17" i="32"/>
  <c r="I18" i="32"/>
  <c r="I19" i="32"/>
  <c r="U30" i="33"/>
  <c r="U28" i="33"/>
  <c r="I6" i="33"/>
  <c r="I7" i="33"/>
  <c r="I8" i="33"/>
  <c r="I9" i="33"/>
  <c r="I10" i="33"/>
  <c r="I11" i="33"/>
  <c r="I12" i="33"/>
  <c r="I13" i="33"/>
  <c r="I14" i="33"/>
  <c r="I15" i="33"/>
  <c r="I16" i="33"/>
  <c r="I17" i="33"/>
  <c r="I18" i="33"/>
  <c r="I19" i="33"/>
  <c r="I20" i="33"/>
  <c r="I21" i="33"/>
  <c r="I22" i="33"/>
  <c r="I23" i="33"/>
  <c r="I24" i="33"/>
  <c r="I25" i="33"/>
  <c r="I5" i="33"/>
  <c r="S29" i="34"/>
  <c r="S28" i="34"/>
  <c r="I6" i="34"/>
  <c r="I7" i="34"/>
  <c r="I8" i="34"/>
  <c r="I9" i="34"/>
  <c r="I10" i="34"/>
  <c r="S29" i="35"/>
  <c r="S28" i="35"/>
  <c r="I6" i="35"/>
  <c r="I7" i="35"/>
  <c r="I8" i="35"/>
  <c r="I9" i="35"/>
  <c r="S30" i="36"/>
  <c r="S28" i="36"/>
  <c r="I5" i="36"/>
  <c r="I6" i="37"/>
  <c r="I7" i="37"/>
  <c r="I8" i="37"/>
  <c r="I9" i="37"/>
  <c r="I10" i="37"/>
  <c r="I11" i="37"/>
  <c r="I12" i="37"/>
  <c r="T28" i="38"/>
  <c r="S29" i="38"/>
  <c r="I7" i="38"/>
  <c r="I8" i="38"/>
  <c r="I9" i="38"/>
  <c r="I10" i="38"/>
  <c r="I11" i="38"/>
  <c r="I12" i="38"/>
  <c r="I6" i="38"/>
  <c r="I7" i="39"/>
  <c r="I8" i="39"/>
  <c r="I9" i="39"/>
  <c r="I10" i="39"/>
  <c r="I11" i="39"/>
  <c r="I6" i="39"/>
  <c r="S29" i="39"/>
  <c r="S28" i="39"/>
  <c r="T28" i="40"/>
  <c r="S29" i="40"/>
  <c r="I6" i="40"/>
  <c r="I7" i="40"/>
  <c r="I8" i="40"/>
  <c r="I9" i="40"/>
  <c r="I10" i="40"/>
  <c r="I11" i="40"/>
  <c r="I12" i="40"/>
  <c r="I13" i="40"/>
  <c r="I14" i="40"/>
  <c r="I6" i="41"/>
  <c r="I7" i="41"/>
  <c r="I8" i="41"/>
  <c r="I9" i="41"/>
  <c r="I10" i="41"/>
  <c r="I11" i="41"/>
  <c r="I12" i="41"/>
  <c r="I13" i="41"/>
  <c r="I14" i="41"/>
  <c r="U28" i="41"/>
  <c r="U30" i="41"/>
  <c r="T28" i="42"/>
  <c r="S29" i="42" s="1"/>
  <c r="S30" i="42"/>
  <c r="I6" i="42"/>
  <c r="I7" i="42"/>
  <c r="I8" i="42"/>
  <c r="I9" i="42"/>
  <c r="I10" i="42"/>
  <c r="I11" i="42"/>
  <c r="I12" i="42"/>
  <c r="I5" i="42"/>
  <c r="I6" i="43"/>
  <c r="I7" i="43"/>
  <c r="I8" i="43"/>
  <c r="I9" i="43"/>
  <c r="I10" i="43"/>
  <c r="I11" i="43"/>
  <c r="I12" i="43"/>
  <c r="I13" i="43"/>
  <c r="I14" i="43"/>
  <c r="I15" i="43"/>
  <c r="I16" i="43"/>
  <c r="I17" i="43"/>
  <c r="V28" i="43"/>
  <c r="T29" i="43" s="1"/>
  <c r="V30" i="43"/>
  <c r="U30" i="44"/>
  <c r="U28" i="44"/>
  <c r="I6" i="44"/>
  <c r="I7" i="44"/>
  <c r="I8" i="44"/>
  <c r="I9" i="44"/>
  <c r="I10" i="44"/>
  <c r="I11" i="44"/>
  <c r="I12" i="44"/>
  <c r="I13" i="44"/>
  <c r="I14" i="44"/>
  <c r="I15" i="44"/>
  <c r="I16" i="44"/>
  <c r="I17" i="44"/>
  <c r="I18" i="44"/>
  <c r="I19" i="44"/>
  <c r="I20" i="44"/>
  <c r="U30" i="45"/>
  <c r="T30" i="45" s="1"/>
  <c r="U28" i="45"/>
  <c r="I6" i="45"/>
  <c r="I7" i="45"/>
  <c r="I8" i="45"/>
  <c r="I9" i="45"/>
  <c r="I10" i="45"/>
  <c r="I11" i="45"/>
  <c r="I12" i="45"/>
  <c r="I13" i="45"/>
  <c r="I14" i="45"/>
  <c r="I15" i="45"/>
  <c r="I16" i="45"/>
  <c r="I17" i="45"/>
  <c r="I18" i="45"/>
  <c r="I19" i="45"/>
  <c r="I20" i="45"/>
  <c r="I5" i="45"/>
  <c r="U30" i="46"/>
  <c r="U28" i="46"/>
  <c r="I6" i="46"/>
  <c r="I7" i="46"/>
  <c r="I8" i="46"/>
  <c r="I9" i="46"/>
  <c r="I10" i="46"/>
  <c r="I11" i="46"/>
  <c r="I12" i="46"/>
  <c r="I13" i="46"/>
  <c r="I14" i="46"/>
  <c r="I15" i="46"/>
  <c r="I5" i="46"/>
  <c r="I6" i="47"/>
  <c r="I7" i="47"/>
  <c r="I8" i="47"/>
  <c r="I9" i="47"/>
  <c r="I10" i="47"/>
  <c r="I11" i="47"/>
  <c r="I12" i="47"/>
  <c r="I13" i="47"/>
  <c r="I14" i="47"/>
  <c r="I15" i="47"/>
  <c r="I16" i="47"/>
  <c r="I17" i="47"/>
  <c r="I18" i="47"/>
  <c r="I19" i="47"/>
  <c r="I20" i="47"/>
  <c r="I21" i="47"/>
  <c r="U28" i="47"/>
  <c r="U30" i="47"/>
  <c r="I6" i="48"/>
  <c r="I7" i="48"/>
  <c r="I8" i="48"/>
  <c r="I9" i="48"/>
  <c r="I10" i="48"/>
  <c r="I11" i="48"/>
  <c r="I12" i="48"/>
  <c r="I13" i="48"/>
  <c r="I14" i="48"/>
  <c r="I15" i="48"/>
  <c r="I16" i="48"/>
  <c r="I17" i="48"/>
  <c r="U30" i="48"/>
  <c r="U28" i="48"/>
  <c r="I6" i="49"/>
  <c r="I7" i="49"/>
  <c r="I8" i="49"/>
  <c r="I9" i="49"/>
  <c r="I10" i="49"/>
  <c r="I11" i="49"/>
  <c r="I12" i="49"/>
  <c r="I13" i="49"/>
  <c r="I14" i="49"/>
  <c r="I15" i="49"/>
  <c r="I16" i="49"/>
  <c r="I17" i="49"/>
  <c r="I5" i="49"/>
  <c r="U30" i="49"/>
  <c r="U28" i="49"/>
  <c r="U30" i="50"/>
  <c r="U28" i="50"/>
  <c r="I6" i="50"/>
  <c r="I7" i="50"/>
  <c r="I8" i="50"/>
  <c r="I9" i="50"/>
  <c r="I10" i="50"/>
  <c r="I11" i="50"/>
  <c r="I12" i="50"/>
  <c r="I13" i="50"/>
  <c r="I14" i="50"/>
  <c r="I15" i="50"/>
  <c r="I16" i="50"/>
  <c r="I17" i="50"/>
  <c r="I18" i="50"/>
  <c r="I19" i="50"/>
  <c r="I20" i="50"/>
  <c r="I21" i="50"/>
  <c r="S30" i="79"/>
  <c r="T30" i="79" s="1"/>
  <c r="T32" i="79" s="1"/>
  <c r="I6" i="79"/>
  <c r="I7" i="79"/>
  <c r="I8" i="79"/>
  <c r="I9" i="79"/>
  <c r="U28" i="52"/>
  <c r="U32" i="52" s="1"/>
  <c r="S30" i="52"/>
  <c r="I6" i="51"/>
  <c r="I7" i="51"/>
  <c r="I8" i="51"/>
  <c r="I9" i="51"/>
  <c r="I10" i="51"/>
  <c r="I11" i="51"/>
  <c r="I12" i="51"/>
  <c r="I13" i="51"/>
  <c r="I14" i="51"/>
  <c r="I15" i="51"/>
  <c r="I16" i="51"/>
  <c r="I17" i="51"/>
  <c r="S29" i="51"/>
  <c r="S28" i="51"/>
  <c r="I6" i="52"/>
  <c r="I7" i="52"/>
  <c r="I8" i="52"/>
  <c r="I9" i="52"/>
  <c r="I6" i="53"/>
  <c r="I7" i="53"/>
  <c r="I8" i="53"/>
  <c r="I9" i="53"/>
  <c r="I10" i="53"/>
  <c r="U28" i="53"/>
  <c r="U30" i="53"/>
  <c r="I7" i="54"/>
  <c r="I8" i="54"/>
  <c r="I9" i="54"/>
  <c r="I10" i="54"/>
  <c r="I11" i="54"/>
  <c r="I12" i="54"/>
  <c r="I6" i="54"/>
  <c r="S29" i="54"/>
  <c r="T28" i="54"/>
  <c r="S29" i="55"/>
  <c r="T28" i="55"/>
  <c r="I6" i="55"/>
  <c r="I7" i="55"/>
  <c r="I8" i="55"/>
  <c r="I9" i="55"/>
  <c r="I10" i="55"/>
  <c r="I11" i="55"/>
  <c r="I12" i="55"/>
  <c r="I13" i="55"/>
  <c r="I14" i="55"/>
  <c r="I6" i="56"/>
  <c r="I7" i="56"/>
  <c r="I8" i="56"/>
  <c r="I9" i="56"/>
  <c r="I10" i="56"/>
  <c r="I11" i="56"/>
  <c r="I12" i="56"/>
  <c r="I13" i="56"/>
  <c r="I14" i="56"/>
  <c r="I15" i="56"/>
  <c r="I16" i="56"/>
  <c r="I17" i="56"/>
  <c r="U28" i="56"/>
  <c r="U30" i="56"/>
  <c r="U30" i="57"/>
  <c r="T30" i="57" s="1"/>
  <c r="U28" i="57"/>
  <c r="T29" i="57" s="1"/>
  <c r="I6" i="57"/>
  <c r="I7" i="57"/>
  <c r="I8" i="57"/>
  <c r="I9" i="57"/>
  <c r="I10" i="57"/>
  <c r="I11" i="57"/>
  <c r="I12" i="57"/>
  <c r="I13" i="57"/>
  <c r="I14" i="57"/>
  <c r="I15" i="57"/>
  <c r="I16" i="57"/>
  <c r="I17" i="57"/>
  <c r="I18" i="57"/>
  <c r="I19" i="57"/>
  <c r="I20" i="57"/>
  <c r="I21" i="57"/>
  <c r="I22" i="57"/>
  <c r="I23" i="57"/>
  <c r="I24" i="57"/>
  <c r="I25" i="57"/>
  <c r="S28" i="58"/>
  <c r="S30" i="58"/>
  <c r="U28" i="59"/>
  <c r="U30" i="59"/>
  <c r="U28" i="61"/>
  <c r="U30" i="61"/>
  <c r="I6" i="62"/>
  <c r="I7" i="62"/>
  <c r="I8" i="62"/>
  <c r="I9" i="62"/>
  <c r="I10" i="62"/>
  <c r="I11" i="62"/>
  <c r="I12" i="62"/>
  <c r="I13" i="62"/>
  <c r="I14" i="62"/>
  <c r="I15" i="62"/>
  <c r="I16" i="62"/>
  <c r="I17" i="62"/>
  <c r="I18" i="62"/>
  <c r="I19" i="62"/>
  <c r="I20" i="62"/>
  <c r="U30" i="62"/>
  <c r="U28" i="62"/>
  <c r="T30" i="64"/>
  <c r="U23" i="64"/>
  <c r="S32" i="64"/>
  <c r="T22" i="65"/>
  <c r="R22" i="65"/>
  <c r="S29" i="66"/>
  <c r="S28" i="66"/>
  <c r="I6" i="67"/>
  <c r="I7" i="67"/>
  <c r="I8" i="67"/>
  <c r="I9" i="67"/>
  <c r="I10" i="67"/>
  <c r="I11" i="67"/>
  <c r="I12" i="67"/>
  <c r="I13" i="67"/>
  <c r="I14" i="67"/>
  <c r="I15" i="67"/>
  <c r="U30" i="67"/>
  <c r="U28" i="67"/>
  <c r="S28" i="83"/>
  <c r="S27" i="83"/>
  <c r="S29" i="68"/>
  <c r="S28" i="68"/>
  <c r="S27" i="86"/>
  <c r="S28" i="86"/>
  <c r="S27" i="85"/>
  <c r="S28" i="85"/>
  <c r="U28" i="69"/>
  <c r="T29" i="69" s="1"/>
  <c r="U30" i="69"/>
  <c r="T30" i="69" s="1"/>
  <c r="U28" i="70"/>
  <c r="T29" i="70" s="1"/>
  <c r="U30" i="70"/>
  <c r="T30" i="70" s="1"/>
  <c r="I6" i="58"/>
  <c r="I7" i="58"/>
  <c r="I8" i="58"/>
  <c r="I9" i="58"/>
  <c r="I10" i="58"/>
  <c r="I11" i="58"/>
  <c r="I12" i="58"/>
  <c r="I13" i="58"/>
  <c r="I14" i="58"/>
  <c r="I15" i="58"/>
  <c r="I16" i="58"/>
  <c r="I17" i="58"/>
  <c r="I18" i="58"/>
  <c r="I19" i="58"/>
  <c r="I20" i="58"/>
  <c r="I21" i="58"/>
  <c r="I6" i="59"/>
  <c r="I7" i="59"/>
  <c r="I8" i="59"/>
  <c r="I9" i="59"/>
  <c r="I10" i="59"/>
  <c r="I11" i="59"/>
  <c r="I12" i="59"/>
  <c r="I13" i="59"/>
  <c r="I14" i="59"/>
  <c r="I15" i="59"/>
  <c r="I16" i="59"/>
  <c r="I17" i="59"/>
  <c r="I18" i="59"/>
  <c r="I19" i="59"/>
  <c r="I20" i="59"/>
  <c r="I6" i="60"/>
  <c r="I7" i="60"/>
  <c r="I8" i="60"/>
  <c r="I9" i="60"/>
  <c r="I10" i="60"/>
  <c r="I11" i="60"/>
  <c r="I12" i="60"/>
  <c r="I13" i="60"/>
  <c r="I14" i="60"/>
  <c r="I15" i="60"/>
  <c r="I16" i="60"/>
  <c r="I17" i="60"/>
  <c r="I6" i="61"/>
  <c r="I7" i="61"/>
  <c r="I8" i="61"/>
  <c r="I9" i="61"/>
  <c r="I10" i="61"/>
  <c r="I11" i="61"/>
  <c r="I12" i="61"/>
  <c r="I13" i="61"/>
  <c r="I14" i="61"/>
  <c r="I15" i="61"/>
  <c r="I16" i="61"/>
  <c r="I17" i="61"/>
  <c r="I18" i="61"/>
  <c r="I6" i="64"/>
  <c r="I7" i="64"/>
  <c r="I8" i="64"/>
  <c r="I9" i="64"/>
  <c r="I10" i="64"/>
  <c r="I11" i="64"/>
  <c r="I12" i="64"/>
  <c r="I13" i="64"/>
  <c r="I5" i="64"/>
  <c r="I6" i="65"/>
  <c r="I7" i="65"/>
  <c r="I8" i="65"/>
  <c r="I9" i="65"/>
  <c r="I10" i="65"/>
  <c r="I11" i="65"/>
  <c r="I12" i="65"/>
  <c r="I13" i="65"/>
  <c r="I14" i="65"/>
  <c r="I15" i="65"/>
  <c r="I16" i="65"/>
  <c r="I17" i="65"/>
  <c r="I18" i="65"/>
  <c r="I19" i="65"/>
  <c r="I6" i="66"/>
  <c r="I7" i="66"/>
  <c r="I8" i="66"/>
  <c r="I9" i="66"/>
  <c r="I10" i="66"/>
  <c r="I11" i="66"/>
  <c r="I12" i="66"/>
  <c r="I13" i="66"/>
  <c r="I7" i="83"/>
  <c r="I8" i="83"/>
  <c r="I9" i="83"/>
  <c r="I6" i="83"/>
  <c r="I7" i="68"/>
  <c r="I8" i="68"/>
  <c r="I9" i="68"/>
  <c r="I10" i="68"/>
  <c r="I11" i="68"/>
  <c r="I12" i="68"/>
  <c r="I13" i="68"/>
  <c r="I6" i="68"/>
  <c r="I6" i="86"/>
  <c r="I7" i="86"/>
  <c r="I8" i="86"/>
  <c r="I9" i="86"/>
  <c r="I10" i="86"/>
  <c r="I11" i="86"/>
  <c r="I12" i="86"/>
  <c r="I13" i="86"/>
  <c r="I14" i="86"/>
  <c r="I15" i="86"/>
  <c r="I16" i="86"/>
  <c r="I17" i="86"/>
  <c r="I18" i="86"/>
  <c r="I19" i="86"/>
  <c r="I5" i="86"/>
  <c r="I6" i="85"/>
  <c r="I7" i="85"/>
  <c r="I8" i="85"/>
  <c r="I9" i="85"/>
  <c r="I10" i="85"/>
  <c r="I11" i="85"/>
  <c r="I12" i="85"/>
  <c r="I13" i="85"/>
  <c r="I14" i="85"/>
  <c r="I15" i="85"/>
  <c r="I16" i="85"/>
  <c r="I17" i="85"/>
  <c r="I18" i="85"/>
  <c r="I19" i="85"/>
  <c r="I20" i="85"/>
  <c r="I5" i="85"/>
  <c r="I6" i="69"/>
  <c r="I7" i="69"/>
  <c r="I8" i="69"/>
  <c r="I9" i="69"/>
  <c r="I10" i="69"/>
  <c r="I11" i="69"/>
  <c r="I12" i="69"/>
  <c r="I13" i="69"/>
  <c r="I14" i="69"/>
  <c r="I15" i="69"/>
  <c r="I16" i="69"/>
  <c r="I17" i="69"/>
  <c r="I18" i="69"/>
  <c r="I19" i="69"/>
  <c r="I20" i="69"/>
  <c r="I21" i="69"/>
  <c r="I22" i="69"/>
  <c r="I6" i="70"/>
  <c r="I7" i="70"/>
  <c r="I8" i="70"/>
  <c r="I9" i="70"/>
  <c r="I10" i="70"/>
  <c r="I11" i="70"/>
  <c r="I12" i="70"/>
  <c r="I13" i="70"/>
  <c r="I14" i="70"/>
  <c r="I15" i="70"/>
  <c r="I16" i="70"/>
  <c r="I17" i="70"/>
  <c r="I18" i="70"/>
  <c r="I19" i="70"/>
  <c r="I20" i="70"/>
  <c r="I21" i="70"/>
  <c r="I22" i="70"/>
  <c r="I23" i="70"/>
  <c r="I6" i="71"/>
  <c r="I7" i="71"/>
  <c r="I8" i="71"/>
  <c r="I9" i="71"/>
  <c r="I10" i="71"/>
  <c r="I11" i="71"/>
  <c r="I12" i="71"/>
  <c r="I13" i="71"/>
  <c r="I14" i="71"/>
  <c r="I15" i="71"/>
  <c r="I6" i="72"/>
  <c r="I7" i="72"/>
  <c r="I8" i="72"/>
  <c r="I9" i="72"/>
  <c r="I10" i="72"/>
  <c r="I11" i="72"/>
  <c r="I12" i="72"/>
  <c r="I13" i="72"/>
  <c r="I14" i="72"/>
  <c r="I15" i="72"/>
  <c r="I16" i="72"/>
  <c r="I17" i="72"/>
  <c r="I18" i="72"/>
  <c r="I19" i="72"/>
  <c r="I20" i="72"/>
  <c r="I21" i="72"/>
  <c r="I22" i="72"/>
  <c r="I23" i="72"/>
  <c r="I24" i="72"/>
  <c r="I25" i="72"/>
  <c r="I26" i="72"/>
  <c r="I27" i="72"/>
  <c r="I6" i="73"/>
  <c r="I7" i="73"/>
  <c r="I8" i="73"/>
  <c r="I9" i="73"/>
  <c r="I10" i="73"/>
  <c r="I6" i="74"/>
  <c r="I7" i="74"/>
  <c r="I8" i="74"/>
  <c r="I9" i="74"/>
  <c r="I10" i="74"/>
  <c r="I11" i="74"/>
  <c r="I12" i="74"/>
  <c r="I13" i="74"/>
  <c r="I14" i="74"/>
  <c r="I15" i="74"/>
  <c r="I16" i="74"/>
  <c r="I17" i="74"/>
  <c r="I18" i="74"/>
  <c r="I19" i="74"/>
  <c r="I20" i="74"/>
  <c r="I21" i="74"/>
  <c r="I6" i="75"/>
  <c r="I6" i="77"/>
  <c r="I7" i="77"/>
  <c r="I8" i="77"/>
  <c r="I9" i="77"/>
  <c r="I10" i="77"/>
  <c r="I6" i="88"/>
  <c r="I7" i="88"/>
  <c r="I8" i="88"/>
  <c r="I9" i="88"/>
  <c r="I10" i="88"/>
  <c r="I11" i="88"/>
  <c r="I12" i="88"/>
  <c r="I13" i="88"/>
  <c r="I14" i="88"/>
  <c r="I15" i="88"/>
  <c r="I6" i="78"/>
  <c r="I7" i="78"/>
  <c r="I8" i="78"/>
  <c r="I9" i="78"/>
  <c r="I10" i="78"/>
  <c r="I11" i="78"/>
  <c r="I12" i="78"/>
  <c r="I13" i="78"/>
  <c r="I14" i="78"/>
  <c r="I6" i="84"/>
  <c r="I7" i="84"/>
  <c r="I8" i="84"/>
  <c r="I9" i="84"/>
  <c r="J5" i="29"/>
  <c r="J5" i="32"/>
  <c r="J5" i="58"/>
  <c r="J5" i="60"/>
  <c r="J5" i="62"/>
  <c r="J5" i="65"/>
  <c r="J5" i="67"/>
  <c r="J5" i="71"/>
  <c r="J5" i="75"/>
  <c r="I5" i="3"/>
  <c r="I5" i="4"/>
  <c r="I5" i="6"/>
  <c r="I5" i="5"/>
  <c r="I5" i="7"/>
  <c r="I5" i="8"/>
  <c r="I5" i="9"/>
  <c r="I5" i="10"/>
  <c r="I5" i="15"/>
  <c r="I5" i="16"/>
  <c r="I5" i="19"/>
  <c r="I5" i="17"/>
  <c r="I5" i="18"/>
  <c r="I5" i="20"/>
  <c r="I5" i="21"/>
  <c r="I5" i="22"/>
  <c r="I5" i="23"/>
  <c r="I5" i="25"/>
  <c r="I5" i="27"/>
  <c r="I5" i="28"/>
  <c r="I5" i="29"/>
  <c r="I5" i="30"/>
  <c r="I5" i="32"/>
  <c r="I5" i="34"/>
  <c r="I5" i="35"/>
  <c r="I5" i="37"/>
  <c r="I5" i="41"/>
  <c r="I5" i="43"/>
  <c r="I5" i="44"/>
  <c r="I5" i="47"/>
  <c r="I5" i="48"/>
  <c r="I5" i="50"/>
  <c r="I5" i="79"/>
  <c r="I5" i="51"/>
  <c r="I5" i="53"/>
  <c r="I5" i="56"/>
  <c r="I5" i="57"/>
  <c r="I5" i="58"/>
  <c r="I5" i="59"/>
  <c r="I5" i="60"/>
  <c r="I5" i="61"/>
  <c r="I5" i="62"/>
  <c r="I5" i="65"/>
  <c r="I5" i="66"/>
  <c r="I5" i="67"/>
  <c r="I5" i="69"/>
  <c r="I5" i="70"/>
  <c r="I5" i="71"/>
  <c r="I5" i="72"/>
  <c r="I5" i="73"/>
  <c r="I5" i="74"/>
  <c r="I5" i="75"/>
  <c r="I5" i="77"/>
  <c r="I5" i="88"/>
  <c r="J93" i="1"/>
  <c r="J6" i="25" s="1"/>
  <c r="K93" i="1"/>
  <c r="N93" i="1" s="1"/>
  <c r="L93" i="1"/>
  <c r="O93" i="1" s="1"/>
  <c r="S30" i="35" l="1"/>
  <c r="U32" i="45"/>
  <c r="S29" i="86"/>
  <c r="T27" i="86" s="1"/>
  <c r="T29" i="86" s="1"/>
  <c r="AA25" i="86" s="1"/>
  <c r="U32" i="49"/>
  <c r="T30" i="20"/>
  <c r="S30" i="20"/>
  <c r="S30" i="51"/>
  <c r="T29" i="20"/>
  <c r="U32" i="46"/>
  <c r="S32" i="30"/>
  <c r="T29" i="30"/>
  <c r="AA25" i="29"/>
  <c r="T29" i="29"/>
  <c r="S28" i="29"/>
  <c r="T28" i="29"/>
  <c r="T28" i="16"/>
  <c r="T32" i="16" s="1"/>
  <c r="T8" i="91"/>
  <c r="AA25" i="30"/>
  <c r="T30" i="30"/>
  <c r="T29" i="6"/>
  <c r="U28" i="6"/>
  <c r="S29" i="83"/>
  <c r="S30" i="68"/>
  <c r="S30" i="66"/>
  <c r="U32" i="25"/>
  <c r="S32" i="9"/>
  <c r="U32" i="9" s="1"/>
  <c r="AF29" i="53"/>
  <c r="AB29" i="53"/>
  <c r="S32" i="58"/>
  <c r="S30" i="39"/>
  <c r="S29" i="87"/>
  <c r="T27" i="87" s="1"/>
  <c r="T29" i="87" s="1"/>
  <c r="E1" i="87" s="1"/>
  <c r="S30" i="10"/>
  <c r="S30" i="89"/>
  <c r="S28" i="8"/>
  <c r="S32" i="36"/>
  <c r="S30" i="34"/>
  <c r="S30" i="23"/>
  <c r="S30" i="91"/>
  <c r="S30" i="12"/>
  <c r="T30" i="12" s="1"/>
  <c r="S29" i="85"/>
  <c r="S32" i="79"/>
  <c r="T32" i="31"/>
  <c r="U29" i="31"/>
  <c r="U32" i="31" s="1"/>
  <c r="S32" i="22"/>
  <c r="S29" i="82"/>
  <c r="S32" i="4"/>
  <c r="U32" i="4" s="1"/>
  <c r="G54" i="1"/>
  <c r="J147" i="1"/>
  <c r="J5" i="30" s="1"/>
  <c r="J149" i="1"/>
  <c r="J5" i="22" s="1"/>
  <c r="J148" i="1"/>
  <c r="J146" i="1"/>
  <c r="J6" i="75" s="1"/>
  <c r="J143" i="1"/>
  <c r="J142" i="1"/>
  <c r="J80" i="1"/>
  <c r="J37" i="6" s="1"/>
  <c r="G106" i="1"/>
  <c r="F116" i="8"/>
  <c r="F117" i="8"/>
  <c r="F118" i="8"/>
  <c r="F119" i="8"/>
  <c r="F120" i="8"/>
  <c r="F121" i="8"/>
  <c r="F122" i="8"/>
  <c r="F123" i="8"/>
  <c r="F124" i="8"/>
  <c r="F125" i="8"/>
  <c r="F126" i="8"/>
  <c r="F127" i="8"/>
  <c r="F128" i="8"/>
  <c r="F129" i="8"/>
  <c r="F130" i="8"/>
  <c r="F131" i="8"/>
  <c r="F132" i="8"/>
  <c r="F133" i="8"/>
  <c r="F115" i="8"/>
  <c r="B116" i="8"/>
  <c r="C116" i="8"/>
  <c r="D116" i="8"/>
  <c r="B117" i="8"/>
  <c r="C117" i="8"/>
  <c r="D117" i="8"/>
  <c r="B118" i="8"/>
  <c r="C118" i="8"/>
  <c r="D118" i="8"/>
  <c r="B119" i="8"/>
  <c r="C119" i="8"/>
  <c r="D119" i="8"/>
  <c r="B120" i="8"/>
  <c r="C120" i="8"/>
  <c r="D120" i="8"/>
  <c r="B121" i="8"/>
  <c r="C121" i="8"/>
  <c r="D121" i="8"/>
  <c r="B122" i="8"/>
  <c r="C122" i="8"/>
  <c r="D122" i="8"/>
  <c r="B123" i="8"/>
  <c r="C123" i="8"/>
  <c r="D123" i="8"/>
  <c r="B124" i="8"/>
  <c r="C124" i="8"/>
  <c r="D124" i="8"/>
  <c r="B125" i="8"/>
  <c r="C125" i="8"/>
  <c r="D125" i="8"/>
  <c r="B126" i="8"/>
  <c r="C126" i="8"/>
  <c r="D126" i="8"/>
  <c r="B127" i="8"/>
  <c r="C127" i="8"/>
  <c r="D127" i="8"/>
  <c r="B128" i="8"/>
  <c r="C128" i="8"/>
  <c r="D128" i="8"/>
  <c r="B129" i="8"/>
  <c r="C129" i="8"/>
  <c r="D129" i="8"/>
  <c r="B130" i="8"/>
  <c r="C130" i="8"/>
  <c r="D130" i="8"/>
  <c r="B131" i="8"/>
  <c r="C131" i="8"/>
  <c r="D131" i="8"/>
  <c r="B132" i="8"/>
  <c r="C132" i="8"/>
  <c r="D132" i="8"/>
  <c r="B133" i="8"/>
  <c r="C133" i="8"/>
  <c r="D133" i="8"/>
  <c r="C115" i="8"/>
  <c r="B115" i="8"/>
  <c r="N51" i="2"/>
  <c r="K13" i="2"/>
  <c r="N13" i="2" s="1"/>
  <c r="L13" i="2"/>
  <c r="O13" i="2" s="1"/>
  <c r="K60" i="2"/>
  <c r="N60" i="2" s="1"/>
  <c r="G6" i="2"/>
  <c r="K6" i="2" s="1"/>
  <c r="N6" i="2" s="1"/>
  <c r="J33" i="1"/>
  <c r="J32" i="1"/>
  <c r="J29" i="1"/>
  <c r="J28" i="1"/>
  <c r="J28" i="5" s="1"/>
  <c r="G74" i="1"/>
  <c r="D52" i="87" l="1"/>
  <c r="G1" i="87"/>
  <c r="I1" i="87" s="1"/>
  <c r="C52" i="87" s="1"/>
  <c r="AD28" i="29"/>
  <c r="AC28" i="29"/>
  <c r="AB28" i="29"/>
  <c r="J6" i="2"/>
  <c r="AR12" i="22" s="1"/>
  <c r="AD28" i="30"/>
  <c r="AB28" i="30"/>
  <c r="L6" i="2"/>
  <c r="O6" i="2" s="1"/>
  <c r="T30" i="91"/>
  <c r="L106" i="1"/>
  <c r="O106" i="1" s="1"/>
  <c r="K106" i="1"/>
  <c r="N106" i="1" s="1"/>
  <c r="T32" i="8"/>
  <c r="U29" i="8"/>
  <c r="U32" i="8" s="1"/>
  <c r="J5" i="19"/>
  <c r="J5" i="49"/>
  <c r="J5" i="59"/>
  <c r="J5" i="48"/>
  <c r="J5" i="33"/>
  <c r="J5" i="23"/>
  <c r="J5" i="7"/>
  <c r="J5" i="44"/>
  <c r="J5" i="46"/>
  <c r="J5" i="4"/>
  <c r="J5" i="5"/>
  <c r="J5" i="20"/>
  <c r="J5" i="66"/>
  <c r="J5" i="88"/>
  <c r="J5" i="6"/>
  <c r="J5" i="73"/>
  <c r="J5" i="21"/>
  <c r="J5" i="34"/>
  <c r="J5" i="26"/>
  <c r="J5" i="28"/>
  <c r="J5" i="18"/>
  <c r="J5" i="25"/>
  <c r="J5" i="47"/>
  <c r="J5" i="3"/>
  <c r="J5" i="37"/>
  <c r="J5" i="41"/>
  <c r="J5" i="10"/>
  <c r="J5" i="17"/>
  <c r="J5" i="35"/>
  <c r="J5" i="9"/>
  <c r="J5" i="11"/>
  <c r="J5" i="8"/>
  <c r="J5" i="79"/>
  <c r="J5" i="51"/>
  <c r="J5" i="53"/>
  <c r="J5" i="56"/>
  <c r="J5" i="57"/>
  <c r="J5" i="61"/>
  <c r="J5" i="15"/>
  <c r="J5" i="69"/>
  <c r="J5" i="70"/>
  <c r="J5" i="72"/>
  <c r="J5" i="36"/>
  <c r="J5" i="74"/>
  <c r="J5" i="43"/>
  <c r="J5" i="77"/>
  <c r="J16" i="16"/>
  <c r="J17" i="17"/>
  <c r="J9" i="18"/>
  <c r="J15" i="21"/>
  <c r="J17" i="23"/>
  <c r="J13" i="33"/>
  <c r="J10" i="34"/>
  <c r="J11" i="45"/>
  <c r="J17" i="51"/>
  <c r="J16" i="57"/>
  <c r="J7" i="82"/>
  <c r="J7" i="66"/>
  <c r="J11" i="44"/>
  <c r="J7" i="83"/>
  <c r="J16" i="70"/>
  <c r="J23" i="72"/>
  <c r="J20" i="3"/>
  <c r="J10" i="77"/>
  <c r="J12" i="88"/>
  <c r="J7" i="84"/>
  <c r="J14" i="5"/>
  <c r="J16" i="8"/>
  <c r="J17" i="19"/>
  <c r="J19" i="59"/>
  <c r="J7" i="74"/>
  <c r="J16" i="86"/>
  <c r="J15" i="20"/>
  <c r="J16" i="7"/>
  <c r="J30" i="1"/>
  <c r="G15" i="1"/>
  <c r="G26" i="1"/>
  <c r="J26" i="1" s="1"/>
  <c r="G31" i="1"/>
  <c r="J18" i="1"/>
  <c r="J21" i="11" s="1"/>
  <c r="G35" i="1"/>
  <c r="J46" i="2"/>
  <c r="AR16" i="9" s="1"/>
  <c r="J61" i="2"/>
  <c r="AR7" i="9" s="1"/>
  <c r="J42" i="2"/>
  <c r="AR15" i="22" s="1"/>
  <c r="J53" i="2"/>
  <c r="AR9" i="9" s="1"/>
  <c r="J49" i="2"/>
  <c r="AR19" i="9" s="1"/>
  <c r="J51" i="2"/>
  <c r="AR11" i="18" s="1"/>
  <c r="J54" i="2"/>
  <c r="J122" i="1"/>
  <c r="J120" i="1"/>
  <c r="J110" i="1"/>
  <c r="J16" i="62" s="1"/>
  <c r="J115" i="1"/>
  <c r="J116" i="1"/>
  <c r="J6" i="73" s="1"/>
  <c r="J130" i="1"/>
  <c r="J37" i="49" s="1"/>
  <c r="J113" i="1"/>
  <c r="J123" i="1"/>
  <c r="J9" i="86" s="1"/>
  <c r="J114" i="1"/>
  <c r="J37" i="75" l="1"/>
  <c r="L37" i="75" s="1"/>
  <c r="J37" i="43"/>
  <c r="J14" i="11"/>
  <c r="J13" i="75"/>
  <c r="C53" i="87"/>
  <c r="D53" i="87" s="1"/>
  <c r="J31" i="1"/>
  <c r="J11" i="88" s="1"/>
  <c r="K31" i="1"/>
  <c r="N31" i="1" s="1"/>
  <c r="L31" i="1"/>
  <c r="O31" i="1" s="1"/>
  <c r="AR13" i="43"/>
  <c r="AR8" i="9"/>
  <c r="J16" i="75"/>
  <c r="J26" i="11"/>
  <c r="J37" i="62"/>
  <c r="J37" i="35"/>
  <c r="J37" i="60"/>
  <c r="J37" i="59"/>
  <c r="J37" i="57"/>
  <c r="J37" i="48"/>
  <c r="J37" i="47"/>
  <c r="J37" i="46"/>
  <c r="J37" i="44"/>
  <c r="J37" i="41"/>
  <c r="J37" i="29"/>
  <c r="J37" i="72"/>
  <c r="J37" i="25"/>
  <c r="J37" i="23"/>
  <c r="J37" i="20"/>
  <c r="J37" i="18"/>
  <c r="J37" i="19"/>
  <c r="J37" i="15"/>
  <c r="J37" i="10"/>
  <c r="J37" i="9"/>
  <c r="J37" i="5"/>
  <c r="J37" i="56"/>
  <c r="J35" i="4"/>
  <c r="J37" i="3"/>
  <c r="J37" i="7"/>
  <c r="J37" i="70"/>
  <c r="J37" i="69"/>
  <c r="J37" i="8"/>
  <c r="J9" i="83"/>
  <c r="J9" i="84"/>
  <c r="J9" i="82"/>
  <c r="J20" i="50"/>
  <c r="J18" i="16"/>
  <c r="J11" i="61"/>
  <c r="J15" i="8"/>
  <c r="J16" i="32"/>
  <c r="J25" i="17"/>
  <c r="J11" i="39"/>
  <c r="J13" i="21"/>
  <c r="J11" i="91"/>
  <c r="J10" i="89"/>
  <c r="J7" i="73"/>
  <c r="J13" i="12"/>
  <c r="J21" i="72"/>
  <c r="J8" i="3"/>
  <c r="J19" i="72"/>
  <c r="J11" i="8"/>
  <c r="J7" i="27"/>
  <c r="J16" i="51"/>
  <c r="J8" i="5"/>
  <c r="J10" i="15"/>
  <c r="J7" i="14"/>
  <c r="J13" i="18"/>
  <c r="J7" i="26"/>
  <c r="J8" i="28"/>
  <c r="J5" i="86"/>
  <c r="J7" i="38"/>
  <c r="J8" i="47"/>
  <c r="J7" i="54"/>
  <c r="J13" i="56"/>
  <c r="J10" i="57"/>
  <c r="J9" i="59"/>
  <c r="J8" i="70"/>
  <c r="J15" i="87"/>
  <c r="J7" i="12"/>
  <c r="J14" i="18"/>
  <c r="J18" i="17"/>
  <c r="J19" i="58"/>
  <c r="J16" i="47"/>
  <c r="J21" i="3"/>
  <c r="J14" i="51"/>
  <c r="J8" i="38"/>
  <c r="J8" i="54"/>
  <c r="J17" i="28"/>
  <c r="J12" i="37"/>
  <c r="J12" i="57"/>
  <c r="J19" i="17"/>
  <c r="J12" i="58"/>
  <c r="J15" i="47"/>
  <c r="J15" i="18"/>
  <c r="J12" i="72"/>
  <c r="J8" i="14"/>
  <c r="J79" i="1"/>
  <c r="J38" i="33" s="1"/>
  <c r="J81" i="1"/>
  <c r="J37" i="33" s="1"/>
  <c r="J77" i="1"/>
  <c r="J78" i="1"/>
  <c r="I95" i="1"/>
  <c r="G95" i="1"/>
  <c r="J94" i="1"/>
  <c r="G44" i="2"/>
  <c r="J44" i="2" s="1"/>
  <c r="AR17" i="9" s="1"/>
  <c r="J87" i="1"/>
  <c r="G86" i="1"/>
  <c r="J86" i="1" s="1"/>
  <c r="C54" i="87" l="1"/>
  <c r="J7" i="25"/>
  <c r="J37" i="71"/>
  <c r="J37" i="28"/>
  <c r="J8" i="57"/>
  <c r="J14" i="86"/>
  <c r="J11" i="28"/>
  <c r="J22" i="3"/>
  <c r="J17" i="44"/>
  <c r="J19" i="8"/>
  <c r="J15" i="19"/>
  <c r="J11" i="6"/>
  <c r="J16" i="5"/>
  <c r="J17" i="45"/>
  <c r="J12" i="49"/>
  <c r="J11" i="56"/>
  <c r="J15" i="60"/>
  <c r="J10" i="18"/>
  <c r="J18" i="20"/>
  <c r="J16" i="21"/>
  <c r="J24" i="72"/>
  <c r="J17" i="31"/>
  <c r="J13" i="41"/>
  <c r="J17" i="5"/>
  <c r="J10" i="61"/>
  <c r="J23" i="8"/>
  <c r="J8" i="27"/>
  <c r="J11" i="19"/>
  <c r="J28" i="17"/>
  <c r="J16" i="50"/>
  <c r="J8" i="26"/>
  <c r="J14" i="56"/>
  <c r="J14" i="21"/>
  <c r="J13" i="57"/>
  <c r="J16" i="49"/>
  <c r="J8" i="18"/>
  <c r="J14" i="69"/>
  <c r="J95" i="1"/>
  <c r="G14" i="2"/>
  <c r="J14" i="2" s="1"/>
  <c r="AR9" i="36" s="1"/>
  <c r="G17" i="2"/>
  <c r="J17" i="2" s="1"/>
  <c r="AR10" i="22" s="1"/>
  <c r="G15" i="2"/>
  <c r="J15" i="2" s="1"/>
  <c r="AR13" i="56" s="1"/>
  <c r="G12" i="2"/>
  <c r="J12" i="2" s="1"/>
  <c r="G17" i="1"/>
  <c r="J17" i="1" s="1"/>
  <c r="G20" i="1"/>
  <c r="J20" i="1" s="1"/>
  <c r="G25" i="1"/>
  <c r="J25" i="1" s="1"/>
  <c r="G24" i="1"/>
  <c r="J24" i="1" s="1"/>
  <c r="G21" i="1"/>
  <c r="J21" i="1" s="1"/>
  <c r="J12" i="5" s="1"/>
  <c r="G23" i="1"/>
  <c r="J23" i="1" s="1"/>
  <c r="J14" i="92" s="1"/>
  <c r="G19" i="1"/>
  <c r="J19" i="1" s="1"/>
  <c r="G22" i="1"/>
  <c r="J22" i="1" s="1"/>
  <c r="G16" i="1"/>
  <c r="J16" i="1" s="1"/>
  <c r="J106" i="1"/>
  <c r="J5" i="50" s="1"/>
  <c r="G108" i="1"/>
  <c r="G104" i="1"/>
  <c r="G103" i="1"/>
  <c r="I107" i="1"/>
  <c r="G107" i="1"/>
  <c r="G105" i="1"/>
  <c r="D54" i="87" l="1"/>
  <c r="C55" i="87"/>
  <c r="D55" i="87" s="1"/>
  <c r="J108" i="1"/>
  <c r="J6" i="84" s="1"/>
  <c r="L108" i="1"/>
  <c r="O108" i="1" s="1"/>
  <c r="K108" i="1"/>
  <c r="N108" i="1" s="1"/>
  <c r="J104" i="1"/>
  <c r="J5" i="45" s="1"/>
  <c r="L104" i="1"/>
  <c r="O104" i="1" s="1"/>
  <c r="K104" i="1"/>
  <c r="N104" i="1" s="1"/>
  <c r="J103" i="1"/>
  <c r="J5" i="16" s="1"/>
  <c r="L103" i="1"/>
  <c r="O103" i="1" s="1"/>
  <c r="K103" i="1"/>
  <c r="N103" i="1" s="1"/>
  <c r="L107" i="1"/>
  <c r="O107" i="1" s="1"/>
  <c r="K107" i="1"/>
  <c r="N107" i="1" s="1"/>
  <c r="J105" i="1"/>
  <c r="J5" i="64" s="1"/>
  <c r="L105" i="1"/>
  <c r="O105" i="1" s="1"/>
  <c r="K105" i="1"/>
  <c r="N105" i="1" s="1"/>
  <c r="AR13" i="73"/>
  <c r="AR13" i="30"/>
  <c r="AR11" i="22"/>
  <c r="AR18" i="9"/>
  <c r="AR13" i="6"/>
  <c r="AR12" i="53"/>
  <c r="AR13" i="21"/>
  <c r="J13" i="16"/>
  <c r="J19" i="65"/>
  <c r="J9" i="64"/>
  <c r="J8" i="42"/>
  <c r="J16" i="69"/>
  <c r="J9" i="30"/>
  <c r="J19" i="32"/>
  <c r="J13" i="43"/>
  <c r="J13" i="71"/>
  <c r="J8" i="33"/>
  <c r="J8" i="46"/>
  <c r="J13" i="45"/>
  <c r="J13" i="44"/>
  <c r="J9" i="41"/>
  <c r="J13" i="26"/>
  <c r="J13" i="27"/>
  <c r="J8" i="45"/>
  <c r="J8" i="44"/>
  <c r="J7" i="34"/>
  <c r="J9" i="50"/>
  <c r="J14" i="20"/>
  <c r="J9" i="48"/>
  <c r="J9" i="44"/>
  <c r="J10" i="27"/>
  <c r="J15" i="56"/>
  <c r="J15" i="23"/>
  <c r="J10" i="41"/>
  <c r="J10" i="26"/>
  <c r="J10" i="65"/>
  <c r="J9" i="45"/>
  <c r="J9" i="61"/>
  <c r="J14" i="60"/>
  <c r="J9" i="29"/>
  <c r="J9" i="62"/>
  <c r="J14" i="7"/>
  <c r="J9" i="66"/>
  <c r="J11" i="87"/>
  <c r="J13" i="32"/>
  <c r="J10" i="51"/>
  <c r="J9" i="31"/>
  <c r="J20" i="85"/>
  <c r="J21" i="70"/>
  <c r="J9" i="19"/>
  <c r="J7" i="77"/>
  <c r="J9" i="88"/>
  <c r="J9" i="26"/>
  <c r="J13" i="31"/>
  <c r="J10" i="37"/>
  <c r="J8" i="41"/>
  <c r="J17" i="50"/>
  <c r="J9" i="53"/>
  <c r="J6" i="56"/>
  <c r="J15" i="61"/>
  <c r="J25" i="57"/>
  <c r="J17" i="86"/>
  <c r="J17" i="8"/>
  <c r="J22" i="69"/>
  <c r="J27" i="17"/>
  <c r="J6" i="18"/>
  <c r="J16" i="72"/>
  <c r="J17" i="21"/>
  <c r="J9" i="27"/>
  <c r="J9" i="56"/>
  <c r="J13" i="5"/>
  <c r="J13" i="8"/>
  <c r="J8" i="56"/>
  <c r="J7" i="86"/>
  <c r="J11" i="5"/>
  <c r="J12" i="8"/>
  <c r="J16" i="43"/>
  <c r="J16" i="31"/>
  <c r="J11" i="41"/>
  <c r="J10" i="53"/>
  <c r="J11" i="37"/>
  <c r="J7" i="56"/>
  <c r="J14" i="8"/>
  <c r="J14" i="61"/>
  <c r="J18" i="32"/>
  <c r="J7" i="18"/>
  <c r="J11" i="65"/>
  <c r="J10" i="5"/>
  <c r="J20" i="44"/>
  <c r="J15" i="86"/>
  <c r="J14" i="27"/>
  <c r="J14" i="26"/>
  <c r="J20" i="45"/>
  <c r="J7" i="21"/>
  <c r="J6" i="53"/>
  <c r="J6" i="21"/>
  <c r="J6" i="82"/>
  <c r="J6" i="83"/>
  <c r="J107" i="1"/>
  <c r="J5" i="27" s="1"/>
  <c r="G75" i="1"/>
  <c r="J75" i="1" s="1"/>
  <c r="J17" i="48" s="1"/>
  <c r="J72" i="1"/>
  <c r="J38" i="9" s="1"/>
  <c r="G73" i="1"/>
  <c r="J73" i="1" s="1"/>
  <c r="J8" i="85" s="1"/>
  <c r="G69" i="1"/>
  <c r="J69" i="1" s="1"/>
  <c r="J38" i="30" s="1"/>
  <c r="G71" i="1"/>
  <c r="J71" i="1" s="1"/>
  <c r="J15" i="7" s="1"/>
  <c r="G70" i="1"/>
  <c r="J70" i="1" s="1"/>
  <c r="J6" i="74" s="1"/>
  <c r="J74" i="1"/>
  <c r="J10" i="87" s="1"/>
  <c r="J8" i="79" l="1"/>
  <c r="J19" i="86"/>
  <c r="J12" i="13"/>
  <c r="J12" i="40"/>
  <c r="J6" i="79"/>
  <c r="J12" i="55"/>
  <c r="J9" i="85"/>
  <c r="J12" i="78"/>
  <c r="J13" i="2"/>
  <c r="AR13" i="36" s="1"/>
  <c r="G16" i="2"/>
  <c r="J16" i="2" s="1"/>
  <c r="J39" i="2"/>
  <c r="J40" i="2"/>
  <c r="J65" i="1"/>
  <c r="J67" i="1"/>
  <c r="D51" i="84"/>
  <c r="C51" i="84"/>
  <c r="E131" i="16"/>
  <c r="E132" i="16"/>
  <c r="E133" i="16"/>
  <c r="E134" i="16"/>
  <c r="E135" i="16"/>
  <c r="E136" i="16"/>
  <c r="E137" i="16"/>
  <c r="E138" i="16"/>
  <c r="E139" i="16"/>
  <c r="E140" i="16"/>
  <c r="E141" i="16"/>
  <c r="E142" i="16"/>
  <c r="E130" i="16"/>
  <c r="E129" i="16"/>
  <c r="AR18" i="72" l="1"/>
  <c r="AR8" i="73"/>
  <c r="AR8" i="41"/>
  <c r="AR8" i="53"/>
  <c r="AR8" i="3"/>
  <c r="AR13" i="47"/>
  <c r="AR8" i="69"/>
  <c r="AR8" i="56"/>
  <c r="AR8" i="8"/>
  <c r="AR13" i="79"/>
  <c r="AR8" i="61"/>
  <c r="AT8" i="61" s="1"/>
  <c r="AR18" i="57"/>
  <c r="AR8" i="25"/>
  <c r="AR8" i="70"/>
  <c r="AR8" i="15"/>
  <c r="AR8" i="37"/>
  <c r="AR8" i="30"/>
  <c r="AR8" i="26"/>
  <c r="AR18" i="28"/>
  <c r="AR8" i="21"/>
  <c r="AR18" i="18"/>
  <c r="AR6" i="9"/>
  <c r="AR8" i="6"/>
  <c r="AR8" i="17"/>
  <c r="AR9" i="8"/>
  <c r="AR9" i="56"/>
  <c r="AR19" i="57"/>
  <c r="AR9" i="37"/>
  <c r="AR17" i="47"/>
  <c r="AR9" i="69"/>
  <c r="AR9" i="30"/>
  <c r="AR9" i="70"/>
  <c r="AR9" i="3"/>
  <c r="AR19" i="28"/>
  <c r="AR9" i="26"/>
  <c r="AR9" i="25"/>
  <c r="AR9" i="21"/>
  <c r="AR9" i="41"/>
  <c r="AR19" i="72"/>
  <c r="AR19" i="18"/>
  <c r="AR9" i="15"/>
  <c r="AR9" i="61"/>
  <c r="AT9" i="61" s="1"/>
  <c r="AR9" i="53"/>
  <c r="AR9" i="6"/>
  <c r="AR9" i="73"/>
  <c r="AR9" i="17"/>
  <c r="AR12" i="8"/>
  <c r="AR12" i="69"/>
  <c r="AR15" i="58"/>
  <c r="AR20" i="9"/>
  <c r="AR13" i="28"/>
  <c r="AR12" i="56"/>
  <c r="AR16" i="47"/>
  <c r="AR13" i="57"/>
  <c r="AR13" i="18"/>
  <c r="AR12" i="17"/>
  <c r="AR16" i="25"/>
  <c r="AR12" i="26"/>
  <c r="AR13" i="72"/>
  <c r="AR12" i="41"/>
  <c r="AR12" i="15"/>
  <c r="AR12" i="70"/>
  <c r="AR16" i="17"/>
  <c r="J19" i="18"/>
  <c r="J18" i="8"/>
  <c r="J8" i="10"/>
  <c r="J15" i="17"/>
  <c r="J19" i="28"/>
  <c r="J8" i="35"/>
  <c r="J20" i="47"/>
  <c r="J14" i="49"/>
  <c r="J15" i="50"/>
  <c r="J17" i="56"/>
  <c r="J18" i="57"/>
  <c r="J18" i="62"/>
  <c r="J16" i="65"/>
  <c r="J17" i="85"/>
  <c r="J19" i="69"/>
  <c r="J14" i="3"/>
  <c r="J15" i="15"/>
  <c r="J7" i="10"/>
  <c r="J18" i="23"/>
  <c r="J18" i="26"/>
  <c r="J18" i="27"/>
  <c r="J18" i="28"/>
  <c r="J7" i="35"/>
  <c r="J10" i="44"/>
  <c r="J10" i="45"/>
  <c r="J17" i="49"/>
  <c r="J21" i="58"/>
  <c r="J17" i="59"/>
  <c r="J18" i="86"/>
  <c r="J18" i="70"/>
  <c r="J27" i="72"/>
  <c r="J102" i="80" l="1"/>
  <c r="J82" i="80"/>
  <c r="J66" i="80"/>
  <c r="J38" i="80"/>
  <c r="J55" i="2"/>
  <c r="AR7" i="36" s="1"/>
  <c r="J56" i="2"/>
  <c r="AR6" i="36" s="1"/>
  <c r="J58" i="2"/>
  <c r="AR6" i="43" s="1"/>
  <c r="J52" i="2"/>
  <c r="AR14" i="79" s="1"/>
  <c r="J57" i="2"/>
  <c r="AR19" i="79" s="1"/>
  <c r="J59" i="2"/>
  <c r="AR7" i="43" s="1"/>
  <c r="J127" i="1"/>
  <c r="J119" i="1"/>
  <c r="J22" i="11" s="1"/>
  <c r="J112" i="1"/>
  <c r="J133" i="1"/>
  <c r="J10" i="88" s="1"/>
  <c r="J136" i="1"/>
  <c r="J9" i="79" s="1"/>
  <c r="J140" i="1"/>
  <c r="J121" i="1"/>
  <c r="J126" i="1"/>
  <c r="J6" i="71" s="1"/>
  <c r="J118" i="1"/>
  <c r="J14" i="50" s="1"/>
  <c r="J131" i="1"/>
  <c r="J125" i="1"/>
  <c r="J124" i="1"/>
  <c r="J39" i="61" s="1"/>
  <c r="L39" i="61" s="1"/>
  <c r="J139" i="1"/>
  <c r="J135" i="1"/>
  <c r="J37" i="61" s="1"/>
  <c r="L37" i="61" s="1"/>
  <c r="W35" i="61" s="1"/>
  <c r="J117" i="1"/>
  <c r="J19" i="31" s="1"/>
  <c r="J134" i="1"/>
  <c r="J111" i="1"/>
  <c r="J138" i="1"/>
  <c r="J132" i="1"/>
  <c r="J10" i="2"/>
  <c r="J7" i="2"/>
  <c r="AR10" i="43" s="1"/>
  <c r="J3" i="2"/>
  <c r="J5" i="2"/>
  <c r="AR15" i="79" s="1"/>
  <c r="J8" i="2"/>
  <c r="AR12" i="79" s="1"/>
  <c r="J9" i="2"/>
  <c r="AR11" i="43" s="1"/>
  <c r="J4" i="2"/>
  <c r="J12" i="1"/>
  <c r="J38" i="49" s="1"/>
  <c r="J10" i="1"/>
  <c r="J20" i="11" s="1"/>
  <c r="K4" i="1"/>
  <c r="N4" i="1" s="1"/>
  <c r="O4" i="1"/>
  <c r="J7" i="1"/>
  <c r="J9" i="1"/>
  <c r="J13" i="1"/>
  <c r="J25" i="11" s="1"/>
  <c r="J6" i="1"/>
  <c r="J23" i="11" s="1"/>
  <c r="J8" i="1"/>
  <c r="J13" i="47" s="1"/>
  <c r="J4" i="1"/>
  <c r="J18" i="61" s="1"/>
  <c r="J5" i="1"/>
  <c r="J3" i="1"/>
  <c r="J8" i="92" s="1"/>
  <c r="J38" i="26" l="1"/>
  <c r="J38" i="61"/>
  <c r="L38" i="61" s="1"/>
  <c r="AR7" i="8"/>
  <c r="AR7" i="73"/>
  <c r="AR7" i="21"/>
  <c r="AR7" i="17"/>
  <c r="AR7" i="79"/>
  <c r="AR7" i="70"/>
  <c r="AR7" i="61"/>
  <c r="AT7" i="61" s="1"/>
  <c r="AR7" i="15"/>
  <c r="AR17" i="72"/>
  <c r="AR17" i="18"/>
  <c r="AR7" i="3"/>
  <c r="AR7" i="69"/>
  <c r="AR7" i="6"/>
  <c r="AR7" i="41"/>
  <c r="AR8" i="43"/>
  <c r="AR7" i="37"/>
  <c r="AR7" i="26"/>
  <c r="AR17" i="57"/>
  <c r="AR7" i="30"/>
  <c r="AR7" i="56"/>
  <c r="AR17" i="28"/>
  <c r="AR7" i="53"/>
  <c r="AR7" i="25"/>
  <c r="AR16" i="22"/>
  <c r="AR7" i="47"/>
  <c r="AR6" i="41"/>
  <c r="AR6" i="70"/>
  <c r="AR6" i="73"/>
  <c r="AR16" i="72"/>
  <c r="AR6" i="3"/>
  <c r="AR6" i="69"/>
  <c r="AR6" i="61"/>
  <c r="AT6" i="61" s="1"/>
  <c r="AR16" i="57"/>
  <c r="AR6" i="17"/>
  <c r="AR6" i="56"/>
  <c r="AR6" i="53"/>
  <c r="AR16" i="28"/>
  <c r="AR6" i="25"/>
  <c r="AR6" i="79"/>
  <c r="AR6" i="26"/>
  <c r="AR6" i="8"/>
  <c r="AR6" i="21"/>
  <c r="AR6" i="47"/>
  <c r="AR16" i="18"/>
  <c r="AR6" i="37"/>
  <c r="AR6" i="30"/>
  <c r="AR6" i="15"/>
  <c r="AR6" i="6"/>
  <c r="AR8" i="57"/>
  <c r="AR17" i="79"/>
  <c r="AR14" i="47"/>
  <c r="AR8" i="28"/>
  <c r="AR8" i="18"/>
  <c r="AR15" i="47"/>
  <c r="AR9" i="43"/>
  <c r="AR8" i="72"/>
  <c r="AR13" i="17"/>
  <c r="J14" i="75"/>
  <c r="J7" i="92"/>
  <c r="J15" i="11"/>
  <c r="J27" i="11"/>
  <c r="J19" i="75"/>
  <c r="J39" i="26"/>
  <c r="J28" i="11"/>
  <c r="J37" i="79"/>
  <c r="J37" i="26"/>
  <c r="J38" i="71"/>
  <c r="J38" i="70"/>
  <c r="J38" i="66"/>
  <c r="J38" i="60"/>
  <c r="J38" i="57"/>
  <c r="J38" i="48"/>
  <c r="J37" i="32"/>
  <c r="J38" i="28"/>
  <c r="J38" i="20"/>
  <c r="J38" i="8"/>
  <c r="J15" i="75"/>
  <c r="J6" i="92"/>
  <c r="J6" i="11"/>
  <c r="J6" i="22"/>
  <c r="J12" i="17"/>
  <c r="J19" i="15"/>
  <c r="J11" i="13"/>
  <c r="J11" i="24"/>
  <c r="J11" i="55"/>
  <c r="J11" i="40"/>
  <c r="J11" i="68"/>
  <c r="J11" i="78"/>
  <c r="J7" i="68"/>
  <c r="J7" i="55"/>
  <c r="J7" i="24"/>
  <c r="J7" i="40"/>
  <c r="J8" i="52"/>
  <c r="J7" i="78"/>
  <c r="J7" i="13"/>
  <c r="J9" i="3"/>
  <c r="J7" i="45"/>
  <c r="J13" i="74"/>
  <c r="J12" i="18"/>
  <c r="J7" i="43"/>
  <c r="J7" i="69"/>
  <c r="J8" i="23"/>
  <c r="J6" i="26"/>
  <c r="J13" i="88"/>
  <c r="J6" i="27"/>
  <c r="J7" i="71"/>
  <c r="J13" i="17"/>
  <c r="J9" i="5"/>
  <c r="J9" i="70"/>
  <c r="J10" i="8"/>
  <c r="J19" i="85"/>
  <c r="J20" i="72"/>
  <c r="J9" i="28"/>
  <c r="J6" i="6"/>
  <c r="J9" i="65"/>
  <c r="J8" i="20"/>
  <c r="J27" i="5"/>
  <c r="J7" i="61"/>
  <c r="J7" i="29"/>
  <c r="J8" i="7"/>
  <c r="J7" i="49"/>
  <c r="J8" i="60"/>
  <c r="J7" i="58"/>
  <c r="J6" i="67"/>
  <c r="J7" i="59"/>
  <c r="J7" i="31"/>
  <c r="J7" i="62"/>
  <c r="J11" i="57"/>
  <c r="J9" i="47"/>
  <c r="J10" i="56"/>
  <c r="J7" i="44"/>
  <c r="J13" i="51"/>
  <c r="J9" i="15"/>
  <c r="J17" i="32"/>
  <c r="J7" i="33"/>
  <c r="J6" i="86"/>
  <c r="J14" i="16"/>
  <c r="J7" i="48"/>
  <c r="J7" i="19"/>
  <c r="J6" i="46"/>
  <c r="J7" i="41"/>
  <c r="J7" i="50"/>
  <c r="J12" i="46"/>
  <c r="J8" i="43"/>
  <c r="J18" i="45"/>
  <c r="J18" i="44"/>
  <c r="J10" i="3"/>
  <c r="J15" i="59"/>
  <c r="J11" i="72"/>
  <c r="J22" i="15"/>
  <c r="J10" i="28"/>
  <c r="J10" i="70"/>
  <c r="J15" i="51"/>
  <c r="J10" i="24"/>
  <c r="J7" i="5"/>
  <c r="J7" i="8"/>
  <c r="J10" i="68"/>
  <c r="J9" i="67"/>
  <c r="J22" i="31"/>
  <c r="J10" i="55"/>
  <c r="J10" i="40"/>
  <c r="J5" i="85"/>
  <c r="J9" i="87"/>
  <c r="J10" i="66"/>
  <c r="J23" i="15"/>
  <c r="J9" i="37"/>
  <c r="J10" i="78"/>
  <c r="J10" i="13"/>
  <c r="J9" i="23"/>
  <c r="J13" i="86"/>
  <c r="J21" i="31"/>
  <c r="J9" i="40"/>
  <c r="J8" i="37"/>
  <c r="J6" i="85"/>
  <c r="J25" i="15"/>
  <c r="J9" i="55"/>
  <c r="J9" i="8"/>
  <c r="J8" i="87"/>
  <c r="J8" i="67"/>
  <c r="J9" i="68"/>
  <c r="J12" i="86"/>
  <c r="J9" i="13"/>
  <c r="J9" i="78"/>
  <c r="J9" i="24"/>
  <c r="J8" i="68"/>
  <c r="J7" i="87"/>
  <c r="J7" i="37"/>
  <c r="J8" i="78"/>
  <c r="J7" i="85"/>
  <c r="J7" i="67"/>
  <c r="J8" i="40"/>
  <c r="J24" i="15"/>
  <c r="J8" i="13"/>
  <c r="J11" i="86"/>
  <c r="J8" i="55"/>
  <c r="J8" i="8"/>
  <c r="J8" i="24"/>
  <c r="J20" i="31"/>
  <c r="J6" i="14"/>
  <c r="J6" i="38"/>
  <c r="J6" i="39"/>
  <c r="J23" i="31"/>
  <c r="J6" i="52"/>
  <c r="J6" i="89"/>
  <c r="J6" i="54"/>
  <c r="J6" i="91"/>
  <c r="J6" i="12"/>
  <c r="J6" i="13"/>
  <c r="J6" i="78"/>
  <c r="J6" i="24"/>
  <c r="J8" i="86"/>
  <c r="J7" i="52"/>
  <c r="J6" i="40"/>
  <c r="J7" i="79"/>
  <c r="J10" i="4"/>
  <c r="J6" i="68"/>
  <c r="J6" i="55"/>
  <c r="J13" i="46"/>
  <c r="J20" i="18"/>
  <c r="J7" i="3"/>
  <c r="J8" i="48"/>
  <c r="J8" i="31"/>
  <c r="J18" i="31"/>
  <c r="J7" i="20"/>
  <c r="J7" i="57"/>
  <c r="J6" i="88"/>
  <c r="J8" i="50"/>
  <c r="J22" i="72"/>
  <c r="J11" i="51"/>
  <c r="J7" i="23"/>
  <c r="J7" i="7"/>
  <c r="J7" i="70"/>
  <c r="J7" i="28"/>
  <c r="J6" i="65"/>
  <c r="J8" i="69"/>
  <c r="J5" i="87"/>
  <c r="J8" i="29"/>
  <c r="J7" i="60"/>
  <c r="J8" i="32"/>
  <c r="J7" i="47"/>
  <c r="J8" i="61"/>
  <c r="J8" i="59"/>
  <c r="J8" i="62"/>
  <c r="J6" i="43"/>
  <c r="J6" i="69"/>
  <c r="J10" i="17"/>
  <c r="J6" i="5"/>
  <c r="J7" i="15"/>
  <c r="J18" i="72"/>
  <c r="J12" i="42"/>
  <c r="J6" i="59"/>
  <c r="J6" i="45"/>
  <c r="J6" i="37"/>
  <c r="J6" i="58"/>
  <c r="J8" i="16"/>
  <c r="J10" i="67"/>
  <c r="J6" i="28"/>
  <c r="J7" i="46"/>
  <c r="J18" i="85"/>
  <c r="J16" i="27"/>
  <c r="J6" i="87"/>
  <c r="J6" i="47"/>
  <c r="J11" i="18"/>
  <c r="J13" i="30"/>
  <c r="J6" i="31"/>
  <c r="J6" i="48"/>
  <c r="J6" i="23"/>
  <c r="J6" i="44"/>
  <c r="J6" i="19"/>
  <c r="J6" i="49"/>
  <c r="J6" i="62"/>
  <c r="J6" i="60"/>
  <c r="J6" i="20"/>
  <c r="J6" i="70"/>
  <c r="J6" i="50"/>
  <c r="J6" i="33"/>
  <c r="J7" i="65"/>
  <c r="J6" i="57"/>
  <c r="J6" i="3"/>
  <c r="J6" i="8"/>
  <c r="J6" i="7"/>
  <c r="J6" i="29"/>
  <c r="J6" i="32"/>
  <c r="J16" i="26"/>
  <c r="J20" i="69"/>
  <c r="J14" i="71"/>
  <c r="J17" i="62"/>
  <c r="J20" i="62"/>
  <c r="J17" i="29"/>
  <c r="J17" i="61"/>
  <c r="J13" i="64"/>
  <c r="J17" i="65"/>
  <c r="J11" i="67"/>
  <c r="J14" i="74"/>
  <c r="J6" i="30"/>
  <c r="J14" i="43"/>
  <c r="J5" i="42"/>
  <c r="J7" i="16"/>
  <c r="J6" i="64"/>
  <c r="J12" i="33"/>
  <c r="J18" i="69"/>
  <c r="J12" i="27"/>
  <c r="J10" i="71"/>
  <c r="J12" i="26"/>
  <c r="J21" i="15"/>
  <c r="J26" i="72"/>
  <c r="J13" i="58"/>
  <c r="J13" i="28"/>
  <c r="J8" i="15"/>
  <c r="J22" i="70"/>
  <c r="J14" i="23"/>
  <c r="J14" i="88"/>
  <c r="J18" i="3"/>
  <c r="J7" i="30"/>
  <c r="J14" i="44"/>
  <c r="J14" i="45"/>
  <c r="J14" i="58"/>
  <c r="J12" i="19"/>
  <c r="J6" i="16"/>
  <c r="J15" i="43"/>
  <c r="J15" i="27"/>
  <c r="J17" i="69"/>
  <c r="J9" i="49"/>
  <c r="J15" i="57"/>
  <c r="J14" i="41"/>
  <c r="J15" i="26"/>
  <c r="J9" i="33"/>
  <c r="J7" i="64"/>
  <c r="J14" i="15"/>
  <c r="J23" i="28"/>
  <c r="J13" i="29"/>
  <c r="J14" i="47"/>
  <c r="J11" i="71"/>
  <c r="J14" i="46"/>
  <c r="J18" i="59"/>
  <c r="J19" i="3"/>
  <c r="J6" i="42"/>
  <c r="J15" i="70"/>
  <c r="J8" i="6"/>
  <c r="J11" i="17"/>
  <c r="J8" i="72"/>
  <c r="J16" i="19"/>
  <c r="J17" i="57"/>
  <c r="J12" i="16"/>
  <c r="J16" i="48"/>
  <c r="J10" i="33"/>
  <c r="J21" i="47"/>
  <c r="J19" i="62"/>
  <c r="J9" i="54"/>
  <c r="J9" i="14"/>
  <c r="J10" i="85"/>
  <c r="J6" i="15"/>
  <c r="J19" i="27"/>
  <c r="J12" i="87"/>
  <c r="J7" i="42"/>
  <c r="J8" i="30"/>
  <c r="J19" i="45"/>
  <c r="J6" i="41"/>
  <c r="J14" i="29"/>
  <c r="J17" i="18"/>
  <c r="J15" i="67"/>
  <c r="J19" i="26"/>
  <c r="J15" i="46"/>
  <c r="J20" i="70"/>
  <c r="J16" i="58"/>
  <c r="J15" i="69"/>
  <c r="J19" i="44"/>
  <c r="J12" i="61"/>
  <c r="J24" i="31"/>
  <c r="J9" i="38"/>
  <c r="J15" i="71"/>
  <c r="J20" i="59"/>
  <c r="J16" i="60"/>
  <c r="J12" i="43"/>
  <c r="J16" i="20"/>
  <c r="J25" i="72"/>
  <c r="J7" i="32"/>
  <c r="J22" i="8"/>
  <c r="J16" i="56"/>
  <c r="J19" i="5"/>
  <c r="J20" i="17"/>
  <c r="J17" i="7"/>
  <c r="J8" i="65"/>
  <c r="J22" i="28"/>
  <c r="J8" i="64"/>
  <c r="J17" i="3"/>
  <c r="J18" i="50"/>
  <c r="J13" i="49"/>
  <c r="J34" i="2"/>
  <c r="J31" i="2"/>
  <c r="AR14" i="43" s="1"/>
  <c r="J30" i="2"/>
  <c r="J32" i="2"/>
  <c r="J29" i="2"/>
  <c r="J28" i="2"/>
  <c r="J27" i="2"/>
  <c r="AR8" i="36" s="1"/>
  <c r="J26" i="2"/>
  <c r="J25" i="2"/>
  <c r="J24" i="2"/>
  <c r="J23" i="2"/>
  <c r="J22" i="2"/>
  <c r="J33" i="2"/>
  <c r="AR12" i="36" s="1"/>
  <c r="J36" i="2"/>
  <c r="J35" i="2"/>
  <c r="AR10" i="36" s="1"/>
  <c r="J37" i="2"/>
  <c r="J21" i="2"/>
  <c r="AR11" i="58" s="1"/>
  <c r="J20" i="2"/>
  <c r="AR11" i="36" s="1"/>
  <c r="J19" i="2"/>
  <c r="J35" i="1"/>
  <c r="J18" i="75" s="1"/>
  <c r="J49" i="1"/>
  <c r="J55" i="1"/>
  <c r="J8" i="53" s="1"/>
  <c r="J50" i="1"/>
  <c r="J9" i="12" s="1"/>
  <c r="J51" i="1"/>
  <c r="J53" i="1"/>
  <c r="J48" i="1"/>
  <c r="J6" i="17" s="1"/>
  <c r="J39" i="1"/>
  <c r="J40" i="1"/>
  <c r="J17" i="92" s="1"/>
  <c r="J43" i="1"/>
  <c r="J41" i="1"/>
  <c r="J11" i="92" s="1"/>
  <c r="J42" i="1"/>
  <c r="J9" i="4" s="1"/>
  <c r="J60" i="1"/>
  <c r="J20" i="75" s="1"/>
  <c r="J52" i="1"/>
  <c r="J57" i="1"/>
  <c r="J21" i="75" s="1"/>
  <c r="J38" i="1"/>
  <c r="J19" i="92" s="1"/>
  <c r="J37" i="1"/>
  <c r="J61" i="1"/>
  <c r="J19" i="11" s="1"/>
  <c r="J46" i="1"/>
  <c r="J7" i="4" s="1"/>
  <c r="J45" i="1"/>
  <c r="J44" i="1"/>
  <c r="J47" i="1"/>
  <c r="J56" i="1"/>
  <c r="J58" i="1"/>
  <c r="J16" i="4" s="1"/>
  <c r="J101" i="1"/>
  <c r="J100" i="1"/>
  <c r="J99" i="1"/>
  <c r="B95" i="42"/>
  <c r="C95" i="42"/>
  <c r="D95" i="42"/>
  <c r="B96" i="42"/>
  <c r="C96" i="42"/>
  <c r="D96" i="42"/>
  <c r="B97" i="42"/>
  <c r="C97" i="42"/>
  <c r="D97" i="42"/>
  <c r="B98" i="42"/>
  <c r="C98" i="42"/>
  <c r="D98" i="42"/>
  <c r="B99" i="42"/>
  <c r="C99" i="42"/>
  <c r="D99" i="42"/>
  <c r="B100" i="42"/>
  <c r="C100" i="42"/>
  <c r="D100" i="42"/>
  <c r="B101" i="42"/>
  <c r="C101" i="42"/>
  <c r="D101" i="42"/>
  <c r="C94" i="42"/>
  <c r="D94" i="42"/>
  <c r="F95" i="42"/>
  <c r="F96" i="42"/>
  <c r="F97" i="42"/>
  <c r="F98" i="42"/>
  <c r="F99" i="42"/>
  <c r="F100" i="42"/>
  <c r="F101" i="42"/>
  <c r="F94" i="42"/>
  <c r="B94" i="42"/>
  <c r="AL38" i="1"/>
  <c r="AL39" i="1"/>
  <c r="AL40" i="1"/>
  <c r="AL44" i="1"/>
  <c r="AL42" i="1"/>
  <c r="AL32" i="1"/>
  <c r="D5" i="92"/>
  <c r="D65" i="92" s="1"/>
  <c r="F87" i="92"/>
  <c r="F88" i="92"/>
  <c r="F89" i="92"/>
  <c r="F90" i="92"/>
  <c r="F91" i="92"/>
  <c r="F92" i="92"/>
  <c r="F93" i="92"/>
  <c r="F94" i="92"/>
  <c r="F95" i="92"/>
  <c r="F96" i="92"/>
  <c r="F97" i="92"/>
  <c r="F98" i="92"/>
  <c r="F99" i="92"/>
  <c r="F100" i="92"/>
  <c r="F86" i="92"/>
  <c r="F66" i="92"/>
  <c r="F67" i="92"/>
  <c r="F68" i="92"/>
  <c r="F69" i="92"/>
  <c r="F70" i="92"/>
  <c r="F71" i="92"/>
  <c r="F72" i="92"/>
  <c r="F73" i="92"/>
  <c r="F74" i="92"/>
  <c r="F75" i="92"/>
  <c r="F76" i="92"/>
  <c r="F77" i="92"/>
  <c r="F78" i="92"/>
  <c r="F79" i="92"/>
  <c r="F65" i="92"/>
  <c r="S28" i="92"/>
  <c r="U28" i="92" s="1"/>
  <c r="AN38" i="1"/>
  <c r="AL37" i="1"/>
  <c r="AL41" i="1"/>
  <c r="AL43" i="1"/>
  <c r="AL45" i="1"/>
  <c r="AL48" i="1"/>
  <c r="AL54" i="1"/>
  <c r="AL24" i="1"/>
  <c r="AL25" i="1"/>
  <c r="AL26" i="1"/>
  <c r="AL27" i="1"/>
  <c r="F133" i="7"/>
  <c r="F134" i="7"/>
  <c r="F135" i="7"/>
  <c r="F136" i="7"/>
  <c r="F137" i="7"/>
  <c r="F138" i="7"/>
  <c r="F139" i="7"/>
  <c r="F140" i="7"/>
  <c r="F141" i="7"/>
  <c r="F142" i="7"/>
  <c r="F143" i="7"/>
  <c r="F144" i="7"/>
  <c r="F145" i="7"/>
  <c r="F146" i="7"/>
  <c r="F132" i="7"/>
  <c r="B133" i="7"/>
  <c r="C133" i="7"/>
  <c r="D133" i="7"/>
  <c r="B134" i="7"/>
  <c r="C134" i="7"/>
  <c r="D134" i="7"/>
  <c r="B135" i="7"/>
  <c r="C135" i="7"/>
  <c r="D135" i="7"/>
  <c r="B136" i="7"/>
  <c r="C136" i="7"/>
  <c r="D136" i="7"/>
  <c r="B137" i="7"/>
  <c r="C137" i="7"/>
  <c r="D137" i="7"/>
  <c r="B138" i="7"/>
  <c r="C138" i="7"/>
  <c r="D138" i="7"/>
  <c r="B139" i="7"/>
  <c r="C139" i="7"/>
  <c r="D139" i="7"/>
  <c r="B140" i="7"/>
  <c r="C140" i="7"/>
  <c r="D140" i="7"/>
  <c r="B141" i="7"/>
  <c r="C141" i="7"/>
  <c r="D141" i="7"/>
  <c r="B142" i="7"/>
  <c r="C142" i="7"/>
  <c r="D142" i="7"/>
  <c r="B143" i="7"/>
  <c r="C143" i="7"/>
  <c r="D143" i="7"/>
  <c r="B144" i="7"/>
  <c r="C144" i="7"/>
  <c r="D144" i="7"/>
  <c r="B145" i="7"/>
  <c r="C145" i="7"/>
  <c r="D145" i="7"/>
  <c r="B146" i="7"/>
  <c r="C146" i="7"/>
  <c r="D146" i="7"/>
  <c r="C132" i="7"/>
  <c r="B132" i="7"/>
  <c r="D51" i="64"/>
  <c r="C51" i="64"/>
  <c r="J18" i="92" l="1"/>
  <c r="J8" i="4"/>
  <c r="J10" i="92"/>
  <c r="J12" i="4"/>
  <c r="J6" i="4"/>
  <c r="AR15" i="25"/>
  <c r="AR12" i="47"/>
  <c r="AR9" i="72"/>
  <c r="AR9" i="57"/>
  <c r="AR9" i="18"/>
  <c r="AR9" i="28"/>
  <c r="AR6" i="60"/>
  <c r="AR6" i="71"/>
  <c r="AR17" i="22"/>
  <c r="AR6" i="58"/>
  <c r="AR6" i="29"/>
  <c r="AR11" i="28"/>
  <c r="AR11" i="57"/>
  <c r="AR7" i="71"/>
  <c r="AR7" i="58"/>
  <c r="AR7" i="29"/>
  <c r="AR7" i="60"/>
  <c r="AR13" i="3"/>
  <c r="AR15" i="17"/>
  <c r="AR14" i="17"/>
  <c r="AR8" i="29"/>
  <c r="AR12" i="3"/>
  <c r="AR12" i="9"/>
  <c r="AR12" i="73"/>
  <c r="AR12" i="30"/>
  <c r="AR6" i="18"/>
  <c r="AR6" i="28"/>
  <c r="AR12" i="25"/>
  <c r="AR8" i="79"/>
  <c r="AR8" i="60"/>
  <c r="AR8" i="71"/>
  <c r="AR13" i="37"/>
  <c r="AR14" i="58"/>
  <c r="AR6" i="57"/>
  <c r="AR8" i="47"/>
  <c r="AR6" i="72"/>
  <c r="AR7" i="22"/>
  <c r="AR12" i="6"/>
  <c r="AR12" i="29"/>
  <c r="AR7" i="72"/>
  <c r="AR11" i="9"/>
  <c r="AR9" i="79"/>
  <c r="AR12" i="58"/>
  <c r="AR7" i="18"/>
  <c r="AR7" i="28"/>
  <c r="AR8" i="22"/>
  <c r="AR13" i="25"/>
  <c r="AR7" i="57"/>
  <c r="AR12" i="60"/>
  <c r="AR9" i="47"/>
  <c r="AR12" i="71"/>
  <c r="AR15" i="72"/>
  <c r="AR15" i="18"/>
  <c r="AR15" i="28"/>
  <c r="AR14" i="25"/>
  <c r="AR15" i="57"/>
  <c r="AR14" i="72"/>
  <c r="AR14" i="28"/>
  <c r="AR14" i="57"/>
  <c r="AR14" i="18"/>
  <c r="AR16" i="79"/>
  <c r="AR11" i="25"/>
  <c r="AR12" i="21"/>
  <c r="AR10" i="9"/>
  <c r="AR12" i="61"/>
  <c r="AT12" i="61" s="1"/>
  <c r="AR12" i="37"/>
  <c r="AR13" i="58"/>
  <c r="AR10" i="72"/>
  <c r="AR10" i="18"/>
  <c r="AR13" i="29"/>
  <c r="AR10" i="28"/>
  <c r="AR13" i="71"/>
  <c r="AR13" i="60"/>
  <c r="AR10" i="57"/>
  <c r="AR12" i="28"/>
  <c r="AR12" i="57"/>
  <c r="AR15" i="43"/>
  <c r="AR10" i="41"/>
  <c r="AR10" i="25"/>
  <c r="AR10" i="58"/>
  <c r="AR10" i="56"/>
  <c r="AR12" i="72"/>
  <c r="AR10" i="37"/>
  <c r="AR10" i="30"/>
  <c r="AR10" i="47"/>
  <c r="AR10" i="53"/>
  <c r="AR10" i="21"/>
  <c r="AR10" i="29"/>
  <c r="AR13" i="22"/>
  <c r="AR10" i="79"/>
  <c r="AR10" i="70"/>
  <c r="AR10" i="3"/>
  <c r="AR10" i="26"/>
  <c r="AR10" i="60"/>
  <c r="AR10" i="8"/>
  <c r="AR10" i="61"/>
  <c r="AT10" i="61" s="1"/>
  <c r="AR12" i="18"/>
  <c r="AR10" i="73"/>
  <c r="AR10" i="15"/>
  <c r="AR10" i="69"/>
  <c r="AR10" i="71"/>
  <c r="AR13" i="9"/>
  <c r="AR10" i="6"/>
  <c r="AR10" i="17"/>
  <c r="AR16" i="43"/>
  <c r="AR11" i="30"/>
  <c r="AR11" i="79"/>
  <c r="AR11" i="37"/>
  <c r="AR11" i="71"/>
  <c r="AR9" i="22"/>
  <c r="AR11" i="21"/>
  <c r="AR17" i="43"/>
  <c r="AR11" i="41"/>
  <c r="AR11" i="61"/>
  <c r="AT11" i="61" s="1"/>
  <c r="AR11" i="72"/>
  <c r="AR11" i="60"/>
  <c r="AR11" i="8"/>
  <c r="AR11" i="15"/>
  <c r="AR11" i="29"/>
  <c r="AR11" i="73"/>
  <c r="AR11" i="70"/>
  <c r="AR14" i="9"/>
  <c r="AR11" i="53"/>
  <c r="AR11" i="6"/>
  <c r="AR11" i="26"/>
  <c r="AR11" i="56"/>
  <c r="AR11" i="47"/>
  <c r="AR11" i="17"/>
  <c r="AR11" i="69"/>
  <c r="AR11" i="3"/>
  <c r="AR9" i="58"/>
  <c r="AR9" i="60"/>
  <c r="AR6" i="22"/>
  <c r="AR9" i="29"/>
  <c r="AR9" i="71"/>
  <c r="J17" i="58"/>
  <c r="J24" i="11"/>
  <c r="J12" i="92"/>
  <c r="J23" i="75"/>
  <c r="J16" i="11"/>
  <c r="J22" i="75"/>
  <c r="J13" i="92"/>
  <c r="J17" i="11"/>
  <c r="J37" i="30"/>
  <c r="J38" i="5"/>
  <c r="J9" i="92"/>
  <c r="J18" i="11"/>
  <c r="J17" i="75"/>
  <c r="J7" i="53"/>
  <c r="J9" i="21"/>
  <c r="J6" i="51"/>
  <c r="J7" i="88"/>
  <c r="J14" i="4"/>
  <c r="J11" i="66"/>
  <c r="J14" i="70"/>
  <c r="J13" i="59"/>
  <c r="J19" i="57"/>
  <c r="J24" i="28"/>
  <c r="J29" i="15"/>
  <c r="J21" i="33"/>
  <c r="J21" i="74"/>
  <c r="J12" i="23"/>
  <c r="J24" i="57"/>
  <c r="J24" i="5"/>
  <c r="J8" i="17"/>
  <c r="J8" i="66"/>
  <c r="J27" i="15"/>
  <c r="J12" i="59"/>
  <c r="J20" i="33"/>
  <c r="J22" i="57"/>
  <c r="J19" i="74"/>
  <c r="J21" i="17"/>
  <c r="J22" i="5"/>
  <c r="J9" i="17"/>
  <c r="J12" i="31"/>
  <c r="J10" i="74"/>
  <c r="J12" i="20"/>
  <c r="J15" i="65"/>
  <c r="J12" i="7"/>
  <c r="J18" i="58"/>
  <c r="J11" i="32"/>
  <c r="J13" i="62"/>
  <c r="J13" i="48"/>
  <c r="J12" i="60"/>
  <c r="J19" i="29"/>
  <c r="J23" i="5"/>
  <c r="J23" i="57"/>
  <c r="J20" i="74"/>
  <c r="J26" i="15"/>
  <c r="J18" i="33"/>
  <c r="J23" i="70"/>
  <c r="J24" i="17"/>
  <c r="J20" i="15"/>
  <c r="J10" i="47"/>
  <c r="J16" i="59"/>
  <c r="J14" i="17"/>
  <c r="J16" i="18"/>
  <c r="J9" i="57"/>
  <c r="J13" i="15"/>
  <c r="J13" i="85"/>
  <c r="J12" i="70"/>
  <c r="J12" i="28"/>
  <c r="J18" i="47"/>
  <c r="J17" i="74"/>
  <c r="J17" i="33"/>
  <c r="J20" i="57"/>
  <c r="J28" i="15"/>
  <c r="J20" i="5"/>
  <c r="J14" i="19"/>
  <c r="J13" i="67"/>
  <c r="J9" i="46"/>
  <c r="J10" i="39"/>
  <c r="J14" i="78"/>
  <c r="J18" i="87"/>
  <c r="J10" i="62"/>
  <c r="J11" i="74"/>
  <c r="J8" i="73"/>
  <c r="J9" i="7"/>
  <c r="J14" i="31"/>
  <c r="J15" i="72"/>
  <c r="J13" i="69"/>
  <c r="J9" i="20"/>
  <c r="J13" i="68"/>
  <c r="J10" i="86"/>
  <c r="J11" i="21"/>
  <c r="J9" i="89"/>
  <c r="J12" i="32"/>
  <c r="J14" i="55"/>
  <c r="J10" i="91"/>
  <c r="J14" i="65"/>
  <c r="J12" i="45"/>
  <c r="J14" i="40"/>
  <c r="J9" i="60"/>
  <c r="J10" i="43"/>
  <c r="J13" i="24"/>
  <c r="J12" i="12"/>
  <c r="J14" i="13"/>
  <c r="J19" i="50"/>
  <c r="J11" i="49"/>
  <c r="J12" i="44"/>
  <c r="J14" i="33"/>
  <c r="J10" i="48"/>
  <c r="J15" i="5"/>
  <c r="J21" i="8"/>
  <c r="J18" i="29"/>
  <c r="J14" i="85"/>
  <c r="J10" i="16"/>
  <c r="J10" i="14"/>
  <c r="J11" i="64"/>
  <c r="J10" i="38"/>
  <c r="J10" i="54"/>
  <c r="J9" i="58"/>
  <c r="J8" i="71"/>
  <c r="J10" i="42"/>
  <c r="J9" i="6"/>
  <c r="J11" i="30"/>
  <c r="J18" i="74"/>
  <c r="J21" i="57"/>
  <c r="J21" i="5"/>
  <c r="J19" i="33"/>
  <c r="J11" i="59"/>
  <c r="J7" i="17"/>
  <c r="J8" i="74"/>
  <c r="J6" i="77"/>
  <c r="J8" i="88"/>
  <c r="J11" i="3"/>
  <c r="J9" i="10"/>
  <c r="J9" i="32"/>
  <c r="J12" i="14"/>
  <c r="J12" i="15"/>
  <c r="J10" i="7"/>
  <c r="J10" i="20"/>
  <c r="J23" i="17"/>
  <c r="J10" i="21"/>
  <c r="J10" i="23"/>
  <c r="J9" i="35"/>
  <c r="J15" i="28"/>
  <c r="J11" i="29"/>
  <c r="J11" i="31"/>
  <c r="J6" i="34"/>
  <c r="J10" i="58"/>
  <c r="J12" i="38"/>
  <c r="J11" i="47"/>
  <c r="J11" i="48"/>
  <c r="J7" i="51"/>
  <c r="J12" i="54"/>
  <c r="J11" i="62"/>
  <c r="J14" i="67"/>
  <c r="J10" i="60"/>
  <c r="J13" i="65"/>
  <c r="J6" i="66"/>
  <c r="J11" i="85"/>
  <c r="J11" i="70"/>
  <c r="J13" i="72"/>
  <c r="J10" i="73"/>
  <c r="J10" i="32"/>
  <c r="J12" i="3"/>
  <c r="J12" i="29"/>
  <c r="J10" i="31"/>
  <c r="J12" i="65"/>
  <c r="J13" i="23"/>
  <c r="J22" i="17"/>
  <c r="J19" i="47"/>
  <c r="J16" i="28"/>
  <c r="J12" i="62"/>
  <c r="J12" i="48"/>
  <c r="J11" i="60"/>
  <c r="J8" i="34"/>
  <c r="J11" i="58"/>
  <c r="J9" i="51"/>
  <c r="J12" i="66"/>
  <c r="J8" i="77"/>
  <c r="J11" i="20"/>
  <c r="J17" i="70"/>
  <c r="J14" i="72"/>
  <c r="J11" i="7"/>
  <c r="J9" i="74"/>
  <c r="J11" i="15"/>
  <c r="J13" i="3"/>
  <c r="J8" i="58"/>
  <c r="J14" i="87"/>
  <c r="J14" i="28"/>
  <c r="J10" i="59"/>
  <c r="J6" i="72"/>
  <c r="J8" i="25"/>
  <c r="J12" i="85"/>
  <c r="J7" i="91"/>
  <c r="J8" i="19"/>
  <c r="J13" i="87"/>
  <c r="J8" i="21"/>
  <c r="J7" i="39"/>
  <c r="J8" i="49"/>
  <c r="J7" i="89"/>
  <c r="J10" i="50"/>
  <c r="J16" i="29"/>
  <c r="J21" i="50"/>
  <c r="J17" i="26"/>
  <c r="J12" i="51"/>
  <c r="J9" i="52"/>
  <c r="J16" i="23"/>
  <c r="J9" i="91"/>
  <c r="J11" i="54"/>
  <c r="J13" i="55"/>
  <c r="J12" i="56"/>
  <c r="J14" i="57"/>
  <c r="J12" i="21"/>
  <c r="J19" i="20"/>
  <c r="J13" i="20"/>
  <c r="J9" i="39"/>
  <c r="J16" i="17"/>
  <c r="J15" i="62"/>
  <c r="J16" i="61"/>
  <c r="J12" i="67"/>
  <c r="J18" i="18"/>
  <c r="J9" i="34"/>
  <c r="J13" i="19"/>
  <c r="J15" i="58"/>
  <c r="J17" i="16"/>
  <c r="J11" i="16"/>
  <c r="J10" i="6"/>
  <c r="J16" i="15"/>
  <c r="J11" i="14"/>
  <c r="J13" i="13"/>
  <c r="J11" i="12"/>
  <c r="J13" i="40"/>
  <c r="J12" i="69"/>
  <c r="J13" i="60"/>
  <c r="J12" i="64"/>
  <c r="J6" i="10"/>
  <c r="J18" i="65"/>
  <c r="J8" i="89"/>
  <c r="J16" i="45"/>
  <c r="J13" i="66"/>
  <c r="J8" i="83"/>
  <c r="J12" i="68"/>
  <c r="J11" i="46"/>
  <c r="J11" i="42"/>
  <c r="J12" i="30"/>
  <c r="J11" i="38"/>
  <c r="J12" i="24"/>
  <c r="J16" i="85"/>
  <c r="J8" i="82"/>
  <c r="J19" i="87"/>
  <c r="J20" i="8"/>
  <c r="J17" i="47"/>
  <c r="J19" i="70"/>
  <c r="J19" i="7"/>
  <c r="J13" i="7"/>
  <c r="J12" i="71"/>
  <c r="J21" i="28"/>
  <c r="J7" i="72"/>
  <c r="J25" i="33"/>
  <c r="J6" i="35"/>
  <c r="J15" i="48"/>
  <c r="J26" i="5"/>
  <c r="J9" i="73"/>
  <c r="J11" i="43"/>
  <c r="J11" i="33"/>
  <c r="J10" i="49"/>
  <c r="J18" i="5"/>
  <c r="J12" i="74"/>
  <c r="J9" i="77"/>
  <c r="J17" i="27"/>
  <c r="J13" i="4"/>
  <c r="J16" i="44"/>
  <c r="J16" i="3"/>
  <c r="J14" i="32"/>
  <c r="J13" i="78"/>
  <c r="J13" i="50"/>
  <c r="J8" i="84"/>
  <c r="J9" i="43"/>
  <c r="J9" i="69"/>
  <c r="J10" i="12"/>
  <c r="J11" i="50"/>
  <c r="J15" i="85"/>
  <c r="J11" i="69"/>
  <c r="J17" i="15"/>
  <c r="J8" i="91"/>
  <c r="J12" i="41"/>
  <c r="J8" i="39"/>
  <c r="J6" i="61"/>
  <c r="J13" i="61"/>
  <c r="J10" i="69"/>
  <c r="J12" i="50"/>
  <c r="AL82" i="1"/>
  <c r="AL81" i="1"/>
  <c r="AL80" i="1"/>
  <c r="AL79" i="1"/>
  <c r="AL77" i="1"/>
  <c r="AN83" i="1"/>
  <c r="AL83" i="1"/>
  <c r="AL84" i="1"/>
  <c r="AL86" i="1"/>
  <c r="AL87" i="1"/>
  <c r="AL85" i="1"/>
  <c r="J106" i="80"/>
  <c r="G147" i="88"/>
  <c r="E147" i="88"/>
  <c r="C147" i="88"/>
  <c r="G130" i="88"/>
  <c r="E130" i="88"/>
  <c r="G113" i="88"/>
  <c r="E113" i="88"/>
  <c r="C113" i="88" s="1"/>
  <c r="G94" i="88"/>
  <c r="E94" i="88"/>
  <c r="C94" i="88" s="1"/>
  <c r="G77" i="88"/>
  <c r="E77" i="88"/>
  <c r="C77" i="88"/>
  <c r="O127" i="1"/>
  <c r="K127" i="1"/>
  <c r="N127" i="1" s="1"/>
  <c r="V35" i="61" l="1"/>
  <c r="C130" i="88"/>
  <c r="AL73" i="1"/>
  <c r="AL64" i="1"/>
  <c r="AL65" i="1"/>
  <c r="AL66" i="1"/>
  <c r="AL67" i="1"/>
  <c r="AL68" i="1"/>
  <c r="AL69" i="1"/>
  <c r="AL70" i="1"/>
  <c r="AL71" i="1"/>
  <c r="AL72" i="1"/>
  <c r="AL76" i="1"/>
  <c r="AL75" i="1"/>
  <c r="AL74" i="1"/>
  <c r="AL63" i="1"/>
  <c r="AL62" i="1"/>
  <c r="J49" i="80"/>
  <c r="AL36" i="1"/>
  <c r="AL5" i="1"/>
  <c r="F113" i="50"/>
  <c r="F114" i="50"/>
  <c r="F115" i="50"/>
  <c r="F116" i="50"/>
  <c r="F117" i="50"/>
  <c r="F118" i="50"/>
  <c r="F119" i="50"/>
  <c r="F120" i="50"/>
  <c r="F121" i="50"/>
  <c r="F122" i="50"/>
  <c r="F123" i="50"/>
  <c r="F124" i="50"/>
  <c r="F125" i="50"/>
  <c r="F126" i="50"/>
  <c r="F127" i="50"/>
  <c r="F128" i="50"/>
  <c r="B113" i="50"/>
  <c r="C113" i="50"/>
  <c r="D113" i="50"/>
  <c r="B114" i="50"/>
  <c r="C114" i="50"/>
  <c r="D114" i="50"/>
  <c r="B115" i="50"/>
  <c r="C115" i="50"/>
  <c r="D115" i="50"/>
  <c r="B116" i="50"/>
  <c r="C116" i="50"/>
  <c r="D116" i="50"/>
  <c r="B117" i="50"/>
  <c r="C117" i="50"/>
  <c r="D117" i="50"/>
  <c r="B118" i="50"/>
  <c r="C118" i="50"/>
  <c r="D118" i="50"/>
  <c r="B119" i="50"/>
  <c r="C119" i="50"/>
  <c r="D119" i="50"/>
  <c r="B120" i="50"/>
  <c r="C120" i="50"/>
  <c r="D120" i="50"/>
  <c r="B121" i="50"/>
  <c r="C121" i="50"/>
  <c r="D121" i="50"/>
  <c r="B122" i="50"/>
  <c r="C122" i="50"/>
  <c r="D122" i="50"/>
  <c r="B123" i="50"/>
  <c r="C123" i="50"/>
  <c r="D123" i="50"/>
  <c r="B124" i="50"/>
  <c r="C124" i="50"/>
  <c r="D124" i="50"/>
  <c r="B125" i="50"/>
  <c r="C125" i="50"/>
  <c r="D125" i="50"/>
  <c r="B126" i="50"/>
  <c r="C126" i="50"/>
  <c r="D126" i="50"/>
  <c r="B127" i="50"/>
  <c r="C127" i="50"/>
  <c r="D127" i="50"/>
  <c r="B128" i="50"/>
  <c r="C128" i="50"/>
  <c r="D128" i="50"/>
  <c r="F112" i="50"/>
  <c r="C112" i="50"/>
  <c r="B112" i="50"/>
  <c r="AL55" i="1"/>
  <c r="AL57" i="1"/>
  <c r="AL61" i="1"/>
  <c r="AL60" i="1"/>
  <c r="D51" i="92"/>
  <c r="R44" i="92" s="1"/>
  <c r="U44" i="92" s="1"/>
  <c r="W44" i="92" s="1"/>
  <c r="C51" i="92"/>
  <c r="D100" i="92"/>
  <c r="C100" i="92"/>
  <c r="B100" i="92"/>
  <c r="D99" i="92"/>
  <c r="C99" i="92"/>
  <c r="B99" i="92"/>
  <c r="D98" i="92"/>
  <c r="C98" i="92"/>
  <c r="B98" i="92"/>
  <c r="D97" i="92"/>
  <c r="C97" i="92"/>
  <c r="B97" i="92"/>
  <c r="D96" i="92"/>
  <c r="C96" i="92"/>
  <c r="B96" i="92"/>
  <c r="D95" i="92"/>
  <c r="C95" i="92"/>
  <c r="B95" i="92"/>
  <c r="D94" i="92"/>
  <c r="C94" i="92"/>
  <c r="B94" i="92"/>
  <c r="D93" i="92"/>
  <c r="C93" i="92"/>
  <c r="B93" i="92"/>
  <c r="D92" i="92"/>
  <c r="C92" i="92"/>
  <c r="B92" i="92"/>
  <c r="D91" i="92"/>
  <c r="C91" i="92"/>
  <c r="B91" i="92"/>
  <c r="D90" i="92"/>
  <c r="C90" i="92"/>
  <c r="B90" i="92"/>
  <c r="D89" i="92"/>
  <c r="C89" i="92"/>
  <c r="B89" i="92"/>
  <c r="D88" i="92"/>
  <c r="C88" i="92"/>
  <c r="B88" i="92"/>
  <c r="D87" i="92"/>
  <c r="C87" i="92"/>
  <c r="B87" i="92"/>
  <c r="C86" i="92"/>
  <c r="B86" i="92"/>
  <c r="D79" i="92"/>
  <c r="C79" i="92"/>
  <c r="B79" i="92"/>
  <c r="D78" i="92"/>
  <c r="C78" i="92"/>
  <c r="B78" i="92"/>
  <c r="D77" i="92"/>
  <c r="C77" i="92"/>
  <c r="B77" i="92"/>
  <c r="D76" i="92"/>
  <c r="C76" i="92"/>
  <c r="B76" i="92"/>
  <c r="D75" i="92"/>
  <c r="C75" i="92"/>
  <c r="B75" i="92"/>
  <c r="D74" i="92"/>
  <c r="C74" i="92"/>
  <c r="B74" i="92"/>
  <c r="D73" i="92"/>
  <c r="C73" i="92"/>
  <c r="B73" i="92"/>
  <c r="D72" i="92"/>
  <c r="C72" i="92"/>
  <c r="B72" i="92"/>
  <c r="D71" i="92"/>
  <c r="C71" i="92"/>
  <c r="B71" i="92"/>
  <c r="D70" i="92"/>
  <c r="C70" i="92"/>
  <c r="B70" i="92"/>
  <c r="D69" i="92"/>
  <c r="C69" i="92"/>
  <c r="B69" i="92"/>
  <c r="D68" i="92"/>
  <c r="C68" i="92"/>
  <c r="B68" i="92"/>
  <c r="D67" i="92"/>
  <c r="C67" i="92"/>
  <c r="B67" i="92"/>
  <c r="D66" i="92"/>
  <c r="C66" i="92"/>
  <c r="B66" i="92"/>
  <c r="C65" i="92"/>
  <c r="B65" i="92"/>
  <c r="B66" i="89"/>
  <c r="C66" i="89"/>
  <c r="D66" i="89"/>
  <c r="F66" i="89"/>
  <c r="B67" i="89"/>
  <c r="C67" i="89"/>
  <c r="D67" i="89"/>
  <c r="F67" i="89"/>
  <c r="B68" i="89"/>
  <c r="C68" i="89"/>
  <c r="D68" i="89"/>
  <c r="F68" i="89"/>
  <c r="B69" i="89"/>
  <c r="C69" i="89"/>
  <c r="D69" i="89"/>
  <c r="F69" i="89"/>
  <c r="F65" i="89"/>
  <c r="C65" i="89"/>
  <c r="D65" i="89"/>
  <c r="B65" i="89"/>
  <c r="AN11" i="1"/>
  <c r="AL11" i="1"/>
  <c r="AN26" i="1"/>
  <c r="F70" i="91"/>
  <c r="D70" i="91"/>
  <c r="C70" i="91"/>
  <c r="B70" i="91"/>
  <c r="F69" i="91"/>
  <c r="D69" i="91"/>
  <c r="C69" i="91"/>
  <c r="B69" i="91"/>
  <c r="F68" i="91"/>
  <c r="D68" i="91"/>
  <c r="C68" i="91"/>
  <c r="B68" i="91"/>
  <c r="F67" i="91"/>
  <c r="D67" i="91"/>
  <c r="C67" i="91"/>
  <c r="B67" i="91"/>
  <c r="F66" i="91"/>
  <c r="D66" i="91"/>
  <c r="C66" i="91"/>
  <c r="B66" i="91"/>
  <c r="F65" i="91"/>
  <c r="D65" i="91"/>
  <c r="C65" i="91"/>
  <c r="B65" i="91"/>
  <c r="D51" i="91"/>
  <c r="C51" i="91"/>
  <c r="D51" i="89"/>
  <c r="C51" i="89"/>
  <c r="J3" i="80"/>
  <c r="E37" i="3"/>
  <c r="AL16" i="1"/>
  <c r="AL3" i="1"/>
  <c r="AL58" i="1"/>
  <c r="AL56" i="1"/>
  <c r="AL59" i="1"/>
  <c r="AL53" i="1"/>
  <c r="AL52" i="1"/>
  <c r="AL51" i="1"/>
  <c r="AL50" i="1"/>
  <c r="AL49" i="1"/>
  <c r="AL47" i="1"/>
  <c r="AL46" i="1"/>
  <c r="AL35" i="1"/>
  <c r="AL34" i="1"/>
  <c r="AL33" i="1"/>
  <c r="AL31" i="1"/>
  <c r="AL30" i="1"/>
  <c r="AL29" i="1"/>
  <c r="AL28" i="1"/>
  <c r="AL23" i="1"/>
  <c r="AL22" i="1"/>
  <c r="AL21" i="1"/>
  <c r="AL20" i="1"/>
  <c r="AL19" i="1"/>
  <c r="AL18" i="1"/>
  <c r="AL17" i="1"/>
  <c r="AL15" i="1"/>
  <c r="AL14" i="1"/>
  <c r="AL13" i="1"/>
  <c r="AL12" i="1"/>
  <c r="AL10" i="1"/>
  <c r="AL9" i="1"/>
  <c r="AL8" i="1"/>
  <c r="AL7" i="1"/>
  <c r="AL6" i="1"/>
  <c r="AL4" i="1"/>
  <c r="L9" i="2"/>
  <c r="K9" i="2"/>
  <c r="L7" i="2"/>
  <c r="K7" i="2"/>
  <c r="L31" i="2"/>
  <c r="K31" i="2"/>
  <c r="J98" i="80"/>
  <c r="J99" i="80"/>
  <c r="J100" i="80"/>
  <c r="J101" i="80"/>
  <c r="J112" i="80"/>
  <c r="N100" i="80" s="1"/>
  <c r="J109" i="80"/>
  <c r="N98" i="80" s="1"/>
  <c r="J105" i="80"/>
  <c r="N99" i="80" s="1"/>
  <c r="J97" i="80"/>
  <c r="J92" i="80"/>
  <c r="N80" i="80" s="1"/>
  <c r="J87" i="80"/>
  <c r="J88" i="80"/>
  <c r="J89" i="80"/>
  <c r="J90" i="80"/>
  <c r="J84" i="80"/>
  <c r="N82" i="80" s="1"/>
  <c r="J86" i="80"/>
  <c r="J80" i="80"/>
  <c r="J81" i="80"/>
  <c r="J79" i="80"/>
  <c r="J73" i="80"/>
  <c r="J74" i="80"/>
  <c r="J72" i="80"/>
  <c r="J69" i="80"/>
  <c r="N62" i="80" s="1"/>
  <c r="J61" i="80"/>
  <c r="J62" i="80"/>
  <c r="J63" i="80"/>
  <c r="J64" i="80"/>
  <c r="J65" i="80"/>
  <c r="J60" i="80"/>
  <c r="J55" i="80"/>
  <c r="N39" i="80" s="1"/>
  <c r="J52" i="80"/>
  <c r="N41" i="80" s="1"/>
  <c r="J48" i="80"/>
  <c r="J47" i="80"/>
  <c r="J39" i="80"/>
  <c r="J40" i="80"/>
  <c r="J41" i="80"/>
  <c r="J42" i="80"/>
  <c r="J43" i="80"/>
  <c r="J44" i="80"/>
  <c r="J33" i="80"/>
  <c r="N23" i="80" s="1"/>
  <c r="J30" i="80"/>
  <c r="N22" i="80" s="1"/>
  <c r="J27" i="80"/>
  <c r="J26" i="80"/>
  <c r="J21" i="80"/>
  <c r="J22" i="80"/>
  <c r="J23" i="80"/>
  <c r="J20" i="80"/>
  <c r="J15" i="80"/>
  <c r="N5" i="80" s="1"/>
  <c r="J11" i="80"/>
  <c r="J12" i="80"/>
  <c r="J10" i="80"/>
  <c r="J4" i="80"/>
  <c r="J5" i="80"/>
  <c r="J6" i="80"/>
  <c r="J7" i="80"/>
  <c r="B66" i="22"/>
  <c r="C66" i="22"/>
  <c r="D66" i="22"/>
  <c r="F66" i="22"/>
  <c r="G144" i="16"/>
  <c r="E144" i="16"/>
  <c r="K114" i="1"/>
  <c r="K110" i="1"/>
  <c r="F145" i="88"/>
  <c r="D145" i="88"/>
  <c r="C145" i="88"/>
  <c r="B145" i="88"/>
  <c r="F144" i="88"/>
  <c r="D144" i="88"/>
  <c r="C144" i="88"/>
  <c r="B144" i="88"/>
  <c r="F143" i="88"/>
  <c r="D143" i="88"/>
  <c r="C143" i="88"/>
  <c r="B143" i="88"/>
  <c r="F142" i="88"/>
  <c r="D142" i="88"/>
  <c r="C142" i="88"/>
  <c r="B142" i="88"/>
  <c r="F141" i="88"/>
  <c r="D141" i="88"/>
  <c r="C141" i="88"/>
  <c r="B141" i="88"/>
  <c r="F140" i="88"/>
  <c r="D140" i="88"/>
  <c r="C140" i="88"/>
  <c r="B140" i="88"/>
  <c r="F139" i="88"/>
  <c r="D139" i="88"/>
  <c r="C139" i="88"/>
  <c r="B139" i="88"/>
  <c r="F138" i="88"/>
  <c r="D138" i="88"/>
  <c r="C138" i="88"/>
  <c r="B138" i="88"/>
  <c r="F137" i="88"/>
  <c r="D137" i="88"/>
  <c r="C137" i="88"/>
  <c r="B137" i="88"/>
  <c r="F136" i="88"/>
  <c r="D136" i="88"/>
  <c r="C136" i="88"/>
  <c r="B136" i="88"/>
  <c r="F135" i="88"/>
  <c r="C135" i="88"/>
  <c r="B135" i="88"/>
  <c r="F128" i="88"/>
  <c r="D128" i="88"/>
  <c r="C128" i="88"/>
  <c r="B128" i="88"/>
  <c r="F127" i="88"/>
  <c r="D127" i="88"/>
  <c r="C127" i="88"/>
  <c r="B127" i="88"/>
  <c r="F126" i="88"/>
  <c r="D126" i="88"/>
  <c r="C126" i="88"/>
  <c r="B126" i="88"/>
  <c r="F125" i="88"/>
  <c r="D125" i="88"/>
  <c r="C125" i="88"/>
  <c r="B125" i="88"/>
  <c r="F124" i="88"/>
  <c r="D124" i="88"/>
  <c r="C124" i="88"/>
  <c r="B124" i="88"/>
  <c r="F123" i="88"/>
  <c r="D123" i="88"/>
  <c r="C123" i="88"/>
  <c r="B123" i="88"/>
  <c r="F122" i="88"/>
  <c r="D122" i="88"/>
  <c r="C122" i="88"/>
  <c r="B122" i="88"/>
  <c r="F121" i="88"/>
  <c r="D121" i="88"/>
  <c r="C121" i="88"/>
  <c r="B121" i="88"/>
  <c r="F120" i="88"/>
  <c r="D120" i="88"/>
  <c r="C120" i="88"/>
  <c r="B120" i="88"/>
  <c r="F119" i="88"/>
  <c r="D119" i="88"/>
  <c r="C119" i="88"/>
  <c r="B119" i="88"/>
  <c r="F118" i="88"/>
  <c r="C118" i="88"/>
  <c r="B118" i="88"/>
  <c r="F111" i="88"/>
  <c r="D111" i="88"/>
  <c r="C111" i="88"/>
  <c r="B111" i="88"/>
  <c r="F110" i="88"/>
  <c r="D110" i="88"/>
  <c r="C110" i="88"/>
  <c r="B110" i="88"/>
  <c r="F109" i="88"/>
  <c r="D109" i="88"/>
  <c r="C109" i="88"/>
  <c r="B109" i="88"/>
  <c r="F108" i="88"/>
  <c r="D108" i="88"/>
  <c r="C108" i="88"/>
  <c r="B108" i="88"/>
  <c r="F107" i="88"/>
  <c r="D107" i="88"/>
  <c r="C107" i="88"/>
  <c r="B107" i="88"/>
  <c r="F106" i="88"/>
  <c r="D106" i="88"/>
  <c r="C106" i="88"/>
  <c r="B106" i="88"/>
  <c r="F105" i="88"/>
  <c r="D105" i="88"/>
  <c r="C105" i="88"/>
  <c r="B105" i="88"/>
  <c r="F104" i="88"/>
  <c r="D104" i="88"/>
  <c r="C104" i="88"/>
  <c r="B104" i="88"/>
  <c r="F103" i="88"/>
  <c r="D103" i="88"/>
  <c r="C103" i="88"/>
  <c r="B103" i="88"/>
  <c r="F102" i="88"/>
  <c r="D102" i="88"/>
  <c r="C102" i="88"/>
  <c r="B102" i="88"/>
  <c r="F101" i="88"/>
  <c r="C101" i="88"/>
  <c r="B101" i="88"/>
  <c r="F92" i="88"/>
  <c r="D92" i="88"/>
  <c r="C92" i="88"/>
  <c r="B92" i="88"/>
  <c r="F91" i="88"/>
  <c r="D91" i="88"/>
  <c r="C91" i="88"/>
  <c r="B91" i="88"/>
  <c r="F90" i="88"/>
  <c r="D90" i="88"/>
  <c r="C90" i="88"/>
  <c r="B90" i="88"/>
  <c r="F89" i="88"/>
  <c r="D89" i="88"/>
  <c r="C89" i="88"/>
  <c r="B89" i="88"/>
  <c r="F88" i="88"/>
  <c r="D88" i="88"/>
  <c r="C88" i="88"/>
  <c r="B88" i="88"/>
  <c r="F87" i="88"/>
  <c r="D87" i="88"/>
  <c r="C87" i="88"/>
  <c r="B87" i="88"/>
  <c r="F86" i="88"/>
  <c r="D86" i="88"/>
  <c r="C86" i="88"/>
  <c r="B86" i="88"/>
  <c r="F85" i="88"/>
  <c r="D85" i="88"/>
  <c r="C85" i="88"/>
  <c r="B85" i="88"/>
  <c r="F84" i="88"/>
  <c r="D84" i="88"/>
  <c r="C84" i="88"/>
  <c r="B84" i="88"/>
  <c r="F83" i="88"/>
  <c r="D83" i="88"/>
  <c r="C83" i="88"/>
  <c r="B83" i="88"/>
  <c r="F82" i="88"/>
  <c r="C82" i="88"/>
  <c r="B82" i="88"/>
  <c r="F75" i="88"/>
  <c r="D75" i="88"/>
  <c r="C75" i="88"/>
  <c r="B75" i="88"/>
  <c r="F74" i="88"/>
  <c r="D74" i="88"/>
  <c r="C74" i="88"/>
  <c r="B74" i="88"/>
  <c r="F73" i="88"/>
  <c r="D73" i="88"/>
  <c r="C73" i="88"/>
  <c r="B73" i="88"/>
  <c r="F72" i="88"/>
  <c r="D72" i="88"/>
  <c r="C72" i="88"/>
  <c r="B72" i="88"/>
  <c r="F71" i="88"/>
  <c r="D71" i="88"/>
  <c r="C71" i="88"/>
  <c r="B71" i="88"/>
  <c r="F70" i="88"/>
  <c r="D70" i="88"/>
  <c r="C70" i="88"/>
  <c r="B70" i="88"/>
  <c r="F69" i="88"/>
  <c r="D69" i="88"/>
  <c r="C69" i="88"/>
  <c r="B69" i="88"/>
  <c r="F68" i="88"/>
  <c r="D68" i="88"/>
  <c r="C68" i="88"/>
  <c r="B68" i="88"/>
  <c r="F67" i="88"/>
  <c r="D67" i="88"/>
  <c r="C67" i="88"/>
  <c r="B67" i="88"/>
  <c r="F66" i="88"/>
  <c r="D66" i="88"/>
  <c r="C66" i="88"/>
  <c r="B66" i="88"/>
  <c r="F65" i="88"/>
  <c r="C65" i="88"/>
  <c r="B65" i="88"/>
  <c r="V44" i="88"/>
  <c r="U44" i="88"/>
  <c r="E37" i="88"/>
  <c r="S29" i="88"/>
  <c r="T29" i="88" s="1"/>
  <c r="AA28" i="88"/>
  <c r="S28" i="88"/>
  <c r="R25" i="88"/>
  <c r="G90" i="66"/>
  <c r="E90" i="66"/>
  <c r="G107" i="66"/>
  <c r="E107" i="66"/>
  <c r="E123" i="66"/>
  <c r="G123" i="66"/>
  <c r="G155" i="66"/>
  <c r="G139" i="66"/>
  <c r="E155" i="66"/>
  <c r="E139" i="66"/>
  <c r="D55" i="11"/>
  <c r="D55" i="86"/>
  <c r="D55" i="85"/>
  <c r="D54" i="11"/>
  <c r="D54" i="86"/>
  <c r="D54" i="85"/>
  <c r="D53" i="11"/>
  <c r="D53" i="86"/>
  <c r="D53" i="85"/>
  <c r="G98" i="77"/>
  <c r="E98" i="77"/>
  <c r="G84" i="77"/>
  <c r="E84" i="77"/>
  <c r="G72" i="77"/>
  <c r="C72" i="77" s="1"/>
  <c r="E72" i="77"/>
  <c r="U30" i="72"/>
  <c r="T30" i="72" s="1"/>
  <c r="U28" i="72"/>
  <c r="T29" i="72" s="1"/>
  <c r="S30" i="73"/>
  <c r="S28" i="73"/>
  <c r="G75" i="66"/>
  <c r="E75" i="66"/>
  <c r="E119" i="51"/>
  <c r="E138" i="51"/>
  <c r="G138" i="51"/>
  <c r="G119" i="51"/>
  <c r="G98" i="51"/>
  <c r="E98" i="51"/>
  <c r="C98" i="51"/>
  <c r="G79" i="51"/>
  <c r="C79" i="51" s="1"/>
  <c r="E79" i="51"/>
  <c r="E37" i="79"/>
  <c r="D51" i="42"/>
  <c r="C51" i="42"/>
  <c r="D5" i="36"/>
  <c r="G95" i="35"/>
  <c r="C95" i="35" s="1"/>
  <c r="E95" i="35"/>
  <c r="G81" i="35"/>
  <c r="E81" i="35"/>
  <c r="C81" i="35"/>
  <c r="G71" i="35"/>
  <c r="E71" i="35"/>
  <c r="G98" i="34"/>
  <c r="E98" i="34"/>
  <c r="G84" i="34"/>
  <c r="E84" i="34"/>
  <c r="G72" i="34"/>
  <c r="E72" i="34"/>
  <c r="D51" i="31"/>
  <c r="C51" i="31"/>
  <c r="C144" i="16"/>
  <c r="B144" i="16"/>
  <c r="B101" i="10"/>
  <c r="C101" i="10"/>
  <c r="D101" i="10"/>
  <c r="B102" i="10"/>
  <c r="C102" i="10"/>
  <c r="D102" i="10"/>
  <c r="B103" i="10"/>
  <c r="C103" i="10"/>
  <c r="D103" i="10"/>
  <c r="B104" i="10"/>
  <c r="C104" i="10"/>
  <c r="D104" i="10"/>
  <c r="C100" i="10"/>
  <c r="F101" i="10"/>
  <c r="F102" i="10"/>
  <c r="F103" i="10"/>
  <c r="F104" i="10"/>
  <c r="F100" i="10"/>
  <c r="B100" i="10"/>
  <c r="S32" i="73" l="1"/>
  <c r="N97" i="80"/>
  <c r="N81" i="80"/>
  <c r="N79" i="80"/>
  <c r="N61" i="80"/>
  <c r="N60" i="80"/>
  <c r="N40" i="80"/>
  <c r="N38" i="80"/>
  <c r="N21" i="80"/>
  <c r="N20" i="80"/>
  <c r="N4" i="80"/>
  <c r="N3" i="80"/>
  <c r="D86" i="92"/>
  <c r="J51" i="92"/>
  <c r="I51" i="92" s="1"/>
  <c r="H51" i="92" s="1"/>
  <c r="V44" i="92"/>
  <c r="S30" i="92"/>
  <c r="J52" i="92" s="1"/>
  <c r="T30" i="92"/>
  <c r="E1" i="89"/>
  <c r="T29" i="89"/>
  <c r="T28" i="91"/>
  <c r="T29" i="91"/>
  <c r="T28" i="89"/>
  <c r="N9" i="2"/>
  <c r="O9" i="2"/>
  <c r="N7" i="2"/>
  <c r="O7" i="2"/>
  <c r="N31" i="2"/>
  <c r="O31" i="2"/>
  <c r="N110" i="1"/>
  <c r="O114" i="1"/>
  <c r="N114" i="1"/>
  <c r="O110" i="1"/>
  <c r="T28" i="88"/>
  <c r="W44" i="88"/>
  <c r="J51" i="88" s="1"/>
  <c r="I51" i="88" s="1"/>
  <c r="D5" i="88" s="1"/>
  <c r="S30" i="88"/>
  <c r="F37" i="88"/>
  <c r="H37" i="88" s="1"/>
  <c r="C90" i="66"/>
  <c r="F37" i="79"/>
  <c r="C98" i="77"/>
  <c r="C84" i="77"/>
  <c r="C155" i="66"/>
  <c r="C139" i="66"/>
  <c r="C123" i="66"/>
  <c r="C107" i="66"/>
  <c r="C75" i="66"/>
  <c r="C138" i="51"/>
  <c r="C119" i="51"/>
  <c r="T28" i="39"/>
  <c r="T29" i="39"/>
  <c r="C71" i="35"/>
  <c r="C98" i="34"/>
  <c r="C84" i="34"/>
  <c r="C72" i="34"/>
  <c r="H144" i="16"/>
  <c r="AO1" i="53"/>
  <c r="G1" i="89" l="1"/>
  <c r="I1" i="89" s="1"/>
  <c r="D52" i="89"/>
  <c r="B71" i="89" s="1"/>
  <c r="K37" i="88"/>
  <c r="U28" i="88"/>
  <c r="U30" i="88" s="1"/>
  <c r="J53" i="92"/>
  <c r="B81" i="92" s="1"/>
  <c r="I52" i="92"/>
  <c r="H52" i="92" s="1"/>
  <c r="U30" i="92"/>
  <c r="E1" i="92" s="1"/>
  <c r="G1" i="92" s="1"/>
  <c r="I1" i="92" s="1"/>
  <c r="C52" i="92" s="1"/>
  <c r="E1" i="91"/>
  <c r="D52" i="91" s="1"/>
  <c r="B72" i="91" s="1"/>
  <c r="T30" i="89"/>
  <c r="H37" i="79"/>
  <c r="T30" i="39"/>
  <c r="AC28" i="88"/>
  <c r="AC29" i="88" s="1"/>
  <c r="D118" i="88"/>
  <c r="D65" i="88"/>
  <c r="D82" i="88"/>
  <c r="D101" i="88"/>
  <c r="D135" i="88"/>
  <c r="J52" i="88"/>
  <c r="D1" i="88"/>
  <c r="T30" i="88"/>
  <c r="D51" i="38"/>
  <c r="D51" i="39"/>
  <c r="C51" i="39"/>
  <c r="D51" i="40"/>
  <c r="D51" i="24"/>
  <c r="D51" i="14"/>
  <c r="D51" i="13"/>
  <c r="C51" i="13"/>
  <c r="D51" i="12"/>
  <c r="C51" i="12"/>
  <c r="D51" i="82"/>
  <c r="C51" i="82"/>
  <c r="B132" i="16"/>
  <c r="C132" i="16"/>
  <c r="D132" i="16"/>
  <c r="F132" i="16"/>
  <c r="G132" i="16"/>
  <c r="B133" i="16"/>
  <c r="C133" i="16"/>
  <c r="D133" i="16"/>
  <c r="F133" i="16"/>
  <c r="B134" i="16"/>
  <c r="C134" i="16"/>
  <c r="D134" i="16"/>
  <c r="F134" i="16"/>
  <c r="B135" i="16"/>
  <c r="C135" i="16"/>
  <c r="D135" i="16"/>
  <c r="F135" i="16"/>
  <c r="G135" i="16"/>
  <c r="B136" i="16"/>
  <c r="C136" i="16"/>
  <c r="D136" i="16"/>
  <c r="F136" i="16"/>
  <c r="B137" i="16"/>
  <c r="C137" i="16"/>
  <c r="D137" i="16"/>
  <c r="F137" i="16"/>
  <c r="G137" i="16"/>
  <c r="B138" i="16"/>
  <c r="C138" i="16"/>
  <c r="D138" i="16"/>
  <c r="F138" i="16"/>
  <c r="G138" i="16"/>
  <c r="B139" i="16"/>
  <c r="C139" i="16"/>
  <c r="D139" i="16"/>
  <c r="F139" i="16"/>
  <c r="B140" i="16"/>
  <c r="C140" i="16"/>
  <c r="D140" i="16"/>
  <c r="G140" i="16" s="1"/>
  <c r="F140" i="16"/>
  <c r="B141" i="16"/>
  <c r="C141" i="16"/>
  <c r="D141" i="16"/>
  <c r="F141" i="16"/>
  <c r="G141" i="16"/>
  <c r="B142" i="16"/>
  <c r="C142" i="16"/>
  <c r="D142" i="16"/>
  <c r="F142" i="16"/>
  <c r="B114" i="16"/>
  <c r="C114" i="16"/>
  <c r="D114" i="16"/>
  <c r="F114" i="16"/>
  <c r="B115" i="16"/>
  <c r="C115" i="16"/>
  <c r="D115" i="16"/>
  <c r="F115" i="16"/>
  <c r="B116" i="16"/>
  <c r="C116" i="16"/>
  <c r="D116" i="16"/>
  <c r="F116" i="16"/>
  <c r="B117" i="16"/>
  <c r="C117" i="16"/>
  <c r="D117" i="16"/>
  <c r="F117" i="16"/>
  <c r="B118" i="16"/>
  <c r="C118" i="16"/>
  <c r="D118" i="16"/>
  <c r="F118" i="16"/>
  <c r="B119" i="16"/>
  <c r="C119" i="16"/>
  <c r="D119" i="16"/>
  <c r="F119" i="16"/>
  <c r="B120" i="16"/>
  <c r="C120" i="16"/>
  <c r="D120" i="16"/>
  <c r="F120" i="16"/>
  <c r="B121" i="16"/>
  <c r="C121" i="16"/>
  <c r="D121" i="16"/>
  <c r="F121" i="16"/>
  <c r="B99" i="16"/>
  <c r="C99" i="16"/>
  <c r="D99" i="16"/>
  <c r="F99" i="16"/>
  <c r="B95" i="16"/>
  <c r="C95" i="16"/>
  <c r="D95" i="16"/>
  <c r="F95" i="16"/>
  <c r="B96" i="16"/>
  <c r="C96" i="16"/>
  <c r="D96" i="16"/>
  <c r="F96" i="16"/>
  <c r="B97" i="16"/>
  <c r="C97" i="16"/>
  <c r="D97" i="16"/>
  <c r="F97" i="16"/>
  <c r="B98" i="16"/>
  <c r="C98" i="16"/>
  <c r="D98" i="16"/>
  <c r="F98" i="16"/>
  <c r="B78" i="16"/>
  <c r="C78" i="16"/>
  <c r="D78" i="16"/>
  <c r="F78" i="16"/>
  <c r="B79" i="16"/>
  <c r="C79" i="16"/>
  <c r="D79" i="16"/>
  <c r="F79" i="16"/>
  <c r="B75" i="16"/>
  <c r="C75" i="16"/>
  <c r="D75" i="16"/>
  <c r="F75" i="16"/>
  <c r="B76" i="16"/>
  <c r="C76" i="16"/>
  <c r="D76" i="16"/>
  <c r="F76" i="16"/>
  <c r="B77" i="16"/>
  <c r="C77" i="16"/>
  <c r="D77" i="16"/>
  <c r="F77" i="16"/>
  <c r="AN28" i="1"/>
  <c r="AN29" i="1"/>
  <c r="AN30" i="1"/>
  <c r="AN31" i="1"/>
  <c r="AN32" i="1"/>
  <c r="AN33" i="1"/>
  <c r="AN34" i="1"/>
  <c r="AN35" i="1"/>
  <c r="AN36" i="1"/>
  <c r="AN37"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4" i="1"/>
  <c r="AN85" i="1"/>
  <c r="AN20" i="1"/>
  <c r="AN19" i="1"/>
  <c r="E37" i="72"/>
  <c r="F37" i="72" s="1"/>
  <c r="H37" i="72" s="1"/>
  <c r="E38" i="71"/>
  <c r="F38" i="71" s="1"/>
  <c r="H38" i="71" s="1"/>
  <c r="K38" i="71" s="1"/>
  <c r="L38" i="71" s="1"/>
  <c r="E37" i="71"/>
  <c r="F37" i="71" s="1"/>
  <c r="E38" i="70"/>
  <c r="F38" i="70" s="1"/>
  <c r="E37" i="70"/>
  <c r="F37" i="70" s="1"/>
  <c r="H37" i="70" s="1"/>
  <c r="E37" i="69"/>
  <c r="F37" i="69" s="1"/>
  <c r="H37" i="69" s="1"/>
  <c r="K37" i="72" l="1"/>
  <c r="L37" i="72" s="1"/>
  <c r="W35" i="72" s="1"/>
  <c r="W28" i="72"/>
  <c r="W32" i="72" s="1"/>
  <c r="H37" i="71"/>
  <c r="K37" i="71" s="1"/>
  <c r="L37" i="71" s="1"/>
  <c r="W35" i="71" s="1"/>
  <c r="W28" i="71"/>
  <c r="W32" i="71" s="1"/>
  <c r="K37" i="70"/>
  <c r="L37" i="70" s="1"/>
  <c r="K37" i="69"/>
  <c r="L37" i="69" s="1"/>
  <c r="W35" i="69" s="1"/>
  <c r="W28" i="69"/>
  <c r="W32" i="69" s="1"/>
  <c r="K37" i="79"/>
  <c r="L37" i="79" s="1"/>
  <c r="W35" i="79" s="1"/>
  <c r="W28" i="79"/>
  <c r="W32" i="79" s="1"/>
  <c r="I53" i="92"/>
  <c r="H53" i="92"/>
  <c r="J54" i="92"/>
  <c r="B102" i="92" s="1"/>
  <c r="H5" i="88"/>
  <c r="K5" i="88" s="1"/>
  <c r="L5" i="88" s="1"/>
  <c r="G5" i="88"/>
  <c r="D52" i="92"/>
  <c r="G1" i="91"/>
  <c r="I1" i="91" s="1"/>
  <c r="E6" i="89"/>
  <c r="G6" i="89" s="1"/>
  <c r="H6" i="89" s="1"/>
  <c r="K6" i="89" s="1"/>
  <c r="L6" i="89" s="1"/>
  <c r="E7" i="89"/>
  <c r="G7" i="89" s="1"/>
  <c r="H7" i="89" s="1"/>
  <c r="K7" i="89" s="1"/>
  <c r="L7" i="89" s="1"/>
  <c r="E8" i="89"/>
  <c r="G8" i="89" s="1"/>
  <c r="H8" i="89" s="1"/>
  <c r="K8" i="89" s="1"/>
  <c r="L8" i="89" s="1"/>
  <c r="E9" i="89"/>
  <c r="G9" i="89" s="1"/>
  <c r="H9" i="89" s="1"/>
  <c r="K9" i="89" s="1"/>
  <c r="L9" i="89" s="1"/>
  <c r="E10" i="89"/>
  <c r="G10" i="89" s="1"/>
  <c r="H10" i="89" s="1"/>
  <c r="K10" i="89" s="1"/>
  <c r="L10" i="89" s="1"/>
  <c r="C52" i="89"/>
  <c r="I52" i="88"/>
  <c r="E5" i="88" s="1"/>
  <c r="J53" i="88"/>
  <c r="B77" i="88" s="1"/>
  <c r="H77" i="88" s="1"/>
  <c r="C51" i="38"/>
  <c r="H132" i="16"/>
  <c r="H138" i="16"/>
  <c r="G133" i="16"/>
  <c r="H133" i="16" s="1"/>
  <c r="G139" i="16"/>
  <c r="H139" i="16" s="1"/>
  <c r="H141" i="16"/>
  <c r="G136" i="16"/>
  <c r="H136" i="16" s="1"/>
  <c r="H140" i="16"/>
  <c r="G134" i="16"/>
  <c r="H134" i="16" s="1"/>
  <c r="G142" i="16"/>
  <c r="H142" i="16" s="1"/>
  <c r="H135" i="16"/>
  <c r="H137" i="16"/>
  <c r="H38" i="70"/>
  <c r="K38" i="70" s="1"/>
  <c r="L38" i="70" s="1"/>
  <c r="D51" i="54"/>
  <c r="D51" i="55"/>
  <c r="C51" i="55"/>
  <c r="W28" i="70" l="1"/>
  <c r="W32" i="70" s="1"/>
  <c r="W35" i="70"/>
  <c r="E66" i="89"/>
  <c r="E67" i="89"/>
  <c r="E68" i="89"/>
  <c r="E69" i="89"/>
  <c r="E65" i="89"/>
  <c r="S31" i="89"/>
  <c r="T31" i="89" s="1"/>
  <c r="AC25" i="89" s="1"/>
  <c r="H54" i="92"/>
  <c r="E65" i="92"/>
  <c r="I54" i="92"/>
  <c r="J55" i="92"/>
  <c r="I55" i="92" s="1"/>
  <c r="E7" i="92"/>
  <c r="G7" i="92" s="1"/>
  <c r="H7" i="92" s="1"/>
  <c r="K7" i="92" s="1"/>
  <c r="L7" i="92" s="1"/>
  <c r="E7" i="91"/>
  <c r="G7" i="91" s="1"/>
  <c r="H7" i="91" s="1"/>
  <c r="K7" i="91" s="1"/>
  <c r="L7" i="91" s="1"/>
  <c r="E10" i="91"/>
  <c r="G10" i="91" s="1"/>
  <c r="H10" i="91" s="1"/>
  <c r="K10" i="91" s="1"/>
  <c r="L10" i="91" s="1"/>
  <c r="E6" i="91"/>
  <c r="G6" i="91" s="1"/>
  <c r="H6" i="91" s="1"/>
  <c r="K6" i="91" s="1"/>
  <c r="L6" i="91" s="1"/>
  <c r="E11" i="91"/>
  <c r="G11" i="91" s="1"/>
  <c r="H11" i="91" s="1"/>
  <c r="K11" i="91" s="1"/>
  <c r="L11" i="91" s="1"/>
  <c r="E8" i="91"/>
  <c r="G8" i="91" s="1"/>
  <c r="H8" i="91" s="1"/>
  <c r="K8" i="91" s="1"/>
  <c r="L8" i="91" s="1"/>
  <c r="E13" i="92"/>
  <c r="G13" i="92" s="1"/>
  <c r="H13" i="92" s="1"/>
  <c r="K13" i="92" s="1"/>
  <c r="L13" i="92" s="1"/>
  <c r="E15" i="92"/>
  <c r="G15" i="92" s="1"/>
  <c r="H15" i="92" s="1"/>
  <c r="K15" i="92" s="1"/>
  <c r="E10" i="92"/>
  <c r="G10" i="92" s="1"/>
  <c r="H10" i="92" s="1"/>
  <c r="K10" i="92" s="1"/>
  <c r="L10" i="92" s="1"/>
  <c r="E12" i="92"/>
  <c r="G12" i="92" s="1"/>
  <c r="H12" i="92" s="1"/>
  <c r="K12" i="92" s="1"/>
  <c r="L12" i="92" s="1"/>
  <c r="E11" i="92"/>
  <c r="G11" i="92" s="1"/>
  <c r="H11" i="92" s="1"/>
  <c r="K11" i="92" s="1"/>
  <c r="L11" i="92" s="1"/>
  <c r="E6" i="92"/>
  <c r="G6" i="92" s="1"/>
  <c r="H6" i="92" s="1"/>
  <c r="K6" i="92" s="1"/>
  <c r="L6" i="92" s="1"/>
  <c r="E9" i="92"/>
  <c r="G9" i="92" s="1"/>
  <c r="H9" i="92" s="1"/>
  <c r="K9" i="92" s="1"/>
  <c r="L9" i="92" s="1"/>
  <c r="E8" i="92"/>
  <c r="G8" i="92" s="1"/>
  <c r="H8" i="92" s="1"/>
  <c r="K8" i="92" s="1"/>
  <c r="L8" i="92" s="1"/>
  <c r="E5" i="92"/>
  <c r="G5" i="92" s="1"/>
  <c r="H5" i="92" s="1"/>
  <c r="K5" i="92" s="1"/>
  <c r="L5" i="92" s="1"/>
  <c r="C53" i="92"/>
  <c r="D53" i="92" s="1"/>
  <c r="E19" i="92"/>
  <c r="G19" i="92" s="1"/>
  <c r="H19" i="92" s="1"/>
  <c r="K19" i="92" s="1"/>
  <c r="L19" i="92" s="1"/>
  <c r="E17" i="92"/>
  <c r="G17" i="92" s="1"/>
  <c r="H17" i="92" s="1"/>
  <c r="K17" i="92" s="1"/>
  <c r="L17" i="92" s="1"/>
  <c r="E18" i="92"/>
  <c r="G18" i="92" s="1"/>
  <c r="H18" i="92" s="1"/>
  <c r="K18" i="92" s="1"/>
  <c r="L18" i="92" s="1"/>
  <c r="E16" i="92"/>
  <c r="G16" i="92" s="1"/>
  <c r="H16" i="92" s="1"/>
  <c r="K16" i="92" s="1"/>
  <c r="E14" i="92"/>
  <c r="G14" i="92" s="1"/>
  <c r="H14" i="92" s="1"/>
  <c r="K14" i="92" s="1"/>
  <c r="L14" i="92" s="1"/>
  <c r="C52" i="91"/>
  <c r="E9" i="91"/>
  <c r="G9" i="91" s="1"/>
  <c r="H9" i="91" s="1"/>
  <c r="K9" i="91" s="1"/>
  <c r="L9" i="91" s="1"/>
  <c r="C53" i="89"/>
  <c r="H52" i="88"/>
  <c r="I53" i="88"/>
  <c r="J54" i="88"/>
  <c r="B94" i="88" s="1"/>
  <c r="H94" i="88" s="1"/>
  <c r="E38" i="66"/>
  <c r="E37" i="66"/>
  <c r="E37" i="62"/>
  <c r="E38" i="60"/>
  <c r="E37" i="60"/>
  <c r="E37" i="59"/>
  <c r="E38" i="57"/>
  <c r="E37" i="57"/>
  <c r="E37" i="56"/>
  <c r="E38" i="49"/>
  <c r="E37" i="49"/>
  <c r="F37" i="49" s="1"/>
  <c r="H37" i="49" s="1"/>
  <c r="E38" i="48"/>
  <c r="E37" i="48"/>
  <c r="E37" i="47"/>
  <c r="E37" i="46"/>
  <c r="E37" i="44"/>
  <c r="E37" i="43"/>
  <c r="E37" i="41"/>
  <c r="F37" i="41" s="1"/>
  <c r="H37" i="41" s="1"/>
  <c r="D51" i="68"/>
  <c r="C51" i="83"/>
  <c r="D51" i="83"/>
  <c r="D51" i="78"/>
  <c r="B79" i="42"/>
  <c r="C79" i="42"/>
  <c r="D79" i="42"/>
  <c r="F79" i="42"/>
  <c r="B80" i="42"/>
  <c r="C80" i="42"/>
  <c r="D80" i="42"/>
  <c r="F80" i="42"/>
  <c r="B81" i="42"/>
  <c r="C81" i="42"/>
  <c r="D81" i="42"/>
  <c r="F81" i="42"/>
  <c r="B82" i="42"/>
  <c r="C82" i="42"/>
  <c r="D82" i="42"/>
  <c r="F82" i="42"/>
  <c r="B83" i="42"/>
  <c r="C83" i="42"/>
  <c r="D83" i="42"/>
  <c r="F83" i="42"/>
  <c r="B84" i="42"/>
  <c r="C84" i="42"/>
  <c r="D84" i="42"/>
  <c r="F84" i="42"/>
  <c r="B85" i="42"/>
  <c r="C85" i="42"/>
  <c r="D85" i="42"/>
  <c r="F85" i="42"/>
  <c r="B86" i="42"/>
  <c r="C86" i="42"/>
  <c r="D86" i="42"/>
  <c r="F86" i="42"/>
  <c r="U30" i="71"/>
  <c r="T30" i="71" s="1"/>
  <c r="U28" i="71"/>
  <c r="T29" i="71" s="1"/>
  <c r="S30" i="74"/>
  <c r="S28" i="74"/>
  <c r="S29" i="75"/>
  <c r="S28" i="75"/>
  <c r="S29" i="77"/>
  <c r="S28" i="77"/>
  <c r="S28" i="84"/>
  <c r="S27" i="84"/>
  <c r="S29" i="78"/>
  <c r="S28" i="78"/>
  <c r="AN87" i="1"/>
  <c r="AN86" i="1"/>
  <c r="AN27" i="1"/>
  <c r="AN25" i="1"/>
  <c r="AN24" i="1"/>
  <c r="AN23" i="1"/>
  <c r="AN22" i="1"/>
  <c r="AN21" i="1"/>
  <c r="AN18" i="1"/>
  <c r="AN17" i="1"/>
  <c r="AN16" i="1"/>
  <c r="AN15" i="1"/>
  <c r="AN14" i="1"/>
  <c r="AN13" i="1"/>
  <c r="AN12" i="1"/>
  <c r="AN10" i="1"/>
  <c r="AN9" i="1"/>
  <c r="AN8" i="1"/>
  <c r="AN7" i="1"/>
  <c r="AN6" i="1"/>
  <c r="AN5" i="1"/>
  <c r="AN4" i="1"/>
  <c r="AN3" i="1"/>
  <c r="E37" i="35"/>
  <c r="E38" i="33"/>
  <c r="E37" i="33"/>
  <c r="E37" i="32"/>
  <c r="E38" i="30"/>
  <c r="E37" i="30"/>
  <c r="E37" i="29"/>
  <c r="E38" i="28"/>
  <c r="E37" i="28"/>
  <c r="E39" i="26"/>
  <c r="E38" i="26"/>
  <c r="E37" i="26"/>
  <c r="E37" i="25"/>
  <c r="E37" i="7"/>
  <c r="E38" i="5"/>
  <c r="E37" i="5"/>
  <c r="E37" i="6"/>
  <c r="E36" i="4"/>
  <c r="E35" i="4"/>
  <c r="E38" i="8"/>
  <c r="E37" i="8"/>
  <c r="E38" i="9"/>
  <c r="E37" i="9"/>
  <c r="E37" i="10"/>
  <c r="E37" i="15"/>
  <c r="E37" i="19"/>
  <c r="E37" i="18"/>
  <c r="E38" i="20"/>
  <c r="E37" i="20"/>
  <c r="E38" i="23"/>
  <c r="E37" i="23"/>
  <c r="Q5" i="16"/>
  <c r="S31" i="91" l="1"/>
  <c r="K37" i="49"/>
  <c r="L37" i="49" s="1"/>
  <c r="V28" i="49"/>
  <c r="V32" i="49" s="1"/>
  <c r="K37" i="41"/>
  <c r="L37" i="41" s="1"/>
  <c r="W35" i="41" s="1"/>
  <c r="W28" i="41"/>
  <c r="W32" i="41" s="1"/>
  <c r="C53" i="91"/>
  <c r="D53" i="91" s="1"/>
  <c r="E67" i="91"/>
  <c r="G67" i="91" s="1"/>
  <c r="H67" i="91" s="1"/>
  <c r="E66" i="91"/>
  <c r="G66" i="91" s="1"/>
  <c r="H66" i="91" s="1"/>
  <c r="E68" i="91"/>
  <c r="G68" i="91" s="1"/>
  <c r="H68" i="91" s="1"/>
  <c r="E69" i="91"/>
  <c r="G69" i="91" s="1"/>
  <c r="H69" i="91" s="1"/>
  <c r="E70" i="91"/>
  <c r="G70" i="91" s="1"/>
  <c r="H70" i="91" s="1"/>
  <c r="E65" i="91"/>
  <c r="G65" i="91" s="1"/>
  <c r="H65" i="91" s="1"/>
  <c r="S32" i="74"/>
  <c r="S30" i="77"/>
  <c r="E86" i="92"/>
  <c r="H55" i="92"/>
  <c r="G81" i="92"/>
  <c r="C81" i="92"/>
  <c r="E81" i="92"/>
  <c r="H81" i="92" s="1"/>
  <c r="C54" i="92"/>
  <c r="D54" i="92" s="1"/>
  <c r="E66" i="92"/>
  <c r="G66" i="92" s="1"/>
  <c r="H66" i="92" s="1"/>
  <c r="E67" i="92"/>
  <c r="G67" i="92" s="1"/>
  <c r="H67" i="92" s="1"/>
  <c r="E68" i="92"/>
  <c r="G68" i="92" s="1"/>
  <c r="H68" i="92" s="1"/>
  <c r="E69" i="92"/>
  <c r="G69" i="92" s="1"/>
  <c r="H69" i="92" s="1"/>
  <c r="E70" i="92"/>
  <c r="G70" i="92" s="1"/>
  <c r="H70" i="92" s="1"/>
  <c r="E71" i="92"/>
  <c r="G71" i="92" s="1"/>
  <c r="H71" i="92" s="1"/>
  <c r="E72" i="92"/>
  <c r="G72" i="92" s="1"/>
  <c r="H72" i="92" s="1"/>
  <c r="E73" i="92"/>
  <c r="G73" i="92" s="1"/>
  <c r="H73" i="92" s="1"/>
  <c r="E74" i="92"/>
  <c r="G74" i="92" s="1"/>
  <c r="H74" i="92" s="1"/>
  <c r="E79" i="92"/>
  <c r="G79" i="92" s="1"/>
  <c r="H79" i="92" s="1"/>
  <c r="E78" i="92"/>
  <c r="G78" i="92" s="1"/>
  <c r="H78" i="92" s="1"/>
  <c r="E77" i="92"/>
  <c r="G77" i="92" s="1"/>
  <c r="H77" i="92" s="1"/>
  <c r="G65" i="92"/>
  <c r="E75" i="92"/>
  <c r="G75" i="92" s="1"/>
  <c r="H75" i="92" s="1"/>
  <c r="E76" i="92"/>
  <c r="G76" i="92" s="1"/>
  <c r="H76" i="92" s="1"/>
  <c r="G66" i="89"/>
  <c r="H66" i="89" s="1"/>
  <c r="G67" i="89"/>
  <c r="H67" i="89" s="1"/>
  <c r="G69" i="89"/>
  <c r="H69" i="89" s="1"/>
  <c r="D53" i="89"/>
  <c r="C54" i="89"/>
  <c r="E14" i="88"/>
  <c r="G14" i="88" s="1"/>
  <c r="H14" i="88" s="1"/>
  <c r="K14" i="88" s="1"/>
  <c r="L14" i="88" s="1"/>
  <c r="H53" i="88"/>
  <c r="E65" i="88" s="1"/>
  <c r="E15" i="88"/>
  <c r="G15" i="88" s="1"/>
  <c r="H15" i="88" s="1"/>
  <c r="K15" i="88" s="1"/>
  <c r="E10" i="88"/>
  <c r="G10" i="88" s="1"/>
  <c r="H10" i="88" s="1"/>
  <c r="K10" i="88" s="1"/>
  <c r="L10" i="88" s="1"/>
  <c r="E6" i="88"/>
  <c r="G6" i="88" s="1"/>
  <c r="H6" i="88" s="1"/>
  <c r="K6" i="88" s="1"/>
  <c r="L6" i="88" s="1"/>
  <c r="E7" i="88"/>
  <c r="G7" i="88" s="1"/>
  <c r="H7" i="88" s="1"/>
  <c r="K7" i="88" s="1"/>
  <c r="L7" i="88" s="1"/>
  <c r="E12" i="88"/>
  <c r="G12" i="88" s="1"/>
  <c r="H12" i="88" s="1"/>
  <c r="K12" i="88" s="1"/>
  <c r="L12" i="88" s="1"/>
  <c r="E8" i="88"/>
  <c r="G8" i="88" s="1"/>
  <c r="H8" i="88" s="1"/>
  <c r="K8" i="88" s="1"/>
  <c r="L8" i="88" s="1"/>
  <c r="H1" i="88"/>
  <c r="E9" i="88"/>
  <c r="G9" i="88" s="1"/>
  <c r="H9" i="88" s="1"/>
  <c r="K9" i="88" s="1"/>
  <c r="L9" i="88" s="1"/>
  <c r="E11" i="88"/>
  <c r="G11" i="88" s="1"/>
  <c r="H11" i="88" s="1"/>
  <c r="K11" i="88" s="1"/>
  <c r="L11" i="88" s="1"/>
  <c r="E13" i="88"/>
  <c r="G13" i="88" s="1"/>
  <c r="H13" i="88" s="1"/>
  <c r="K13" i="88" s="1"/>
  <c r="L13" i="88" s="1"/>
  <c r="I54" i="88"/>
  <c r="J55" i="88"/>
  <c r="B113" i="88" s="1"/>
  <c r="H113" i="88" s="1"/>
  <c r="Q6" i="16"/>
  <c r="F38" i="66"/>
  <c r="H38" i="66" s="1"/>
  <c r="K38" i="66" s="1"/>
  <c r="L38" i="66" s="1"/>
  <c r="F37" i="66"/>
  <c r="H37" i="66" s="1"/>
  <c r="F37" i="62"/>
  <c r="H37" i="62" s="1"/>
  <c r="F38" i="60"/>
  <c r="H38" i="60" s="1"/>
  <c r="K38" i="60" s="1"/>
  <c r="L38" i="60" s="1"/>
  <c r="F37" i="60"/>
  <c r="H37" i="60" s="1"/>
  <c r="F37" i="59"/>
  <c r="H37" i="59" s="1"/>
  <c r="F38" i="57"/>
  <c r="H38" i="57" s="1"/>
  <c r="K38" i="57" s="1"/>
  <c r="L38" i="57" s="1"/>
  <c r="F37" i="57"/>
  <c r="H37" i="57" s="1"/>
  <c r="F37" i="56"/>
  <c r="H37" i="56" s="1"/>
  <c r="F38" i="49"/>
  <c r="H38" i="49" s="1"/>
  <c r="K38" i="49" s="1"/>
  <c r="L38" i="49" s="1"/>
  <c r="F38" i="48"/>
  <c r="H38" i="48" s="1"/>
  <c r="K38" i="48" s="1"/>
  <c r="L38" i="48" s="1"/>
  <c r="F37" i="48"/>
  <c r="F37" i="47"/>
  <c r="H37" i="47" s="1"/>
  <c r="F37" i="46"/>
  <c r="H37" i="46" s="1"/>
  <c r="F37" i="44"/>
  <c r="H37" i="44" s="1"/>
  <c r="F37" i="43"/>
  <c r="F38" i="9"/>
  <c r="H38" i="9" s="1"/>
  <c r="K38" i="9" s="1"/>
  <c r="L38" i="9" s="1"/>
  <c r="F37" i="23"/>
  <c r="H37" i="23" s="1"/>
  <c r="F38" i="23"/>
  <c r="H38" i="23" s="1"/>
  <c r="K38" i="23" s="1"/>
  <c r="L38" i="23" s="1"/>
  <c r="F37" i="35"/>
  <c r="H37" i="35" s="1"/>
  <c r="K37" i="35" s="1"/>
  <c r="L37" i="35" s="1"/>
  <c r="F38" i="33"/>
  <c r="H38" i="33" s="1"/>
  <c r="K38" i="33" s="1"/>
  <c r="L38" i="33" s="1"/>
  <c r="F37" i="33"/>
  <c r="H37" i="33" s="1"/>
  <c r="F37" i="32"/>
  <c r="H37" i="32" s="1"/>
  <c r="F38" i="30"/>
  <c r="H38" i="30" s="1"/>
  <c r="K38" i="30" s="1"/>
  <c r="L38" i="30" s="1"/>
  <c r="F37" i="30"/>
  <c r="H37" i="30" s="1"/>
  <c r="F37" i="29"/>
  <c r="H37" i="29" s="1"/>
  <c r="F38" i="28"/>
  <c r="H38" i="28" s="1"/>
  <c r="K38" i="28" s="1"/>
  <c r="L38" i="28" s="1"/>
  <c r="F37" i="28"/>
  <c r="H37" i="28" s="1"/>
  <c r="F39" i="26"/>
  <c r="H39" i="26" s="1"/>
  <c r="K39" i="26" s="1"/>
  <c r="L39" i="26" s="1"/>
  <c r="F38" i="26"/>
  <c r="H38" i="26" s="1"/>
  <c r="K38" i="26" s="1"/>
  <c r="L38" i="26" s="1"/>
  <c r="F37" i="26"/>
  <c r="H37" i="26" s="1"/>
  <c r="F37" i="25"/>
  <c r="H37" i="25" s="1"/>
  <c r="F37" i="7"/>
  <c r="H37" i="7" s="1"/>
  <c r="F38" i="5"/>
  <c r="H38" i="5" s="1"/>
  <c r="K38" i="5" s="1"/>
  <c r="L38" i="5" s="1"/>
  <c r="F37" i="5"/>
  <c r="H37" i="5" s="1"/>
  <c r="K37" i="5" s="1"/>
  <c r="L37" i="5" s="1"/>
  <c r="V35" i="5" s="1"/>
  <c r="F37" i="6"/>
  <c r="H37" i="6" s="1"/>
  <c r="F36" i="4"/>
  <c r="H36" i="4" s="1"/>
  <c r="K36" i="4" s="1"/>
  <c r="F35" i="4"/>
  <c r="H35" i="4" s="1"/>
  <c r="K35" i="4" s="1"/>
  <c r="L35" i="4" s="1"/>
  <c r="F37" i="3"/>
  <c r="H37" i="3" s="1"/>
  <c r="F38" i="8"/>
  <c r="H38" i="8" s="1"/>
  <c r="K38" i="8" s="1"/>
  <c r="L38" i="8" s="1"/>
  <c r="F37" i="8"/>
  <c r="H37" i="8" s="1"/>
  <c r="F37" i="9"/>
  <c r="H37" i="9" s="1"/>
  <c r="F37" i="10"/>
  <c r="H37" i="10" s="1"/>
  <c r="K37" i="10" s="1"/>
  <c r="F37" i="15"/>
  <c r="H37" i="15" s="1"/>
  <c r="F37" i="19"/>
  <c r="H37" i="19" s="1"/>
  <c r="F37" i="18"/>
  <c r="H37" i="18" s="1"/>
  <c r="F38" i="20"/>
  <c r="H38" i="20" s="1"/>
  <c r="K38" i="20" s="1"/>
  <c r="L38" i="20" s="1"/>
  <c r="F37" i="20"/>
  <c r="H37" i="20" s="1"/>
  <c r="C54" i="91" l="1"/>
  <c r="V35" i="49"/>
  <c r="AC30" i="49" s="1"/>
  <c r="T31" i="91"/>
  <c r="AC25" i="91"/>
  <c r="K37" i="66"/>
  <c r="U28" i="66"/>
  <c r="U30" i="66" s="1"/>
  <c r="K37" i="62"/>
  <c r="L37" i="62" s="1"/>
  <c r="V35" i="62" s="1"/>
  <c r="V28" i="62"/>
  <c r="V32" i="62" s="1"/>
  <c r="K37" i="59"/>
  <c r="L37" i="59" s="1"/>
  <c r="V35" i="59" s="1"/>
  <c r="V28" i="59"/>
  <c r="V32" i="59" s="1"/>
  <c r="K37" i="57"/>
  <c r="L37" i="57" s="1"/>
  <c r="W35" i="57" s="1"/>
  <c r="W28" i="57"/>
  <c r="W32" i="57" s="1"/>
  <c r="K37" i="56"/>
  <c r="L37" i="56" s="1"/>
  <c r="W35" i="56" s="1"/>
  <c r="W28" i="56"/>
  <c r="W32" i="56" s="1"/>
  <c r="H37" i="48"/>
  <c r="K37" i="48" s="1"/>
  <c r="L37" i="48" s="1"/>
  <c r="V35" i="48" s="1"/>
  <c r="V28" i="48"/>
  <c r="V32" i="48" s="1"/>
  <c r="K37" i="47"/>
  <c r="L37" i="47" s="1"/>
  <c r="W35" i="47" s="1"/>
  <c r="W28" i="47"/>
  <c r="W32" i="47" s="1"/>
  <c r="K37" i="46"/>
  <c r="L37" i="46" s="1"/>
  <c r="V35" i="46" s="1"/>
  <c r="AC30" i="46" s="1"/>
  <c r="V28" i="46"/>
  <c r="V32" i="46" s="1"/>
  <c r="K37" i="44"/>
  <c r="L37" i="44" s="1"/>
  <c r="V35" i="44" s="1"/>
  <c r="V28" i="44"/>
  <c r="V32" i="44" s="1"/>
  <c r="H37" i="43"/>
  <c r="X28" i="43"/>
  <c r="K37" i="33"/>
  <c r="L37" i="33" s="1"/>
  <c r="V35" i="33" s="1"/>
  <c r="V28" i="33"/>
  <c r="V32" i="33" s="1"/>
  <c r="K37" i="32"/>
  <c r="L37" i="32" s="1"/>
  <c r="V35" i="32" s="1"/>
  <c r="V28" i="32"/>
  <c r="V32" i="32" s="1"/>
  <c r="K37" i="26"/>
  <c r="L37" i="26" s="1"/>
  <c r="W35" i="26" s="1"/>
  <c r="W28" i="26"/>
  <c r="W32" i="26" s="1"/>
  <c r="K37" i="25"/>
  <c r="L37" i="25" s="1"/>
  <c r="W35" i="25" s="1"/>
  <c r="AD30" i="25" s="1"/>
  <c r="W28" i="25"/>
  <c r="W32" i="25" s="1"/>
  <c r="K37" i="23"/>
  <c r="L37" i="23" s="1"/>
  <c r="U33" i="23" s="1"/>
  <c r="U28" i="23"/>
  <c r="U30" i="23" s="1"/>
  <c r="K37" i="7"/>
  <c r="L37" i="7" s="1"/>
  <c r="V35" i="7" s="1"/>
  <c r="V28" i="7"/>
  <c r="V32" i="7" s="1"/>
  <c r="K37" i="60"/>
  <c r="L37" i="60" s="1"/>
  <c r="W35" i="60" s="1"/>
  <c r="AE30" i="60" s="1"/>
  <c r="W28" i="60"/>
  <c r="W32" i="60" s="1"/>
  <c r="K37" i="20"/>
  <c r="L37" i="20" s="1"/>
  <c r="V35" i="20" s="1"/>
  <c r="V28" i="20"/>
  <c r="V32" i="20" s="1"/>
  <c r="K37" i="18"/>
  <c r="L37" i="18" s="1"/>
  <c r="W35" i="18" s="1"/>
  <c r="W28" i="18"/>
  <c r="W32" i="18" s="1"/>
  <c r="K37" i="6"/>
  <c r="L37" i="6" s="1"/>
  <c r="W35" i="6" s="1"/>
  <c r="W28" i="6"/>
  <c r="W32" i="6" s="1"/>
  <c r="K37" i="19"/>
  <c r="L37" i="19" s="1"/>
  <c r="V35" i="19" s="1"/>
  <c r="V28" i="19"/>
  <c r="V32" i="19" s="1"/>
  <c r="K37" i="28"/>
  <c r="L37" i="28" s="1"/>
  <c r="W35" i="28" s="1" a="1"/>
  <c r="W28" i="28"/>
  <c r="W32" i="28" s="1"/>
  <c r="K37" i="9"/>
  <c r="L37" i="9" s="1"/>
  <c r="W35" i="9" s="1"/>
  <c r="AE30" i="9" s="1"/>
  <c r="W28" i="9"/>
  <c r="W32" i="9" s="1"/>
  <c r="K37" i="29"/>
  <c r="L37" i="29" s="1"/>
  <c r="W35" i="29" s="1"/>
  <c r="W28" i="29"/>
  <c r="W32" i="29" s="1"/>
  <c r="K37" i="8"/>
  <c r="L37" i="8" s="1"/>
  <c r="W35" i="8" s="1"/>
  <c r="AE30" i="8" s="1"/>
  <c r="W28" i="8"/>
  <c r="W32" i="8" s="1"/>
  <c r="K37" i="30"/>
  <c r="L37" i="30" s="1"/>
  <c r="W35" i="30" s="1"/>
  <c r="W28" i="30"/>
  <c r="W32" i="30" s="1"/>
  <c r="L37" i="10"/>
  <c r="U33" i="10" s="1"/>
  <c r="U28" i="10"/>
  <c r="U30" i="10" s="1"/>
  <c r="K37" i="15"/>
  <c r="L37" i="15" s="1"/>
  <c r="W35" i="15" s="1"/>
  <c r="W28" i="15"/>
  <c r="W32" i="15" s="1"/>
  <c r="K37" i="3"/>
  <c r="L37" i="3" s="1"/>
  <c r="W35" i="3" s="1"/>
  <c r="W28" i="3"/>
  <c r="W32" i="3" s="1"/>
  <c r="H65" i="92"/>
  <c r="G102" i="92"/>
  <c r="E102" i="92"/>
  <c r="G68" i="89"/>
  <c r="H68" i="89" s="1"/>
  <c r="G65" i="89"/>
  <c r="H65" i="89" s="1"/>
  <c r="C55" i="92"/>
  <c r="D55" i="92" s="1"/>
  <c r="E92" i="92"/>
  <c r="G92" i="92" s="1"/>
  <c r="H92" i="92" s="1"/>
  <c r="E98" i="92"/>
  <c r="G98" i="92" s="1"/>
  <c r="H98" i="92" s="1"/>
  <c r="E96" i="92"/>
  <c r="G96" i="92" s="1"/>
  <c r="H96" i="92" s="1"/>
  <c r="G86" i="92"/>
  <c r="H86" i="92" s="1"/>
  <c r="E100" i="92"/>
  <c r="G100" i="92" s="1"/>
  <c r="H100" i="92" s="1"/>
  <c r="E99" i="92"/>
  <c r="G99" i="92" s="1"/>
  <c r="H99" i="92" s="1"/>
  <c r="E97" i="92"/>
  <c r="G97" i="92" s="1"/>
  <c r="H97" i="92" s="1"/>
  <c r="E91" i="92"/>
  <c r="G91" i="92" s="1"/>
  <c r="H91" i="92" s="1"/>
  <c r="E95" i="92"/>
  <c r="G95" i="92" s="1"/>
  <c r="H95" i="92" s="1"/>
  <c r="E94" i="92"/>
  <c r="G94" i="92" s="1"/>
  <c r="H94" i="92" s="1"/>
  <c r="E93" i="92"/>
  <c r="G93" i="92" s="1"/>
  <c r="H93" i="92" s="1"/>
  <c r="E90" i="92"/>
  <c r="G90" i="92" s="1"/>
  <c r="H90" i="92" s="1"/>
  <c r="E89" i="92"/>
  <c r="G89" i="92" s="1"/>
  <c r="H89" i="92" s="1"/>
  <c r="E88" i="92"/>
  <c r="G88" i="92" s="1"/>
  <c r="H88" i="92" s="1"/>
  <c r="E87" i="92"/>
  <c r="G87" i="92" s="1"/>
  <c r="H87" i="92" s="1"/>
  <c r="B83" i="92"/>
  <c r="D54" i="89"/>
  <c r="C55" i="89"/>
  <c r="E72" i="88"/>
  <c r="G72" i="88" s="1"/>
  <c r="H72" i="88" s="1"/>
  <c r="E73" i="88"/>
  <c r="G73" i="88" s="1"/>
  <c r="H73" i="88" s="1"/>
  <c r="G65" i="88"/>
  <c r="H65" i="88" s="1"/>
  <c r="E66" i="88"/>
  <c r="G66" i="88" s="1"/>
  <c r="H66" i="88" s="1"/>
  <c r="E67" i="88"/>
  <c r="G67" i="88" s="1"/>
  <c r="H67" i="88" s="1"/>
  <c r="E68" i="88"/>
  <c r="G68" i="88" s="1"/>
  <c r="H68" i="88" s="1"/>
  <c r="E69" i="88"/>
  <c r="G69" i="88" s="1"/>
  <c r="H69" i="88" s="1"/>
  <c r="E74" i="88"/>
  <c r="G74" i="88" s="1"/>
  <c r="H74" i="88" s="1"/>
  <c r="E75" i="88"/>
  <c r="G75" i="88" s="1"/>
  <c r="H75" i="88" s="1"/>
  <c r="E70" i="88"/>
  <c r="G70" i="88" s="1"/>
  <c r="H70" i="88" s="1"/>
  <c r="E71" i="88"/>
  <c r="G71" i="88" s="1"/>
  <c r="H71" i="88" s="1"/>
  <c r="I55" i="88"/>
  <c r="H54" i="88"/>
  <c r="J56" i="88"/>
  <c r="B130" i="88" s="1"/>
  <c r="H130" i="88" s="1"/>
  <c r="T30" i="33"/>
  <c r="S30" i="27"/>
  <c r="S30" i="16"/>
  <c r="U30" i="4"/>
  <c r="U28" i="4"/>
  <c r="B96" i="56"/>
  <c r="C96" i="56"/>
  <c r="D96" i="56"/>
  <c r="F96" i="56"/>
  <c r="B97" i="56"/>
  <c r="C97" i="56"/>
  <c r="D97" i="56"/>
  <c r="F97" i="56"/>
  <c r="B76" i="56"/>
  <c r="C76" i="56"/>
  <c r="D76" i="56"/>
  <c r="F76" i="56"/>
  <c r="B77" i="56"/>
  <c r="C77" i="56"/>
  <c r="D77" i="56"/>
  <c r="F77" i="56"/>
  <c r="S28" i="56"/>
  <c r="T28" i="56"/>
  <c r="S30" i="56"/>
  <c r="U53" i="52"/>
  <c r="D5" i="79"/>
  <c r="B125" i="51"/>
  <c r="C125" i="51"/>
  <c r="D125" i="51"/>
  <c r="B126" i="51"/>
  <c r="C126" i="51"/>
  <c r="D126" i="51"/>
  <c r="B127" i="51"/>
  <c r="C127" i="51"/>
  <c r="D127" i="51"/>
  <c r="B128" i="51"/>
  <c r="C128" i="51"/>
  <c r="D128" i="51"/>
  <c r="B129" i="51"/>
  <c r="C129" i="51"/>
  <c r="D129" i="51"/>
  <c r="B130" i="51"/>
  <c r="C130" i="51"/>
  <c r="D130" i="51"/>
  <c r="B131" i="51"/>
  <c r="C131" i="51"/>
  <c r="D131" i="51"/>
  <c r="B132" i="51"/>
  <c r="C132" i="51"/>
  <c r="D132" i="51"/>
  <c r="B133" i="51"/>
  <c r="C133" i="51"/>
  <c r="D133" i="51"/>
  <c r="B134" i="51"/>
  <c r="C134" i="51"/>
  <c r="D134" i="51"/>
  <c r="B135" i="51"/>
  <c r="C135" i="51"/>
  <c r="D135" i="51"/>
  <c r="B136" i="51"/>
  <c r="C136" i="51"/>
  <c r="D136" i="51"/>
  <c r="C124" i="51"/>
  <c r="F125" i="51"/>
  <c r="F126" i="51"/>
  <c r="F127" i="51"/>
  <c r="F128" i="51"/>
  <c r="F129" i="51"/>
  <c r="F130" i="51"/>
  <c r="F131" i="51"/>
  <c r="F132" i="51"/>
  <c r="F133" i="51"/>
  <c r="F134" i="51"/>
  <c r="F135" i="51"/>
  <c r="F136" i="51"/>
  <c r="F124" i="51"/>
  <c r="B124" i="51"/>
  <c r="F89" i="50"/>
  <c r="F90" i="50"/>
  <c r="F91" i="50"/>
  <c r="F92" i="50"/>
  <c r="F93" i="50"/>
  <c r="F94" i="50"/>
  <c r="F95" i="50"/>
  <c r="F96" i="50"/>
  <c r="F97" i="50"/>
  <c r="F98" i="50"/>
  <c r="F99" i="50"/>
  <c r="F100" i="50"/>
  <c r="F101" i="50"/>
  <c r="F102" i="50"/>
  <c r="F103" i="50"/>
  <c r="F104" i="50"/>
  <c r="F107" i="48"/>
  <c r="F108" i="48"/>
  <c r="F109" i="48"/>
  <c r="F110" i="48"/>
  <c r="F111" i="48"/>
  <c r="F112" i="48"/>
  <c r="F113" i="48"/>
  <c r="F114" i="48"/>
  <c r="F115" i="48"/>
  <c r="F116" i="48"/>
  <c r="F117" i="48"/>
  <c r="F118" i="48"/>
  <c r="F106" i="48"/>
  <c r="B107" i="48"/>
  <c r="C107" i="48"/>
  <c r="D107" i="48"/>
  <c r="B108" i="48"/>
  <c r="C108" i="48"/>
  <c r="D108" i="48"/>
  <c r="B109" i="48"/>
  <c r="C109" i="48"/>
  <c r="D109" i="48"/>
  <c r="B110" i="48"/>
  <c r="C110" i="48"/>
  <c r="D110" i="48"/>
  <c r="B111" i="48"/>
  <c r="C111" i="48"/>
  <c r="D111" i="48"/>
  <c r="B112" i="48"/>
  <c r="C112" i="48"/>
  <c r="D112" i="48"/>
  <c r="B113" i="48"/>
  <c r="C113" i="48"/>
  <c r="D113" i="48"/>
  <c r="B114" i="48"/>
  <c r="C114" i="48"/>
  <c r="D114" i="48"/>
  <c r="B115" i="48"/>
  <c r="C115" i="48"/>
  <c r="D115" i="48"/>
  <c r="B116" i="48"/>
  <c r="C116" i="48"/>
  <c r="D116" i="48"/>
  <c r="B117" i="48"/>
  <c r="C117" i="48"/>
  <c r="D117" i="48"/>
  <c r="B118" i="48"/>
  <c r="C118" i="48"/>
  <c r="D118" i="48"/>
  <c r="C106" i="48"/>
  <c r="B106" i="48"/>
  <c r="S31" i="42"/>
  <c r="T31" i="42" s="1"/>
  <c r="T30" i="42"/>
  <c r="T30" i="43"/>
  <c r="T30" i="48"/>
  <c r="U28" i="43"/>
  <c r="D93" i="33"/>
  <c r="D94" i="33"/>
  <c r="D95" i="33"/>
  <c r="D96" i="33"/>
  <c r="D97" i="33"/>
  <c r="D98" i="33"/>
  <c r="D99" i="33"/>
  <c r="D100" i="33"/>
  <c r="D101" i="33"/>
  <c r="D102" i="33"/>
  <c r="D103" i="33"/>
  <c r="D104" i="33"/>
  <c r="D105" i="33"/>
  <c r="D106" i="33"/>
  <c r="D107" i="33"/>
  <c r="D108" i="33"/>
  <c r="D109" i="33"/>
  <c r="D110" i="33"/>
  <c r="D111" i="33"/>
  <c r="D112" i="33"/>
  <c r="V40" i="33"/>
  <c r="R12" i="32"/>
  <c r="R13" i="32" s="1"/>
  <c r="B112" i="33"/>
  <c r="C112" i="33"/>
  <c r="F112" i="33"/>
  <c r="F101" i="32"/>
  <c r="F92" i="31"/>
  <c r="F93" i="31"/>
  <c r="F94" i="31"/>
  <c r="F95" i="31"/>
  <c r="F96" i="31"/>
  <c r="F97" i="31"/>
  <c r="F98" i="31"/>
  <c r="F99" i="31"/>
  <c r="F100" i="31"/>
  <c r="F101" i="31"/>
  <c r="F102" i="31"/>
  <c r="F103" i="31"/>
  <c r="F104" i="31"/>
  <c r="F105" i="31"/>
  <c r="F106" i="31"/>
  <c r="F107" i="31"/>
  <c r="F108" i="31"/>
  <c r="F109" i="31"/>
  <c r="F91" i="31"/>
  <c r="B92" i="31"/>
  <c r="C92" i="31"/>
  <c r="D92" i="31"/>
  <c r="B93" i="31"/>
  <c r="C93" i="31"/>
  <c r="D93" i="31"/>
  <c r="B94" i="31"/>
  <c r="C94" i="31"/>
  <c r="D94" i="31"/>
  <c r="B95" i="31"/>
  <c r="C95" i="31"/>
  <c r="D95" i="31"/>
  <c r="B96" i="31"/>
  <c r="C96" i="31"/>
  <c r="D96" i="31"/>
  <c r="B97" i="31"/>
  <c r="C97" i="31"/>
  <c r="D97" i="31"/>
  <c r="B98" i="31"/>
  <c r="C98" i="31"/>
  <c r="D98" i="31"/>
  <c r="B99" i="31"/>
  <c r="C99" i="31"/>
  <c r="D99" i="31"/>
  <c r="B100" i="31"/>
  <c r="C100" i="31"/>
  <c r="D100" i="31"/>
  <c r="B101" i="31"/>
  <c r="C101" i="31"/>
  <c r="D101" i="31"/>
  <c r="B102" i="31"/>
  <c r="C102" i="31"/>
  <c r="D102" i="31"/>
  <c r="B103" i="31"/>
  <c r="C103" i="31"/>
  <c r="D103" i="31"/>
  <c r="B104" i="31"/>
  <c r="C104" i="31"/>
  <c r="D104" i="31"/>
  <c r="B105" i="31"/>
  <c r="C105" i="31"/>
  <c r="D105" i="31"/>
  <c r="B106" i="31"/>
  <c r="C106" i="31"/>
  <c r="D106" i="31"/>
  <c r="B107" i="31"/>
  <c r="C107" i="31"/>
  <c r="D107" i="31"/>
  <c r="B108" i="31"/>
  <c r="C108" i="31"/>
  <c r="D108" i="31"/>
  <c r="B109" i="31"/>
  <c r="C109" i="31"/>
  <c r="D109" i="31"/>
  <c r="C91" i="31"/>
  <c r="D91" i="31"/>
  <c r="B91" i="31"/>
  <c r="C51" i="26"/>
  <c r="F148" i="23"/>
  <c r="F149" i="23"/>
  <c r="F150" i="23"/>
  <c r="F151" i="23"/>
  <c r="F152" i="23"/>
  <c r="F153" i="23"/>
  <c r="F154" i="23"/>
  <c r="F155" i="23"/>
  <c r="F156" i="23"/>
  <c r="F157" i="23"/>
  <c r="F158" i="23"/>
  <c r="F159" i="23"/>
  <c r="F160" i="23"/>
  <c r="F147" i="23"/>
  <c r="B160" i="23"/>
  <c r="C160" i="23"/>
  <c r="D160" i="23"/>
  <c r="B148" i="23"/>
  <c r="C148" i="23"/>
  <c r="D148" i="23"/>
  <c r="B149" i="23"/>
  <c r="C149" i="23"/>
  <c r="D149" i="23"/>
  <c r="B150" i="23"/>
  <c r="C150" i="23"/>
  <c r="D150" i="23"/>
  <c r="B151" i="23"/>
  <c r="C151" i="23"/>
  <c r="D151" i="23"/>
  <c r="B152" i="23"/>
  <c r="C152" i="23"/>
  <c r="D152" i="23"/>
  <c r="B153" i="23"/>
  <c r="C153" i="23"/>
  <c r="D153" i="23"/>
  <c r="B154" i="23"/>
  <c r="C154" i="23"/>
  <c r="D154" i="23"/>
  <c r="B155" i="23"/>
  <c r="C155" i="23"/>
  <c r="D155" i="23"/>
  <c r="B156" i="23"/>
  <c r="C156" i="23"/>
  <c r="D156" i="23"/>
  <c r="B157" i="23"/>
  <c r="C157" i="23"/>
  <c r="D157" i="23"/>
  <c r="B158" i="23"/>
  <c r="C158" i="23"/>
  <c r="D158" i="23"/>
  <c r="B159" i="23"/>
  <c r="C159" i="23"/>
  <c r="D159" i="23"/>
  <c r="C147" i="23"/>
  <c r="B147" i="23"/>
  <c r="C51" i="69"/>
  <c r="B128" i="23"/>
  <c r="C128" i="23"/>
  <c r="D128" i="23"/>
  <c r="B129" i="23"/>
  <c r="C129" i="23"/>
  <c r="D129" i="23"/>
  <c r="B130" i="23"/>
  <c r="C130" i="23"/>
  <c r="D130" i="23"/>
  <c r="B131" i="23"/>
  <c r="C131" i="23"/>
  <c r="D131" i="23"/>
  <c r="B132" i="23"/>
  <c r="C132" i="23"/>
  <c r="D132" i="23"/>
  <c r="B133" i="23"/>
  <c r="C133" i="23"/>
  <c r="D133" i="23"/>
  <c r="B134" i="23"/>
  <c r="C134" i="23"/>
  <c r="D134" i="23"/>
  <c r="B135" i="23"/>
  <c r="C135" i="23"/>
  <c r="D135" i="23"/>
  <c r="B136" i="23"/>
  <c r="C136" i="23"/>
  <c r="D136" i="23"/>
  <c r="B137" i="23"/>
  <c r="C137" i="23"/>
  <c r="D137" i="23"/>
  <c r="B138" i="23"/>
  <c r="C138" i="23"/>
  <c r="D138" i="23"/>
  <c r="B139" i="23"/>
  <c r="C139" i="23"/>
  <c r="D139" i="23"/>
  <c r="B140" i="23"/>
  <c r="C140" i="23"/>
  <c r="D140" i="23"/>
  <c r="C127" i="23"/>
  <c r="F128" i="23"/>
  <c r="F129" i="23"/>
  <c r="F130" i="23"/>
  <c r="F131" i="23"/>
  <c r="F132" i="23"/>
  <c r="F133" i="23"/>
  <c r="F134" i="23"/>
  <c r="F135" i="23"/>
  <c r="F136" i="23"/>
  <c r="F137" i="23"/>
  <c r="F138" i="23"/>
  <c r="F139" i="23"/>
  <c r="F140" i="23"/>
  <c r="F127" i="23"/>
  <c r="B127" i="23"/>
  <c r="C51" i="22"/>
  <c r="C52" i="22"/>
  <c r="B65" i="17"/>
  <c r="S29" i="84"/>
  <c r="F68" i="83"/>
  <c r="D68" i="83"/>
  <c r="C68" i="83"/>
  <c r="B68" i="83"/>
  <c r="F67" i="83"/>
  <c r="D67" i="83"/>
  <c r="C67" i="83"/>
  <c r="B67" i="83"/>
  <c r="F66" i="83"/>
  <c r="D66" i="83"/>
  <c r="C66" i="83"/>
  <c r="B66" i="83"/>
  <c r="F65" i="83"/>
  <c r="D65" i="83"/>
  <c r="C65" i="83"/>
  <c r="B65" i="83"/>
  <c r="B79" i="6"/>
  <c r="C79" i="6"/>
  <c r="D79" i="6"/>
  <c r="B80" i="6"/>
  <c r="C80" i="6"/>
  <c r="D80" i="6"/>
  <c r="B81" i="6"/>
  <c r="C81" i="6"/>
  <c r="D81" i="6"/>
  <c r="B82" i="6"/>
  <c r="C82" i="6"/>
  <c r="D82" i="6"/>
  <c r="B83" i="6"/>
  <c r="C83" i="6"/>
  <c r="D83" i="6"/>
  <c r="B84" i="6"/>
  <c r="C84" i="6"/>
  <c r="D84" i="6"/>
  <c r="F79" i="6"/>
  <c r="F84" i="6"/>
  <c r="F78" i="6"/>
  <c r="C78" i="6"/>
  <c r="B78" i="6"/>
  <c r="B66" i="74"/>
  <c r="U30" i="74"/>
  <c r="T30" i="74"/>
  <c r="B89" i="59"/>
  <c r="C89" i="59"/>
  <c r="D89" i="59"/>
  <c r="B90" i="59"/>
  <c r="C90" i="59"/>
  <c r="D90" i="59"/>
  <c r="B91" i="59"/>
  <c r="C91" i="59"/>
  <c r="D91" i="59"/>
  <c r="B92" i="59"/>
  <c r="C92" i="59"/>
  <c r="D92" i="59"/>
  <c r="B93" i="59"/>
  <c r="C93" i="59"/>
  <c r="D93" i="59"/>
  <c r="B94" i="59"/>
  <c r="C94" i="59"/>
  <c r="D94" i="59"/>
  <c r="B95" i="59"/>
  <c r="C95" i="59"/>
  <c r="D95" i="59"/>
  <c r="B96" i="59"/>
  <c r="C96" i="59"/>
  <c r="D96" i="59"/>
  <c r="B97" i="59"/>
  <c r="C97" i="59"/>
  <c r="D97" i="59"/>
  <c r="B98" i="59"/>
  <c r="C98" i="59"/>
  <c r="D98" i="59"/>
  <c r="B99" i="59"/>
  <c r="C99" i="59"/>
  <c r="D99" i="59"/>
  <c r="B100" i="59"/>
  <c r="C100" i="59"/>
  <c r="D100" i="59"/>
  <c r="B101" i="59"/>
  <c r="C101" i="59"/>
  <c r="D101" i="59"/>
  <c r="B102" i="59"/>
  <c r="C102" i="59"/>
  <c r="D102" i="59"/>
  <c r="B103" i="59"/>
  <c r="C103" i="59"/>
  <c r="D103" i="59"/>
  <c r="C88" i="59"/>
  <c r="F89" i="59"/>
  <c r="F90" i="59"/>
  <c r="F91" i="59"/>
  <c r="F92" i="59"/>
  <c r="F93" i="59"/>
  <c r="F94" i="59"/>
  <c r="F95" i="59"/>
  <c r="F96" i="59"/>
  <c r="F97" i="59"/>
  <c r="F98" i="59"/>
  <c r="F99" i="59"/>
  <c r="F100" i="59"/>
  <c r="F101" i="59"/>
  <c r="F102" i="59"/>
  <c r="F103" i="59"/>
  <c r="F88" i="59"/>
  <c r="B88" i="59"/>
  <c r="S28" i="65"/>
  <c r="AC55" i="52"/>
  <c r="AB55" i="52"/>
  <c r="E1" i="86"/>
  <c r="G1" i="86" s="1"/>
  <c r="O136" i="1"/>
  <c r="B104" i="50"/>
  <c r="C104" i="50"/>
  <c r="D104" i="50"/>
  <c r="B89" i="50"/>
  <c r="C89" i="50"/>
  <c r="D89" i="50"/>
  <c r="B90" i="50"/>
  <c r="C90" i="50"/>
  <c r="D90" i="50"/>
  <c r="B91" i="50"/>
  <c r="C91" i="50"/>
  <c r="D91" i="50"/>
  <c r="B92" i="50"/>
  <c r="C92" i="50"/>
  <c r="D92" i="50"/>
  <c r="B93" i="50"/>
  <c r="C93" i="50"/>
  <c r="D93" i="50"/>
  <c r="B94" i="50"/>
  <c r="C94" i="50"/>
  <c r="D94" i="50"/>
  <c r="B95" i="50"/>
  <c r="C95" i="50"/>
  <c r="D95" i="50"/>
  <c r="B96" i="50"/>
  <c r="C96" i="50"/>
  <c r="D96" i="50"/>
  <c r="B97" i="50"/>
  <c r="C97" i="50"/>
  <c r="D97" i="50"/>
  <c r="B98" i="50"/>
  <c r="C98" i="50"/>
  <c r="D98" i="50"/>
  <c r="B99" i="50"/>
  <c r="C99" i="50"/>
  <c r="D99" i="50"/>
  <c r="B100" i="50"/>
  <c r="C100" i="50"/>
  <c r="D100" i="50"/>
  <c r="B101" i="50"/>
  <c r="C101" i="50"/>
  <c r="D101" i="50"/>
  <c r="B102" i="50"/>
  <c r="C102" i="50"/>
  <c r="D102" i="50"/>
  <c r="B103" i="50"/>
  <c r="C103" i="50"/>
  <c r="D103" i="50"/>
  <c r="C88" i="50"/>
  <c r="F88" i="50"/>
  <c r="B88" i="50"/>
  <c r="B86" i="49"/>
  <c r="C86" i="49"/>
  <c r="D86" i="49"/>
  <c r="B87" i="49"/>
  <c r="C87" i="49"/>
  <c r="D87" i="49"/>
  <c r="B88" i="49"/>
  <c r="C88" i="49"/>
  <c r="D88" i="49"/>
  <c r="B89" i="49"/>
  <c r="C89" i="49"/>
  <c r="D89" i="49"/>
  <c r="B90" i="49"/>
  <c r="C90" i="49"/>
  <c r="D90" i="49"/>
  <c r="B91" i="49"/>
  <c r="C91" i="49"/>
  <c r="D91" i="49"/>
  <c r="B92" i="49"/>
  <c r="C92" i="49"/>
  <c r="D92" i="49"/>
  <c r="B93" i="49"/>
  <c r="C93" i="49"/>
  <c r="D93" i="49"/>
  <c r="B94" i="49"/>
  <c r="C94" i="49"/>
  <c r="D94" i="49"/>
  <c r="B95" i="49"/>
  <c r="C95" i="49"/>
  <c r="D95" i="49"/>
  <c r="B96" i="49"/>
  <c r="C96" i="49"/>
  <c r="D96" i="49"/>
  <c r="B97" i="49"/>
  <c r="C97" i="49"/>
  <c r="D97" i="49"/>
  <c r="C85" i="49"/>
  <c r="F86" i="49"/>
  <c r="F87" i="49"/>
  <c r="F88" i="49"/>
  <c r="F89" i="49"/>
  <c r="F90" i="49"/>
  <c r="F91" i="49"/>
  <c r="F92" i="49"/>
  <c r="F93" i="49"/>
  <c r="F94" i="49"/>
  <c r="F95" i="49"/>
  <c r="F96" i="49"/>
  <c r="F97" i="49"/>
  <c r="F85" i="49"/>
  <c r="B85" i="49"/>
  <c r="F113" i="45"/>
  <c r="F114" i="45"/>
  <c r="F115" i="45"/>
  <c r="F116" i="45"/>
  <c r="F117" i="45"/>
  <c r="F118" i="45"/>
  <c r="F119" i="45"/>
  <c r="F120" i="45"/>
  <c r="F121" i="45"/>
  <c r="F122" i="45"/>
  <c r="F123" i="45"/>
  <c r="F124" i="45"/>
  <c r="F125" i="45"/>
  <c r="F126" i="45"/>
  <c r="F127" i="45"/>
  <c r="F112" i="45"/>
  <c r="B113" i="45"/>
  <c r="C113" i="45"/>
  <c r="D113" i="45"/>
  <c r="B114" i="45"/>
  <c r="C114" i="45"/>
  <c r="D114" i="45"/>
  <c r="B115" i="45"/>
  <c r="C115" i="45"/>
  <c r="D115" i="45"/>
  <c r="B116" i="45"/>
  <c r="C116" i="45"/>
  <c r="D116" i="45"/>
  <c r="B117" i="45"/>
  <c r="C117" i="45"/>
  <c r="D117" i="45"/>
  <c r="B118" i="45"/>
  <c r="C118" i="45"/>
  <c r="D118" i="45"/>
  <c r="B119" i="45"/>
  <c r="C119" i="45"/>
  <c r="D119" i="45"/>
  <c r="B120" i="45"/>
  <c r="C120" i="45"/>
  <c r="D120" i="45"/>
  <c r="B121" i="45"/>
  <c r="C121" i="45"/>
  <c r="D121" i="45"/>
  <c r="B122" i="45"/>
  <c r="C122" i="45"/>
  <c r="D122" i="45"/>
  <c r="B123" i="45"/>
  <c r="C123" i="45"/>
  <c r="D123" i="45"/>
  <c r="B124" i="45"/>
  <c r="C124" i="45"/>
  <c r="D124" i="45"/>
  <c r="B125" i="45"/>
  <c r="C125" i="45"/>
  <c r="D125" i="45"/>
  <c r="B126" i="45"/>
  <c r="C126" i="45"/>
  <c r="D126" i="45"/>
  <c r="B127" i="45"/>
  <c r="C127" i="45"/>
  <c r="D127" i="45"/>
  <c r="C112" i="45"/>
  <c r="B112" i="45"/>
  <c r="S30" i="45"/>
  <c r="B90" i="45"/>
  <c r="C90" i="45"/>
  <c r="F90" i="45"/>
  <c r="S30" i="50"/>
  <c r="T30" i="50"/>
  <c r="F89" i="27"/>
  <c r="F90" i="27"/>
  <c r="F91" i="27"/>
  <c r="F92" i="27"/>
  <c r="F93" i="27"/>
  <c r="F94" i="27"/>
  <c r="F95" i="27"/>
  <c r="F96" i="27"/>
  <c r="F97" i="27"/>
  <c r="F98" i="27"/>
  <c r="F99" i="27"/>
  <c r="F100" i="27"/>
  <c r="F101" i="27"/>
  <c r="F102" i="27"/>
  <c r="B89" i="27"/>
  <c r="C89" i="27"/>
  <c r="D89" i="27"/>
  <c r="B90" i="27"/>
  <c r="C90" i="27"/>
  <c r="D90" i="27"/>
  <c r="B91" i="27"/>
  <c r="C91" i="27"/>
  <c r="D91" i="27"/>
  <c r="B92" i="27"/>
  <c r="C92" i="27"/>
  <c r="D92" i="27"/>
  <c r="B93" i="27"/>
  <c r="C93" i="27"/>
  <c r="D93" i="27"/>
  <c r="B94" i="27"/>
  <c r="C94" i="27"/>
  <c r="D94" i="27"/>
  <c r="B95" i="27"/>
  <c r="C95" i="27"/>
  <c r="D95" i="27"/>
  <c r="B96" i="27"/>
  <c r="C96" i="27"/>
  <c r="D96" i="27"/>
  <c r="B97" i="27"/>
  <c r="C97" i="27"/>
  <c r="D97" i="27"/>
  <c r="B98" i="27"/>
  <c r="C98" i="27"/>
  <c r="D98" i="27"/>
  <c r="B99" i="27"/>
  <c r="C99" i="27"/>
  <c r="D99" i="27"/>
  <c r="B100" i="27"/>
  <c r="C100" i="27"/>
  <c r="D100" i="27"/>
  <c r="B101" i="27"/>
  <c r="C101" i="27"/>
  <c r="D101" i="27"/>
  <c r="B102" i="27"/>
  <c r="C102" i="27"/>
  <c r="D102" i="27"/>
  <c r="C88" i="27"/>
  <c r="F88" i="27"/>
  <c r="B88" i="27"/>
  <c r="B88" i="32"/>
  <c r="C88" i="32"/>
  <c r="D88" i="32"/>
  <c r="B89" i="32"/>
  <c r="C89" i="32"/>
  <c r="D89" i="32"/>
  <c r="B90" i="32"/>
  <c r="C90" i="32"/>
  <c r="D90" i="32"/>
  <c r="B91" i="32"/>
  <c r="C91" i="32"/>
  <c r="D91" i="32"/>
  <c r="B92" i="32"/>
  <c r="C92" i="32"/>
  <c r="D92" i="32"/>
  <c r="B93" i="32"/>
  <c r="C93" i="32"/>
  <c r="D93" i="32"/>
  <c r="B94" i="32"/>
  <c r="C94" i="32"/>
  <c r="D94" i="32"/>
  <c r="B95" i="32"/>
  <c r="C95" i="32"/>
  <c r="D95" i="32"/>
  <c r="B96" i="32"/>
  <c r="C96" i="32"/>
  <c r="D96" i="32"/>
  <c r="B97" i="32"/>
  <c r="C97" i="32"/>
  <c r="D97" i="32"/>
  <c r="B98" i="32"/>
  <c r="C98" i="32"/>
  <c r="D98" i="32"/>
  <c r="B99" i="32"/>
  <c r="C99" i="32"/>
  <c r="D99" i="32"/>
  <c r="B100" i="32"/>
  <c r="C100" i="32"/>
  <c r="D100" i="32"/>
  <c r="B101" i="32"/>
  <c r="C101" i="32"/>
  <c r="D101" i="32"/>
  <c r="C87" i="32"/>
  <c r="F88" i="32"/>
  <c r="F89" i="32"/>
  <c r="F90" i="32"/>
  <c r="F91" i="32"/>
  <c r="F92" i="32"/>
  <c r="F93" i="32"/>
  <c r="F94" i="32"/>
  <c r="F95" i="32"/>
  <c r="F96" i="32"/>
  <c r="F97" i="32"/>
  <c r="F98" i="32"/>
  <c r="F99" i="32"/>
  <c r="F100" i="32"/>
  <c r="F87" i="32"/>
  <c r="B87" i="32"/>
  <c r="D8" i="25"/>
  <c r="D7" i="25"/>
  <c r="D6" i="25"/>
  <c r="O58" i="2"/>
  <c r="K58" i="2"/>
  <c r="N58" i="2" s="1"/>
  <c r="F68" i="82"/>
  <c r="D68" i="82"/>
  <c r="C68" i="82"/>
  <c r="B68" i="82"/>
  <c r="F67" i="82"/>
  <c r="D67" i="82"/>
  <c r="C67" i="82"/>
  <c r="B67" i="82"/>
  <c r="F66" i="82"/>
  <c r="D66" i="82"/>
  <c r="C66" i="82"/>
  <c r="B66" i="82"/>
  <c r="F65" i="82"/>
  <c r="D65" i="82"/>
  <c r="C65" i="82"/>
  <c r="B65" i="82"/>
  <c r="T28" i="50"/>
  <c r="S28" i="50"/>
  <c r="D51" i="50"/>
  <c r="R44" i="50" s="1"/>
  <c r="C51" i="50"/>
  <c r="V40" i="50"/>
  <c r="R44" i="27"/>
  <c r="D51" i="27"/>
  <c r="C51" i="27"/>
  <c r="V40" i="27"/>
  <c r="V40" i="16"/>
  <c r="D51" i="16"/>
  <c r="C51" i="16"/>
  <c r="D54" i="91" l="1"/>
  <c r="C55" i="91"/>
  <c r="D55" i="91" s="1"/>
  <c r="X32" i="43"/>
  <c r="K37" i="43"/>
  <c r="L37" i="43" s="1"/>
  <c r="X35" i="43" s="1"/>
  <c r="D7" i="79"/>
  <c r="D6" i="79"/>
  <c r="D8" i="79"/>
  <c r="D9" i="79"/>
  <c r="S32" i="50"/>
  <c r="S32" i="56"/>
  <c r="T32" i="50"/>
  <c r="B62" i="92"/>
  <c r="B63" i="92"/>
  <c r="H102" i="92"/>
  <c r="C102" i="92"/>
  <c r="S28" i="33"/>
  <c r="T28" i="33"/>
  <c r="T32" i="33" s="1"/>
  <c r="B84" i="92"/>
  <c r="D55" i="89"/>
  <c r="E90" i="88"/>
  <c r="G90" i="88" s="1"/>
  <c r="H90" i="88" s="1"/>
  <c r="E92" i="88"/>
  <c r="G92" i="88" s="1"/>
  <c r="H92" i="88" s="1"/>
  <c r="E91" i="88"/>
  <c r="G91" i="88" s="1"/>
  <c r="H91" i="88" s="1"/>
  <c r="E89" i="88"/>
  <c r="G89" i="88" s="1"/>
  <c r="H89" i="88" s="1"/>
  <c r="E88" i="88"/>
  <c r="G88" i="88" s="1"/>
  <c r="H88" i="88" s="1"/>
  <c r="E87" i="88"/>
  <c r="G87" i="88" s="1"/>
  <c r="H87" i="88" s="1"/>
  <c r="E86" i="88"/>
  <c r="G86" i="88" s="1"/>
  <c r="H86" i="88" s="1"/>
  <c r="E85" i="88"/>
  <c r="G85" i="88" s="1"/>
  <c r="H85" i="88" s="1"/>
  <c r="E84" i="88"/>
  <c r="G84" i="88" s="1"/>
  <c r="H84" i="88" s="1"/>
  <c r="E83" i="88"/>
  <c r="G83" i="88" s="1"/>
  <c r="H83" i="88" s="1"/>
  <c r="E82" i="88"/>
  <c r="G82" i="88" s="1"/>
  <c r="H82" i="88" s="1"/>
  <c r="I56" i="88"/>
  <c r="J57" i="88"/>
  <c r="H55" i="88"/>
  <c r="V53" i="52"/>
  <c r="D7" i="52" s="1"/>
  <c r="T30" i="3"/>
  <c r="S30" i="32"/>
  <c r="T30" i="32"/>
  <c r="T27" i="85"/>
  <c r="T29" i="85" s="1"/>
  <c r="S28" i="16"/>
  <c r="S32" i="16" s="1"/>
  <c r="J52" i="16" s="1"/>
  <c r="T29" i="42"/>
  <c r="S28" i="32"/>
  <c r="T28" i="32"/>
  <c r="T30" i="27"/>
  <c r="S28" i="27"/>
  <c r="S32" i="27" s="1"/>
  <c r="T28" i="27"/>
  <c r="R44" i="16"/>
  <c r="E1" i="83"/>
  <c r="E1" i="84"/>
  <c r="D52" i="84" s="1"/>
  <c r="B70" i="84" s="1"/>
  <c r="E19" i="86"/>
  <c r="G19" i="86" s="1"/>
  <c r="H19" i="86" s="1"/>
  <c r="K19" i="86" s="1"/>
  <c r="L19" i="86" s="1"/>
  <c r="E18" i="86"/>
  <c r="G18" i="86" s="1"/>
  <c r="H18" i="86" s="1"/>
  <c r="K18" i="86" s="1"/>
  <c r="L18" i="86" s="1"/>
  <c r="E17" i="86"/>
  <c r="G17" i="86" s="1"/>
  <c r="H17" i="86" s="1"/>
  <c r="K17" i="86" s="1"/>
  <c r="L17" i="86" s="1"/>
  <c r="E16" i="86"/>
  <c r="G16" i="86" s="1"/>
  <c r="H16" i="86" s="1"/>
  <c r="K16" i="86" s="1"/>
  <c r="L16" i="86" s="1"/>
  <c r="E15" i="86"/>
  <c r="G15" i="86" s="1"/>
  <c r="H15" i="86" s="1"/>
  <c r="K15" i="86" s="1"/>
  <c r="L15" i="86" s="1"/>
  <c r="E14" i="86"/>
  <c r="G14" i="86" s="1"/>
  <c r="H14" i="86" s="1"/>
  <c r="K14" i="86" s="1"/>
  <c r="L14" i="86" s="1"/>
  <c r="E13" i="86"/>
  <c r="G13" i="86" s="1"/>
  <c r="H13" i="86" s="1"/>
  <c r="K13" i="86" s="1"/>
  <c r="L13" i="86" s="1"/>
  <c r="E12" i="86"/>
  <c r="G12" i="86" s="1"/>
  <c r="H12" i="86" s="1"/>
  <c r="K12" i="86" s="1"/>
  <c r="L12" i="86" s="1"/>
  <c r="E11" i="86"/>
  <c r="G11" i="86" s="1"/>
  <c r="H11" i="86" s="1"/>
  <c r="K11" i="86" s="1"/>
  <c r="L11" i="86" s="1"/>
  <c r="E10" i="86"/>
  <c r="G10" i="86" s="1"/>
  <c r="H10" i="86" s="1"/>
  <c r="K10" i="86" s="1"/>
  <c r="L10" i="86" s="1"/>
  <c r="E9" i="86"/>
  <c r="G9" i="86" s="1"/>
  <c r="H9" i="86" s="1"/>
  <c r="K9" i="86" s="1"/>
  <c r="L9" i="86" s="1"/>
  <c r="E8" i="86"/>
  <c r="G8" i="86" s="1"/>
  <c r="H8" i="86" s="1"/>
  <c r="K8" i="86" s="1"/>
  <c r="L8" i="86" s="1"/>
  <c r="E7" i="86"/>
  <c r="G7" i="86" s="1"/>
  <c r="H7" i="86" s="1"/>
  <c r="K7" i="86" s="1"/>
  <c r="L7" i="86" s="1"/>
  <c r="E6" i="86"/>
  <c r="G6" i="86" s="1"/>
  <c r="H6" i="86" s="1"/>
  <c r="K6" i="86" s="1"/>
  <c r="L6" i="86" s="1"/>
  <c r="E5" i="86"/>
  <c r="G5" i="86" s="1"/>
  <c r="H5" i="86" s="1"/>
  <c r="K5" i="86" s="1"/>
  <c r="L5" i="86" s="1"/>
  <c r="I1" i="86"/>
  <c r="V44" i="50"/>
  <c r="U44" i="50"/>
  <c r="W44" i="50" s="1"/>
  <c r="J51" i="50" s="1"/>
  <c r="I51" i="50" s="1"/>
  <c r="D5" i="50" s="1"/>
  <c r="V44" i="27"/>
  <c r="U44" i="27"/>
  <c r="W44" i="27" s="1"/>
  <c r="J51" i="27" s="1"/>
  <c r="I51" i="27" s="1"/>
  <c r="D5" i="27" s="1"/>
  <c r="D88" i="27" s="1"/>
  <c r="B110" i="7"/>
  <c r="C110" i="7"/>
  <c r="D110" i="7"/>
  <c r="F110" i="7"/>
  <c r="B111" i="7"/>
  <c r="C111" i="7"/>
  <c r="D111" i="7"/>
  <c r="F111" i="7"/>
  <c r="B112" i="7"/>
  <c r="C112" i="7"/>
  <c r="D112" i="7"/>
  <c r="F112" i="7"/>
  <c r="B113" i="7"/>
  <c r="C113" i="7"/>
  <c r="D113" i="7"/>
  <c r="F113" i="7"/>
  <c r="B114" i="7"/>
  <c r="C114" i="7"/>
  <c r="D114" i="7"/>
  <c r="F114" i="7"/>
  <c r="B115" i="7"/>
  <c r="C115" i="7"/>
  <c r="D115" i="7"/>
  <c r="F115" i="7"/>
  <c r="B116" i="7"/>
  <c r="C116" i="7"/>
  <c r="D116" i="7"/>
  <c r="F116" i="7"/>
  <c r="B117" i="7"/>
  <c r="C117" i="7"/>
  <c r="D117" i="7"/>
  <c r="F117" i="7"/>
  <c r="B118" i="7"/>
  <c r="C118" i="7"/>
  <c r="D118" i="7"/>
  <c r="F118" i="7"/>
  <c r="B119" i="7"/>
  <c r="C119" i="7"/>
  <c r="D119" i="7"/>
  <c r="F119" i="7"/>
  <c r="B120" i="7"/>
  <c r="C120" i="7"/>
  <c r="D120" i="7"/>
  <c r="F120" i="7"/>
  <c r="B121" i="7"/>
  <c r="C121" i="7"/>
  <c r="D121" i="7"/>
  <c r="F121" i="7"/>
  <c r="B122" i="7"/>
  <c r="C122" i="7"/>
  <c r="D122" i="7"/>
  <c r="F122" i="7"/>
  <c r="B123" i="7"/>
  <c r="C123" i="7"/>
  <c r="D123" i="7"/>
  <c r="F123" i="7"/>
  <c r="F109" i="7"/>
  <c r="C109" i="7"/>
  <c r="B109" i="7"/>
  <c r="E1" i="85" l="1"/>
  <c r="G1" i="85" s="1"/>
  <c r="I1" i="85" s="1"/>
  <c r="AA25" i="85"/>
  <c r="J52" i="56"/>
  <c r="T32" i="32"/>
  <c r="S30" i="86"/>
  <c r="T30" i="86"/>
  <c r="AC25" i="86" s="1"/>
  <c r="T32" i="27"/>
  <c r="D88" i="50"/>
  <c r="D112" i="50"/>
  <c r="S32" i="32"/>
  <c r="J52" i="32" s="1"/>
  <c r="I57" i="88"/>
  <c r="B147" i="88"/>
  <c r="H147" i="88" s="1"/>
  <c r="J58" i="88"/>
  <c r="I58" i="88" s="1"/>
  <c r="E101" i="88"/>
  <c r="G101" i="88" s="1"/>
  <c r="H101" i="88" s="1"/>
  <c r="E102" i="88"/>
  <c r="G102" i="88" s="1"/>
  <c r="H102" i="88" s="1"/>
  <c r="E103" i="88"/>
  <c r="G103" i="88" s="1"/>
  <c r="H103" i="88" s="1"/>
  <c r="E104" i="88"/>
  <c r="G104" i="88" s="1"/>
  <c r="H104" i="88" s="1"/>
  <c r="E105" i="88"/>
  <c r="G105" i="88" s="1"/>
  <c r="H105" i="88" s="1"/>
  <c r="E108" i="88"/>
  <c r="G108" i="88" s="1"/>
  <c r="H108" i="88" s="1"/>
  <c r="E109" i="88"/>
  <c r="G109" i="88" s="1"/>
  <c r="H109" i="88" s="1"/>
  <c r="E110" i="88"/>
  <c r="G110" i="88" s="1"/>
  <c r="H110" i="88" s="1"/>
  <c r="E107" i="88"/>
  <c r="G107" i="88" s="1"/>
  <c r="H107" i="88" s="1"/>
  <c r="E111" i="88"/>
  <c r="G111" i="88" s="1"/>
  <c r="H111" i="88" s="1"/>
  <c r="E106" i="88"/>
  <c r="G106" i="88" s="1"/>
  <c r="H106" i="88" s="1"/>
  <c r="H56" i="88"/>
  <c r="U44" i="16"/>
  <c r="W44" i="16" s="1"/>
  <c r="J51" i="16" s="1"/>
  <c r="I51" i="16" s="1"/>
  <c r="D5" i="16" s="1"/>
  <c r="V44" i="16"/>
  <c r="E13" i="85"/>
  <c r="G13" i="85" s="1"/>
  <c r="H13" i="85" s="1"/>
  <c r="K13" i="85" s="1"/>
  <c r="L13" i="85" s="1"/>
  <c r="E19" i="85"/>
  <c r="G19" i="85" s="1"/>
  <c r="H19" i="85" s="1"/>
  <c r="K19" i="85" s="1"/>
  <c r="L19" i="85" s="1"/>
  <c r="E8" i="85"/>
  <c r="G8" i="85" s="1"/>
  <c r="H8" i="85" s="1"/>
  <c r="K8" i="85" s="1"/>
  <c r="L8" i="85" s="1"/>
  <c r="E7" i="85"/>
  <c r="G7" i="85" s="1"/>
  <c r="H7" i="85" s="1"/>
  <c r="K7" i="85" s="1"/>
  <c r="L7" i="85" s="1"/>
  <c r="E12" i="85"/>
  <c r="G12" i="85" s="1"/>
  <c r="H12" i="85" s="1"/>
  <c r="K12" i="85" s="1"/>
  <c r="L12" i="85" s="1"/>
  <c r="E5" i="85"/>
  <c r="G5" i="85" s="1"/>
  <c r="H5" i="85" s="1"/>
  <c r="K5" i="85" s="1"/>
  <c r="L5" i="85" s="1"/>
  <c r="E1" i="82"/>
  <c r="D52" i="83"/>
  <c r="B70" i="83" s="1"/>
  <c r="G1" i="83"/>
  <c r="G1" i="84"/>
  <c r="C52" i="84" s="1"/>
  <c r="C51" i="45"/>
  <c r="D51" i="45"/>
  <c r="R44" i="45" s="1"/>
  <c r="T28" i="45"/>
  <c r="T32" i="45" s="1"/>
  <c r="S28" i="45"/>
  <c r="S32" i="45" s="1"/>
  <c r="V40" i="45"/>
  <c r="O60" i="2"/>
  <c r="K61" i="2"/>
  <c r="N61" i="2" s="1"/>
  <c r="K49" i="2"/>
  <c r="N49" i="2" s="1"/>
  <c r="K55" i="2"/>
  <c r="N55" i="2" s="1"/>
  <c r="K56" i="2"/>
  <c r="N56" i="2" s="1"/>
  <c r="K53" i="2"/>
  <c r="N53" i="2" s="1"/>
  <c r="K54" i="2"/>
  <c r="N54" i="2" s="1"/>
  <c r="L101" i="1"/>
  <c r="O101" i="1" s="1"/>
  <c r="O111" i="1"/>
  <c r="K138" i="1"/>
  <c r="B104" i="58"/>
  <c r="C104" i="58"/>
  <c r="D104" i="58"/>
  <c r="F104" i="58"/>
  <c r="B81" i="58"/>
  <c r="C81" i="58"/>
  <c r="D81" i="58"/>
  <c r="F81" i="58"/>
  <c r="B78" i="61"/>
  <c r="C78" i="61"/>
  <c r="D78" i="61"/>
  <c r="F78" i="61"/>
  <c r="O50" i="2"/>
  <c r="B78" i="50"/>
  <c r="C78" i="50"/>
  <c r="D78" i="50"/>
  <c r="F78" i="50"/>
  <c r="B79" i="50"/>
  <c r="C79" i="50"/>
  <c r="D79" i="50"/>
  <c r="F79" i="50"/>
  <c r="B80" i="50"/>
  <c r="C80" i="50"/>
  <c r="D80" i="50"/>
  <c r="F80" i="50"/>
  <c r="B81" i="50"/>
  <c r="C81" i="50"/>
  <c r="D81" i="50"/>
  <c r="F81" i="50"/>
  <c r="W1" i="79"/>
  <c r="O132" i="1"/>
  <c r="O117" i="1"/>
  <c r="O134" i="1"/>
  <c r="B65" i="45"/>
  <c r="C65" i="45"/>
  <c r="F65" i="45"/>
  <c r="B65" i="50"/>
  <c r="C65" i="50"/>
  <c r="D65" i="50"/>
  <c r="F65" i="50"/>
  <c r="B85" i="33"/>
  <c r="C85" i="33"/>
  <c r="D85" i="33"/>
  <c r="F85" i="33"/>
  <c r="B80" i="32"/>
  <c r="C80" i="32"/>
  <c r="D80" i="32"/>
  <c r="F80" i="32"/>
  <c r="K17" i="2"/>
  <c r="N17" i="2" s="1"/>
  <c r="L17" i="2"/>
  <c r="O17" i="2" s="1"/>
  <c r="O119" i="1"/>
  <c r="K119" i="1"/>
  <c r="N119" i="1" s="1"/>
  <c r="S28" i="40"/>
  <c r="S30" i="40" s="1"/>
  <c r="D79" i="21"/>
  <c r="F79" i="21"/>
  <c r="D80" i="21"/>
  <c r="F80" i="21"/>
  <c r="F78" i="21"/>
  <c r="B79" i="21"/>
  <c r="C79" i="21"/>
  <c r="B80" i="21"/>
  <c r="C80" i="21"/>
  <c r="C78" i="21"/>
  <c r="D78" i="21"/>
  <c r="B78" i="21"/>
  <c r="B82" i="3"/>
  <c r="C82" i="3"/>
  <c r="D82" i="3"/>
  <c r="F82" i="3"/>
  <c r="B106" i="3"/>
  <c r="C106" i="3"/>
  <c r="D106" i="3"/>
  <c r="F106" i="3"/>
  <c r="B134" i="3"/>
  <c r="C134" i="3"/>
  <c r="D134" i="3"/>
  <c r="F134" i="3"/>
  <c r="S28" i="24"/>
  <c r="S30" i="24" s="1"/>
  <c r="AO1" i="9"/>
  <c r="U30" i="9"/>
  <c r="P15" i="79"/>
  <c r="U29" i="79"/>
  <c r="E1" i="75"/>
  <c r="G1" i="75" s="1"/>
  <c r="F74" i="78"/>
  <c r="D74" i="78"/>
  <c r="C74" i="78"/>
  <c r="B74" i="78"/>
  <c r="F73" i="78"/>
  <c r="D73" i="78"/>
  <c r="C73" i="78"/>
  <c r="B73" i="78"/>
  <c r="F72" i="78"/>
  <c r="D72" i="78"/>
  <c r="C72" i="78"/>
  <c r="B72" i="78"/>
  <c r="F71" i="78"/>
  <c r="D71" i="78"/>
  <c r="C71" i="78"/>
  <c r="B71" i="78"/>
  <c r="F70" i="78"/>
  <c r="D70" i="78"/>
  <c r="C70" i="78"/>
  <c r="B70" i="78"/>
  <c r="F69" i="78"/>
  <c r="D69" i="78"/>
  <c r="C69" i="78"/>
  <c r="B69" i="78"/>
  <c r="F68" i="78"/>
  <c r="D68" i="78"/>
  <c r="C68" i="78"/>
  <c r="B68" i="78"/>
  <c r="F67" i="78"/>
  <c r="D67" i="78"/>
  <c r="C67" i="78"/>
  <c r="B67" i="78"/>
  <c r="F66" i="78"/>
  <c r="D66" i="78"/>
  <c r="C66" i="78"/>
  <c r="B66" i="78"/>
  <c r="C51" i="78"/>
  <c r="F96" i="77"/>
  <c r="D96" i="77"/>
  <c r="C96" i="77"/>
  <c r="B96" i="77"/>
  <c r="F95" i="77"/>
  <c r="D95" i="77"/>
  <c r="C95" i="77"/>
  <c r="B95" i="77"/>
  <c r="F94" i="77"/>
  <c r="D94" i="77"/>
  <c r="C94" i="77"/>
  <c r="B94" i="77"/>
  <c r="F93" i="77"/>
  <c r="D93" i="77"/>
  <c r="C93" i="77"/>
  <c r="B93" i="77"/>
  <c r="F92" i="77"/>
  <c r="D92" i="77"/>
  <c r="C92" i="77"/>
  <c r="B92" i="77"/>
  <c r="F91" i="77"/>
  <c r="C91" i="77"/>
  <c r="B91" i="77"/>
  <c r="F82" i="77"/>
  <c r="D82" i="77"/>
  <c r="C82" i="77"/>
  <c r="B82" i="77"/>
  <c r="F81" i="77"/>
  <c r="D81" i="77"/>
  <c r="C81" i="77"/>
  <c r="B81" i="77"/>
  <c r="F80" i="77"/>
  <c r="D80" i="77"/>
  <c r="C80" i="77"/>
  <c r="B80" i="77"/>
  <c r="F79" i="77"/>
  <c r="D79" i="77"/>
  <c r="C79" i="77"/>
  <c r="B79" i="77"/>
  <c r="F78" i="77"/>
  <c r="D78" i="77"/>
  <c r="C78" i="77"/>
  <c r="B78" i="77"/>
  <c r="F77" i="77"/>
  <c r="C77" i="77"/>
  <c r="B77" i="77"/>
  <c r="F70" i="77"/>
  <c r="D70" i="77"/>
  <c r="C70" i="77"/>
  <c r="B70" i="77"/>
  <c r="F69" i="77"/>
  <c r="D69" i="77"/>
  <c r="C69" i="77"/>
  <c r="B69" i="77"/>
  <c r="F68" i="77"/>
  <c r="D68" i="77"/>
  <c r="C68" i="77"/>
  <c r="B68" i="77"/>
  <c r="F67" i="77"/>
  <c r="D67" i="77"/>
  <c r="C67" i="77"/>
  <c r="B67" i="77"/>
  <c r="F66" i="77"/>
  <c r="D66" i="77"/>
  <c r="C66" i="77"/>
  <c r="B66" i="77"/>
  <c r="F65" i="77"/>
  <c r="C65" i="77"/>
  <c r="B65" i="77"/>
  <c r="V44" i="77"/>
  <c r="U44" i="77"/>
  <c r="W44" i="77"/>
  <c r="J51" i="77" s="1"/>
  <c r="I51" i="77" s="1"/>
  <c r="T29" i="77"/>
  <c r="AA28" i="77"/>
  <c r="AB28" i="77" s="1"/>
  <c r="T28" i="77"/>
  <c r="R25" i="77"/>
  <c r="R44" i="75"/>
  <c r="V40" i="75"/>
  <c r="F129" i="74"/>
  <c r="D129" i="74"/>
  <c r="C129" i="74"/>
  <c r="B129" i="74"/>
  <c r="F128" i="74"/>
  <c r="D128" i="74"/>
  <c r="C128" i="74"/>
  <c r="B128" i="74"/>
  <c r="F127" i="74"/>
  <c r="D127" i="74"/>
  <c r="C127" i="74"/>
  <c r="B127" i="74"/>
  <c r="F126" i="74"/>
  <c r="D126" i="74"/>
  <c r="C126" i="74"/>
  <c r="B126" i="74"/>
  <c r="F125" i="74"/>
  <c r="D125" i="74"/>
  <c r="C125" i="74"/>
  <c r="B125" i="74"/>
  <c r="F124" i="74"/>
  <c r="D124" i="74"/>
  <c r="C124" i="74"/>
  <c r="B124" i="74"/>
  <c r="F123" i="74"/>
  <c r="D123" i="74"/>
  <c r="C123" i="74"/>
  <c r="B123" i="74"/>
  <c r="F122" i="74"/>
  <c r="D122" i="74"/>
  <c r="C122" i="74"/>
  <c r="B122" i="74"/>
  <c r="F121" i="74"/>
  <c r="D121" i="74"/>
  <c r="C121" i="74"/>
  <c r="B121" i="74"/>
  <c r="F120" i="74"/>
  <c r="D120" i="74"/>
  <c r="C120" i="74"/>
  <c r="B120" i="74"/>
  <c r="F119" i="74"/>
  <c r="D119" i="74"/>
  <c r="C119" i="74"/>
  <c r="B119" i="74"/>
  <c r="F118" i="74"/>
  <c r="D118" i="74"/>
  <c r="C118" i="74"/>
  <c r="B118" i="74"/>
  <c r="F117" i="74"/>
  <c r="D117" i="74"/>
  <c r="C117" i="74"/>
  <c r="B117" i="74"/>
  <c r="F116" i="74"/>
  <c r="D116" i="74"/>
  <c r="C116" i="74"/>
  <c r="B116" i="74"/>
  <c r="F115" i="74"/>
  <c r="D115" i="74"/>
  <c r="C115" i="74"/>
  <c r="B115" i="74"/>
  <c r="F114" i="74"/>
  <c r="D114" i="74"/>
  <c r="C114" i="74"/>
  <c r="B114" i="74"/>
  <c r="F113" i="74"/>
  <c r="C113" i="74"/>
  <c r="B113" i="74"/>
  <c r="F104" i="74"/>
  <c r="D104" i="74"/>
  <c r="C104" i="74"/>
  <c r="B104" i="74"/>
  <c r="F103" i="74"/>
  <c r="D103" i="74"/>
  <c r="C103" i="74"/>
  <c r="B103" i="74"/>
  <c r="F102" i="74"/>
  <c r="D102" i="74"/>
  <c r="C102" i="74"/>
  <c r="B102" i="74"/>
  <c r="F101" i="74"/>
  <c r="D101" i="74"/>
  <c r="C101" i="74"/>
  <c r="B101" i="74"/>
  <c r="F100" i="74"/>
  <c r="D100" i="74"/>
  <c r="C100" i="74"/>
  <c r="B100" i="74"/>
  <c r="F99" i="74"/>
  <c r="D99" i="74"/>
  <c r="C99" i="74"/>
  <c r="B99" i="74"/>
  <c r="F98" i="74"/>
  <c r="D98" i="74"/>
  <c r="C98" i="74"/>
  <c r="B98" i="74"/>
  <c r="F97" i="74"/>
  <c r="D97" i="74"/>
  <c r="C97" i="74"/>
  <c r="B97" i="74"/>
  <c r="F96" i="74"/>
  <c r="D96" i="74"/>
  <c r="C96" i="74"/>
  <c r="B96" i="74"/>
  <c r="F95" i="74"/>
  <c r="D95" i="74"/>
  <c r="C95" i="74"/>
  <c r="B95" i="74"/>
  <c r="F94" i="74"/>
  <c r="D94" i="74"/>
  <c r="C94" i="74"/>
  <c r="B94" i="74"/>
  <c r="F93" i="74"/>
  <c r="D93" i="74"/>
  <c r="C93" i="74"/>
  <c r="B93" i="74"/>
  <c r="F92" i="74"/>
  <c r="D92" i="74"/>
  <c r="C92" i="74"/>
  <c r="B92" i="74"/>
  <c r="F91" i="74"/>
  <c r="D91" i="74"/>
  <c r="C91" i="74"/>
  <c r="B91" i="74"/>
  <c r="F90" i="74"/>
  <c r="D90" i="74"/>
  <c r="C90" i="74"/>
  <c r="B90" i="74"/>
  <c r="F89" i="74"/>
  <c r="D89" i="74"/>
  <c r="C89" i="74"/>
  <c r="B89" i="74"/>
  <c r="F88" i="74"/>
  <c r="C88" i="74"/>
  <c r="B88" i="74"/>
  <c r="F81" i="74"/>
  <c r="D81" i="74"/>
  <c r="C81" i="74"/>
  <c r="B81" i="74"/>
  <c r="F80" i="74"/>
  <c r="D80" i="74"/>
  <c r="C80" i="74"/>
  <c r="B80" i="74"/>
  <c r="F79" i="74"/>
  <c r="D79" i="74"/>
  <c r="C79" i="74"/>
  <c r="B79" i="74"/>
  <c r="F78" i="74"/>
  <c r="D78" i="74"/>
  <c r="C78" i="74"/>
  <c r="B78" i="74"/>
  <c r="F77" i="74"/>
  <c r="D77" i="74"/>
  <c r="C77" i="74"/>
  <c r="B77" i="74"/>
  <c r="F76" i="74"/>
  <c r="D76" i="74"/>
  <c r="C76" i="74"/>
  <c r="B76" i="74"/>
  <c r="F75" i="74"/>
  <c r="D75" i="74"/>
  <c r="C75" i="74"/>
  <c r="B75" i="74"/>
  <c r="F74" i="74"/>
  <c r="D74" i="74"/>
  <c r="C74" i="74"/>
  <c r="B74" i="74"/>
  <c r="F73" i="74"/>
  <c r="D73" i="74"/>
  <c r="C73" i="74"/>
  <c r="B73" i="74"/>
  <c r="F72" i="74"/>
  <c r="D72" i="74"/>
  <c r="C72" i="74"/>
  <c r="B72" i="74"/>
  <c r="F71" i="74"/>
  <c r="D71" i="74"/>
  <c r="C71" i="74"/>
  <c r="B71" i="74"/>
  <c r="F70" i="74"/>
  <c r="D70" i="74"/>
  <c r="C70" i="74"/>
  <c r="B70" i="74"/>
  <c r="F69" i="74"/>
  <c r="D69" i="74"/>
  <c r="C69" i="74"/>
  <c r="B69" i="74"/>
  <c r="F68" i="74"/>
  <c r="D68" i="74"/>
  <c r="C68" i="74"/>
  <c r="B68" i="74"/>
  <c r="F67" i="74"/>
  <c r="D67" i="74"/>
  <c r="C67" i="74"/>
  <c r="B67" i="74"/>
  <c r="F66" i="74"/>
  <c r="D66" i="74"/>
  <c r="C66" i="74"/>
  <c r="F65" i="74"/>
  <c r="C65" i="74"/>
  <c r="B65" i="74"/>
  <c r="V40" i="74"/>
  <c r="T33" i="74"/>
  <c r="J52" i="74"/>
  <c r="I52" i="74" s="1"/>
  <c r="T29" i="74"/>
  <c r="T32" i="74" s="1"/>
  <c r="U32" i="74" s="1"/>
  <c r="AC30" i="74" s="1"/>
  <c r="U28" i="74"/>
  <c r="D51" i="74"/>
  <c r="K1" i="74"/>
  <c r="C51" i="74"/>
  <c r="F70" i="73"/>
  <c r="D70" i="73"/>
  <c r="C70" i="73"/>
  <c r="B70" i="73"/>
  <c r="F69" i="73"/>
  <c r="D69" i="73"/>
  <c r="C69" i="73"/>
  <c r="B69" i="73"/>
  <c r="F68" i="73"/>
  <c r="D68" i="73"/>
  <c r="C68" i="73"/>
  <c r="B68" i="73"/>
  <c r="F67" i="73"/>
  <c r="D67" i="73"/>
  <c r="C67" i="73"/>
  <c r="B67" i="73"/>
  <c r="F66" i="73"/>
  <c r="D66" i="73"/>
  <c r="C66" i="73"/>
  <c r="B66" i="73"/>
  <c r="F65" i="73"/>
  <c r="C65" i="73"/>
  <c r="B65" i="73"/>
  <c r="D51" i="73"/>
  <c r="R44" i="73" s="1"/>
  <c r="C51" i="73"/>
  <c r="V40" i="73"/>
  <c r="T33" i="73"/>
  <c r="J52" i="73"/>
  <c r="U30" i="73"/>
  <c r="T30" i="73"/>
  <c r="T29" i="73"/>
  <c r="U28" i="73"/>
  <c r="F116" i="72"/>
  <c r="D116" i="72"/>
  <c r="C116" i="72"/>
  <c r="B116" i="72"/>
  <c r="F115" i="72"/>
  <c r="D115" i="72"/>
  <c r="C115" i="72"/>
  <c r="B115" i="72"/>
  <c r="F114" i="72"/>
  <c r="D114" i="72"/>
  <c r="C114" i="72"/>
  <c r="B114" i="72"/>
  <c r="F113" i="72"/>
  <c r="D113" i="72"/>
  <c r="C113" i="72"/>
  <c r="B113" i="72"/>
  <c r="F112" i="72"/>
  <c r="D112" i="72"/>
  <c r="C112" i="72"/>
  <c r="B112" i="72"/>
  <c r="F111" i="72"/>
  <c r="D111" i="72"/>
  <c r="C111" i="72"/>
  <c r="B111" i="72"/>
  <c r="F110" i="72"/>
  <c r="D110" i="72"/>
  <c r="C110" i="72"/>
  <c r="B110" i="72"/>
  <c r="F109" i="72"/>
  <c r="D109" i="72"/>
  <c r="C109" i="72"/>
  <c r="B109" i="72"/>
  <c r="F108" i="72"/>
  <c r="D108" i="72"/>
  <c r="C108" i="72"/>
  <c r="B108" i="72"/>
  <c r="F107" i="72"/>
  <c r="D107" i="72"/>
  <c r="C107" i="72"/>
  <c r="B107" i="72"/>
  <c r="F106" i="72"/>
  <c r="D106" i="72"/>
  <c r="C106" i="72"/>
  <c r="B106" i="72"/>
  <c r="F105" i="72"/>
  <c r="D105" i="72"/>
  <c r="C105" i="72"/>
  <c r="B105" i="72"/>
  <c r="F104" i="72"/>
  <c r="D104" i="72"/>
  <c r="C104" i="72"/>
  <c r="B104" i="72"/>
  <c r="F103" i="72"/>
  <c r="D103" i="72"/>
  <c r="C103" i="72"/>
  <c r="B103" i="72"/>
  <c r="F102" i="72"/>
  <c r="D102" i="72"/>
  <c r="C102" i="72"/>
  <c r="B102" i="72"/>
  <c r="F101" i="72"/>
  <c r="D101" i="72"/>
  <c r="C101" i="72"/>
  <c r="B101" i="72"/>
  <c r="F100" i="72"/>
  <c r="D100" i="72"/>
  <c r="C100" i="72"/>
  <c r="B100" i="72"/>
  <c r="F99" i="72"/>
  <c r="D99" i="72"/>
  <c r="C99" i="72"/>
  <c r="B99" i="72"/>
  <c r="F98" i="72"/>
  <c r="D98" i="72"/>
  <c r="C98" i="72"/>
  <c r="B98" i="72"/>
  <c r="F97" i="72"/>
  <c r="D97" i="72"/>
  <c r="C97" i="72"/>
  <c r="B97" i="72"/>
  <c r="F96" i="72"/>
  <c r="D96" i="72"/>
  <c r="C96" i="72"/>
  <c r="B96" i="72"/>
  <c r="F95" i="72"/>
  <c r="D95" i="72"/>
  <c r="C95" i="72"/>
  <c r="B95" i="72"/>
  <c r="F94" i="72"/>
  <c r="C94" i="72"/>
  <c r="B94" i="72"/>
  <c r="F87" i="72"/>
  <c r="D87" i="72"/>
  <c r="C87" i="72"/>
  <c r="B87" i="72"/>
  <c r="F86" i="72"/>
  <c r="D86" i="72"/>
  <c r="C86" i="72"/>
  <c r="B86" i="72"/>
  <c r="F85" i="72"/>
  <c r="D85" i="72"/>
  <c r="C85" i="72"/>
  <c r="B85" i="72"/>
  <c r="F84" i="72"/>
  <c r="D84" i="72"/>
  <c r="C84" i="72"/>
  <c r="B84" i="72"/>
  <c r="F83" i="72"/>
  <c r="D83" i="72"/>
  <c r="C83" i="72"/>
  <c r="B83" i="72"/>
  <c r="F82" i="72"/>
  <c r="D82" i="72"/>
  <c r="C82" i="72"/>
  <c r="B82" i="72"/>
  <c r="F81" i="72"/>
  <c r="D81" i="72"/>
  <c r="C81" i="72"/>
  <c r="B81" i="72"/>
  <c r="F80" i="72"/>
  <c r="D80" i="72"/>
  <c r="C80" i="72"/>
  <c r="B80" i="72"/>
  <c r="F79" i="72"/>
  <c r="D79" i="72"/>
  <c r="C79" i="72"/>
  <c r="B79" i="72"/>
  <c r="F78" i="72"/>
  <c r="D78" i="72"/>
  <c r="C78" i="72"/>
  <c r="B78" i="72"/>
  <c r="F77" i="72"/>
  <c r="D77" i="72"/>
  <c r="C77" i="72"/>
  <c r="B77" i="72"/>
  <c r="F76" i="72"/>
  <c r="D76" i="72"/>
  <c r="C76" i="72"/>
  <c r="B76" i="72"/>
  <c r="F75" i="72"/>
  <c r="D75" i="72"/>
  <c r="C75" i="72"/>
  <c r="B75" i="72"/>
  <c r="F74" i="72"/>
  <c r="D74" i="72"/>
  <c r="C74" i="72"/>
  <c r="B74" i="72"/>
  <c r="F73" i="72"/>
  <c r="D73" i="72"/>
  <c r="C73" i="72"/>
  <c r="B73" i="72"/>
  <c r="F72" i="72"/>
  <c r="D72" i="72"/>
  <c r="C72" i="72"/>
  <c r="B72" i="72"/>
  <c r="F71" i="72"/>
  <c r="D71" i="72"/>
  <c r="C71" i="72"/>
  <c r="B71" i="72"/>
  <c r="F70" i="72"/>
  <c r="D70" i="72"/>
  <c r="C70" i="72"/>
  <c r="B70" i="72"/>
  <c r="F69" i="72"/>
  <c r="D69" i="72"/>
  <c r="C69" i="72"/>
  <c r="B69" i="72"/>
  <c r="F68" i="72"/>
  <c r="D68" i="72"/>
  <c r="C68" i="72"/>
  <c r="B68" i="72"/>
  <c r="F67" i="72"/>
  <c r="D67" i="72"/>
  <c r="C67" i="72"/>
  <c r="B67" i="72"/>
  <c r="F66" i="72"/>
  <c r="D66" i="72"/>
  <c r="C66" i="72"/>
  <c r="B66" i="72"/>
  <c r="F65" i="72"/>
  <c r="C65" i="72"/>
  <c r="B65" i="72"/>
  <c r="D51" i="72"/>
  <c r="R44" i="72" s="1"/>
  <c r="C51" i="72"/>
  <c r="V40" i="72"/>
  <c r="S30" i="72"/>
  <c r="U29" i="72"/>
  <c r="T28" i="72"/>
  <c r="S28" i="72"/>
  <c r="F92" i="71"/>
  <c r="D92" i="71"/>
  <c r="C92" i="71"/>
  <c r="B92" i="71"/>
  <c r="F91" i="71"/>
  <c r="D91" i="71"/>
  <c r="C91" i="71"/>
  <c r="B91" i="71"/>
  <c r="F90" i="71"/>
  <c r="D90" i="71"/>
  <c r="C90" i="71"/>
  <c r="B90" i="71"/>
  <c r="F89" i="71"/>
  <c r="D89" i="71"/>
  <c r="C89" i="71"/>
  <c r="B89" i="71"/>
  <c r="F88" i="71"/>
  <c r="D88" i="71"/>
  <c r="C88" i="71"/>
  <c r="B88" i="71"/>
  <c r="F87" i="71"/>
  <c r="D87" i="71"/>
  <c r="C87" i="71"/>
  <c r="B87" i="71"/>
  <c r="F86" i="71"/>
  <c r="D86" i="71"/>
  <c r="C86" i="71"/>
  <c r="B86" i="71"/>
  <c r="F85" i="71"/>
  <c r="D85" i="71"/>
  <c r="C85" i="71"/>
  <c r="B85" i="71"/>
  <c r="F84" i="71"/>
  <c r="D84" i="71"/>
  <c r="C84" i="71"/>
  <c r="B84" i="71"/>
  <c r="F83" i="71"/>
  <c r="D83" i="71"/>
  <c r="C83" i="71"/>
  <c r="B83" i="71"/>
  <c r="F82" i="71"/>
  <c r="C82" i="71"/>
  <c r="B82" i="71"/>
  <c r="F75" i="71"/>
  <c r="D75" i="71"/>
  <c r="C75" i="71"/>
  <c r="B75" i="71"/>
  <c r="F74" i="71"/>
  <c r="D74" i="71"/>
  <c r="C74" i="71"/>
  <c r="B74" i="71"/>
  <c r="F73" i="71"/>
  <c r="D73" i="71"/>
  <c r="C73" i="71"/>
  <c r="B73" i="71"/>
  <c r="F72" i="71"/>
  <c r="D72" i="71"/>
  <c r="C72" i="71"/>
  <c r="B72" i="71"/>
  <c r="F71" i="71"/>
  <c r="D71" i="71"/>
  <c r="C71" i="71"/>
  <c r="B71" i="71"/>
  <c r="F70" i="71"/>
  <c r="D70" i="71"/>
  <c r="C70" i="71"/>
  <c r="B70" i="71"/>
  <c r="F69" i="71"/>
  <c r="D69" i="71"/>
  <c r="C69" i="71"/>
  <c r="B69" i="71"/>
  <c r="F68" i="71"/>
  <c r="D68" i="71"/>
  <c r="C68" i="71"/>
  <c r="B68" i="71"/>
  <c r="F67" i="71"/>
  <c r="D67" i="71"/>
  <c r="C67" i="71"/>
  <c r="B67" i="71"/>
  <c r="F66" i="71"/>
  <c r="D66" i="71"/>
  <c r="C66" i="71"/>
  <c r="B66" i="71"/>
  <c r="F65" i="71"/>
  <c r="C65" i="71"/>
  <c r="B65" i="71"/>
  <c r="D51" i="71"/>
  <c r="C51" i="71"/>
  <c r="R44" i="71"/>
  <c r="V40" i="71"/>
  <c r="S30" i="71"/>
  <c r="U29" i="71"/>
  <c r="T28" i="71"/>
  <c r="S28" i="71"/>
  <c r="L1" i="71"/>
  <c r="F134" i="70"/>
  <c r="D134" i="70"/>
  <c r="C134" i="70"/>
  <c r="B134" i="70"/>
  <c r="F133" i="70"/>
  <c r="D133" i="70"/>
  <c r="C133" i="70"/>
  <c r="B133" i="70"/>
  <c r="F132" i="70"/>
  <c r="D132" i="70"/>
  <c r="C132" i="70"/>
  <c r="B132" i="70"/>
  <c r="F131" i="70"/>
  <c r="D131" i="70"/>
  <c r="C131" i="70"/>
  <c r="B131" i="70"/>
  <c r="F130" i="70"/>
  <c r="D130" i="70"/>
  <c r="C130" i="70"/>
  <c r="B130" i="70"/>
  <c r="F129" i="70"/>
  <c r="D129" i="70"/>
  <c r="C129" i="70"/>
  <c r="B129" i="70"/>
  <c r="F128" i="70"/>
  <c r="D128" i="70"/>
  <c r="C128" i="70"/>
  <c r="B128" i="70"/>
  <c r="F127" i="70"/>
  <c r="D127" i="70"/>
  <c r="C127" i="70"/>
  <c r="B127" i="70"/>
  <c r="F126" i="70"/>
  <c r="D126" i="70"/>
  <c r="C126" i="70"/>
  <c r="B126" i="70"/>
  <c r="F125" i="70"/>
  <c r="D125" i="70"/>
  <c r="C125" i="70"/>
  <c r="B125" i="70"/>
  <c r="F124" i="70"/>
  <c r="D124" i="70"/>
  <c r="C124" i="70"/>
  <c r="B124" i="70"/>
  <c r="F123" i="70"/>
  <c r="D123" i="70"/>
  <c r="C123" i="70"/>
  <c r="B123" i="70"/>
  <c r="F122" i="70"/>
  <c r="D122" i="70"/>
  <c r="C122" i="70"/>
  <c r="B122" i="70"/>
  <c r="F121" i="70"/>
  <c r="D121" i="70"/>
  <c r="C121" i="70"/>
  <c r="B121" i="70"/>
  <c r="F120" i="70"/>
  <c r="D120" i="70"/>
  <c r="C120" i="70"/>
  <c r="B120" i="70"/>
  <c r="F119" i="70"/>
  <c r="D119" i="70"/>
  <c r="C119" i="70"/>
  <c r="B119" i="70"/>
  <c r="F118" i="70"/>
  <c r="D118" i="70"/>
  <c r="C118" i="70"/>
  <c r="B118" i="70"/>
  <c r="F117" i="70"/>
  <c r="D117" i="70"/>
  <c r="C117" i="70"/>
  <c r="B117" i="70"/>
  <c r="F116" i="70"/>
  <c r="C116" i="70"/>
  <c r="B116" i="70"/>
  <c r="F108" i="70"/>
  <c r="D108" i="70"/>
  <c r="C108" i="70"/>
  <c r="B108" i="70"/>
  <c r="F107" i="70"/>
  <c r="D107" i="70"/>
  <c r="C107" i="70"/>
  <c r="B107" i="70"/>
  <c r="F106" i="70"/>
  <c r="D106" i="70"/>
  <c r="C106" i="70"/>
  <c r="B106" i="70"/>
  <c r="F105" i="70"/>
  <c r="D105" i="70"/>
  <c r="C105" i="70"/>
  <c r="B105" i="70"/>
  <c r="F104" i="70"/>
  <c r="D104" i="70"/>
  <c r="C104" i="70"/>
  <c r="B104" i="70"/>
  <c r="F103" i="70"/>
  <c r="D103" i="70"/>
  <c r="C103" i="70"/>
  <c r="B103" i="70"/>
  <c r="F102" i="70"/>
  <c r="D102" i="70"/>
  <c r="C102" i="70"/>
  <c r="B102" i="70"/>
  <c r="F101" i="70"/>
  <c r="D101" i="70"/>
  <c r="C101" i="70"/>
  <c r="B101" i="70"/>
  <c r="F100" i="70"/>
  <c r="D100" i="70"/>
  <c r="C100" i="70"/>
  <c r="B100" i="70"/>
  <c r="F99" i="70"/>
  <c r="D99" i="70"/>
  <c r="C99" i="70"/>
  <c r="B99" i="70"/>
  <c r="F98" i="70"/>
  <c r="D98" i="70"/>
  <c r="C98" i="70"/>
  <c r="B98" i="70"/>
  <c r="F97" i="70"/>
  <c r="D97" i="70"/>
  <c r="C97" i="70"/>
  <c r="B97" i="70"/>
  <c r="F96" i="70"/>
  <c r="D96" i="70"/>
  <c r="C96" i="70"/>
  <c r="B96" i="70"/>
  <c r="F95" i="70"/>
  <c r="D95" i="70"/>
  <c r="C95" i="70"/>
  <c r="B95" i="70"/>
  <c r="F94" i="70"/>
  <c r="D94" i="70"/>
  <c r="C94" i="70"/>
  <c r="B94" i="70"/>
  <c r="F93" i="70"/>
  <c r="D93" i="70"/>
  <c r="C93" i="70"/>
  <c r="B93" i="70"/>
  <c r="F92" i="70"/>
  <c r="D92" i="70"/>
  <c r="C92" i="70"/>
  <c r="B92" i="70"/>
  <c r="F91" i="70"/>
  <c r="D91" i="70"/>
  <c r="C91" i="70"/>
  <c r="B91" i="70"/>
  <c r="F90" i="70"/>
  <c r="C90" i="70"/>
  <c r="B90" i="70"/>
  <c r="F83" i="70"/>
  <c r="D83" i="70"/>
  <c r="C83" i="70"/>
  <c r="B83" i="70"/>
  <c r="F82" i="70"/>
  <c r="D82" i="70"/>
  <c r="C82" i="70"/>
  <c r="B82" i="70"/>
  <c r="F81" i="70"/>
  <c r="D81" i="70"/>
  <c r="C81" i="70"/>
  <c r="B81" i="70"/>
  <c r="F80" i="70"/>
  <c r="D80" i="70"/>
  <c r="C80" i="70"/>
  <c r="B80" i="70"/>
  <c r="F79" i="70"/>
  <c r="D79" i="70"/>
  <c r="C79" i="70"/>
  <c r="B79" i="70"/>
  <c r="F78" i="70"/>
  <c r="D78" i="70"/>
  <c r="C78" i="70"/>
  <c r="B78" i="70"/>
  <c r="F77" i="70"/>
  <c r="D77" i="70"/>
  <c r="C77" i="70"/>
  <c r="B77" i="70"/>
  <c r="F76" i="70"/>
  <c r="D76" i="70"/>
  <c r="C76" i="70"/>
  <c r="B76" i="70"/>
  <c r="F75" i="70"/>
  <c r="D75" i="70"/>
  <c r="C75" i="70"/>
  <c r="B75" i="70"/>
  <c r="F74" i="70"/>
  <c r="D74" i="70"/>
  <c r="C74" i="70"/>
  <c r="B74" i="70"/>
  <c r="F73" i="70"/>
  <c r="D73" i="70"/>
  <c r="C73" i="70"/>
  <c r="B73" i="70"/>
  <c r="F72" i="70"/>
  <c r="D72" i="70"/>
  <c r="C72" i="70"/>
  <c r="B72" i="70"/>
  <c r="F71" i="70"/>
  <c r="D71" i="70"/>
  <c r="C71" i="70"/>
  <c r="B71" i="70"/>
  <c r="F70" i="70"/>
  <c r="D70" i="70"/>
  <c r="C70" i="70"/>
  <c r="B70" i="70"/>
  <c r="F69" i="70"/>
  <c r="D69" i="70"/>
  <c r="C69" i="70"/>
  <c r="B69" i="70"/>
  <c r="F68" i="70"/>
  <c r="D68" i="70"/>
  <c r="C68" i="70"/>
  <c r="B68" i="70"/>
  <c r="F67" i="70"/>
  <c r="D67" i="70"/>
  <c r="C67" i="70"/>
  <c r="B67" i="70"/>
  <c r="F66" i="70"/>
  <c r="D66" i="70"/>
  <c r="C66" i="70"/>
  <c r="B66" i="70"/>
  <c r="F65" i="70"/>
  <c r="C65" i="70"/>
  <c r="B65" i="70"/>
  <c r="D51" i="70"/>
  <c r="R44" i="70" s="1"/>
  <c r="C51" i="70"/>
  <c r="V40" i="70"/>
  <c r="S30" i="70"/>
  <c r="U29" i="70"/>
  <c r="T28" i="70"/>
  <c r="S28" i="70"/>
  <c r="F106" i="69"/>
  <c r="D106" i="69"/>
  <c r="C106" i="69"/>
  <c r="B106" i="69"/>
  <c r="F105" i="69"/>
  <c r="D105" i="69"/>
  <c r="C105" i="69"/>
  <c r="B105" i="69"/>
  <c r="F104" i="69"/>
  <c r="D104" i="69"/>
  <c r="C104" i="69"/>
  <c r="B104" i="69"/>
  <c r="F103" i="69"/>
  <c r="D103" i="69"/>
  <c r="C103" i="69"/>
  <c r="B103" i="69"/>
  <c r="F102" i="69"/>
  <c r="D102" i="69"/>
  <c r="C102" i="69"/>
  <c r="B102" i="69"/>
  <c r="F101" i="69"/>
  <c r="D101" i="69"/>
  <c r="C101" i="69"/>
  <c r="B101" i="69"/>
  <c r="F100" i="69"/>
  <c r="D100" i="69"/>
  <c r="C100" i="69"/>
  <c r="B100" i="69"/>
  <c r="F99" i="69"/>
  <c r="D99" i="69"/>
  <c r="C99" i="69"/>
  <c r="B99" i="69"/>
  <c r="F98" i="69"/>
  <c r="D98" i="69"/>
  <c r="C98" i="69"/>
  <c r="B98" i="69"/>
  <c r="F97" i="69"/>
  <c r="D97" i="69"/>
  <c r="C97" i="69"/>
  <c r="B97" i="69"/>
  <c r="F96" i="69"/>
  <c r="D96" i="69"/>
  <c r="C96" i="69"/>
  <c r="B96" i="69"/>
  <c r="F95" i="69"/>
  <c r="D95" i="69"/>
  <c r="C95" i="69"/>
  <c r="B95" i="69"/>
  <c r="F94" i="69"/>
  <c r="D94" i="69"/>
  <c r="C94" i="69"/>
  <c r="B94" i="69"/>
  <c r="F93" i="69"/>
  <c r="D93" i="69"/>
  <c r="C93" i="69"/>
  <c r="B93" i="69"/>
  <c r="F92" i="69"/>
  <c r="D92" i="69"/>
  <c r="C92" i="69"/>
  <c r="B92" i="69"/>
  <c r="F91" i="69"/>
  <c r="D91" i="69"/>
  <c r="C91" i="69"/>
  <c r="B91" i="69"/>
  <c r="F90" i="69"/>
  <c r="D90" i="69"/>
  <c r="C90" i="69"/>
  <c r="B90" i="69"/>
  <c r="F89" i="69"/>
  <c r="C89" i="69"/>
  <c r="B89" i="69"/>
  <c r="F82" i="69"/>
  <c r="D82" i="69"/>
  <c r="C82" i="69"/>
  <c r="B82" i="69"/>
  <c r="F81" i="69"/>
  <c r="D81" i="69"/>
  <c r="C81" i="69"/>
  <c r="B81" i="69"/>
  <c r="F80" i="69"/>
  <c r="D80" i="69"/>
  <c r="C80" i="69"/>
  <c r="B80" i="69"/>
  <c r="F79" i="69"/>
  <c r="D79" i="69"/>
  <c r="C79" i="69"/>
  <c r="B79" i="69"/>
  <c r="F78" i="69"/>
  <c r="D78" i="69"/>
  <c r="C78" i="69"/>
  <c r="B78" i="69"/>
  <c r="F77" i="69"/>
  <c r="D77" i="69"/>
  <c r="C77" i="69"/>
  <c r="B77" i="69"/>
  <c r="F76" i="69"/>
  <c r="D76" i="69"/>
  <c r="C76" i="69"/>
  <c r="B76" i="69"/>
  <c r="F75" i="69"/>
  <c r="D75" i="69"/>
  <c r="C75" i="69"/>
  <c r="B75" i="69"/>
  <c r="F74" i="69"/>
  <c r="D74" i="69"/>
  <c r="C74" i="69"/>
  <c r="B74" i="69"/>
  <c r="F73" i="69"/>
  <c r="D73" i="69"/>
  <c r="C73" i="69"/>
  <c r="B73" i="69"/>
  <c r="F72" i="69"/>
  <c r="D72" i="69"/>
  <c r="C72" i="69"/>
  <c r="B72" i="69"/>
  <c r="F71" i="69"/>
  <c r="D71" i="69"/>
  <c r="C71" i="69"/>
  <c r="B71" i="69"/>
  <c r="F70" i="69"/>
  <c r="D70" i="69"/>
  <c r="C70" i="69"/>
  <c r="B70" i="69"/>
  <c r="F69" i="69"/>
  <c r="D69" i="69"/>
  <c r="C69" i="69"/>
  <c r="B69" i="69"/>
  <c r="F68" i="69"/>
  <c r="D68" i="69"/>
  <c r="C68" i="69"/>
  <c r="B68" i="69"/>
  <c r="F67" i="69"/>
  <c r="D67" i="69"/>
  <c r="C67" i="69"/>
  <c r="B67" i="69"/>
  <c r="F66" i="69"/>
  <c r="D66" i="69"/>
  <c r="C66" i="69"/>
  <c r="B66" i="69"/>
  <c r="F65" i="69"/>
  <c r="C65" i="69"/>
  <c r="B65" i="69"/>
  <c r="D51" i="69"/>
  <c r="V40" i="69"/>
  <c r="S30" i="69"/>
  <c r="U29" i="69"/>
  <c r="T28" i="69"/>
  <c r="T32" i="69" s="1"/>
  <c r="S28" i="69"/>
  <c r="F72" i="68"/>
  <c r="D72" i="68"/>
  <c r="C72" i="68"/>
  <c r="B72" i="68"/>
  <c r="F71" i="68"/>
  <c r="D71" i="68"/>
  <c r="C71" i="68"/>
  <c r="B71" i="68"/>
  <c r="F70" i="68"/>
  <c r="D70" i="68"/>
  <c r="C70" i="68"/>
  <c r="B70" i="68"/>
  <c r="F69" i="68"/>
  <c r="D69" i="68"/>
  <c r="C69" i="68"/>
  <c r="B69" i="68"/>
  <c r="F68" i="68"/>
  <c r="D68" i="68"/>
  <c r="C68" i="68"/>
  <c r="B68" i="68"/>
  <c r="F67" i="68"/>
  <c r="D67" i="68"/>
  <c r="C67" i="68"/>
  <c r="B67" i="68"/>
  <c r="F66" i="68"/>
  <c r="D66" i="68"/>
  <c r="C66" i="68"/>
  <c r="B66" i="68"/>
  <c r="F65" i="68"/>
  <c r="D65" i="68"/>
  <c r="C65" i="68"/>
  <c r="B65" i="68"/>
  <c r="C51" i="68"/>
  <c r="D51" i="67"/>
  <c r="V40" i="67"/>
  <c r="T33" i="67"/>
  <c r="U31" i="67"/>
  <c r="T30" i="67"/>
  <c r="S30" i="67"/>
  <c r="U29" i="67"/>
  <c r="U32" i="67" s="1"/>
  <c r="K1" i="67"/>
  <c r="F153" i="66"/>
  <c r="C153" i="66"/>
  <c r="B153" i="66"/>
  <c r="F152" i="66"/>
  <c r="C152" i="66"/>
  <c r="B152" i="66"/>
  <c r="F151" i="66"/>
  <c r="C151" i="66"/>
  <c r="B151" i="66"/>
  <c r="F150" i="66"/>
  <c r="C150" i="66"/>
  <c r="B150" i="66"/>
  <c r="F149" i="66"/>
  <c r="C149" i="66"/>
  <c r="B149" i="66"/>
  <c r="F148" i="66"/>
  <c r="C148" i="66"/>
  <c r="B148" i="66"/>
  <c r="F147" i="66"/>
  <c r="C147" i="66"/>
  <c r="B147" i="66"/>
  <c r="F146" i="66"/>
  <c r="C146" i="66"/>
  <c r="B146" i="66"/>
  <c r="F145" i="66"/>
  <c r="C145" i="66"/>
  <c r="B145" i="66"/>
  <c r="F137" i="66"/>
  <c r="C137" i="66"/>
  <c r="B137" i="66"/>
  <c r="F136" i="66"/>
  <c r="C136" i="66"/>
  <c r="B136" i="66"/>
  <c r="F135" i="66"/>
  <c r="C135" i="66"/>
  <c r="B135" i="66"/>
  <c r="F134" i="66"/>
  <c r="C134" i="66"/>
  <c r="B134" i="66"/>
  <c r="F133" i="66"/>
  <c r="C133" i="66"/>
  <c r="B133" i="66"/>
  <c r="F132" i="66"/>
  <c r="C132" i="66"/>
  <c r="B132" i="66"/>
  <c r="F131" i="66"/>
  <c r="C131" i="66"/>
  <c r="B131" i="66"/>
  <c r="F130" i="66"/>
  <c r="C130" i="66"/>
  <c r="B130" i="66"/>
  <c r="F129" i="66"/>
  <c r="C129" i="66"/>
  <c r="B129" i="66"/>
  <c r="F121" i="66"/>
  <c r="C121" i="66"/>
  <c r="B121" i="66"/>
  <c r="F120" i="66"/>
  <c r="C120" i="66"/>
  <c r="B120" i="66"/>
  <c r="F119" i="66"/>
  <c r="C119" i="66"/>
  <c r="B119" i="66"/>
  <c r="F118" i="66"/>
  <c r="C118" i="66"/>
  <c r="B118" i="66"/>
  <c r="F117" i="66"/>
  <c r="C117" i="66"/>
  <c r="B117" i="66"/>
  <c r="F116" i="66"/>
  <c r="C116" i="66"/>
  <c r="B116" i="66"/>
  <c r="F115" i="66"/>
  <c r="C115" i="66"/>
  <c r="B115" i="66"/>
  <c r="F114" i="66"/>
  <c r="C114" i="66"/>
  <c r="B114" i="66"/>
  <c r="F113" i="66"/>
  <c r="C113" i="66"/>
  <c r="B113" i="66"/>
  <c r="F105" i="66"/>
  <c r="C105" i="66"/>
  <c r="B105" i="66"/>
  <c r="F104" i="66"/>
  <c r="C104" i="66"/>
  <c r="B104" i="66"/>
  <c r="F103" i="66"/>
  <c r="C103" i="66"/>
  <c r="B103" i="66"/>
  <c r="F102" i="66"/>
  <c r="C102" i="66"/>
  <c r="B102" i="66"/>
  <c r="F101" i="66"/>
  <c r="C101" i="66"/>
  <c r="B101" i="66"/>
  <c r="F100" i="66"/>
  <c r="C100" i="66"/>
  <c r="B100" i="66"/>
  <c r="F99" i="66"/>
  <c r="C99" i="66"/>
  <c r="B99" i="66"/>
  <c r="F98" i="66"/>
  <c r="C98" i="66"/>
  <c r="B98" i="66"/>
  <c r="F97" i="66"/>
  <c r="C97" i="66"/>
  <c r="B97" i="66"/>
  <c r="F88" i="66"/>
  <c r="C88" i="66"/>
  <c r="B88" i="66"/>
  <c r="F87" i="66"/>
  <c r="C87" i="66"/>
  <c r="B87" i="66"/>
  <c r="F86" i="66"/>
  <c r="C86" i="66"/>
  <c r="B86" i="66"/>
  <c r="F85" i="66"/>
  <c r="C85" i="66"/>
  <c r="B85" i="66"/>
  <c r="F84" i="66"/>
  <c r="C84" i="66"/>
  <c r="B84" i="66"/>
  <c r="F83" i="66"/>
  <c r="C83" i="66"/>
  <c r="B83" i="66"/>
  <c r="F82" i="66"/>
  <c r="C82" i="66"/>
  <c r="B82" i="66"/>
  <c r="F81" i="66"/>
  <c r="C81" i="66"/>
  <c r="B81" i="66"/>
  <c r="F80" i="66"/>
  <c r="C80" i="66"/>
  <c r="B80" i="66"/>
  <c r="F73" i="66"/>
  <c r="C73" i="66"/>
  <c r="B73" i="66"/>
  <c r="F72" i="66"/>
  <c r="C72" i="66"/>
  <c r="B72" i="66"/>
  <c r="F71" i="66"/>
  <c r="C71" i="66"/>
  <c r="B71" i="66"/>
  <c r="F70" i="66"/>
  <c r="C70" i="66"/>
  <c r="B70" i="66"/>
  <c r="F69" i="66"/>
  <c r="C69" i="66"/>
  <c r="B69" i="66"/>
  <c r="F68" i="66"/>
  <c r="C68" i="66"/>
  <c r="B68" i="66"/>
  <c r="F67" i="66"/>
  <c r="C67" i="66"/>
  <c r="B67" i="66"/>
  <c r="F66" i="66"/>
  <c r="C66" i="66"/>
  <c r="B66" i="66"/>
  <c r="F65" i="66"/>
  <c r="C65" i="66"/>
  <c r="B65" i="66"/>
  <c r="V44" i="66"/>
  <c r="U44" i="66"/>
  <c r="T29" i="66"/>
  <c r="AA28" i="66"/>
  <c r="T28" i="66"/>
  <c r="R25" i="66"/>
  <c r="D13" i="66"/>
  <c r="D12" i="66"/>
  <c r="D11" i="66"/>
  <c r="D10" i="66"/>
  <c r="D9" i="66"/>
  <c r="D8" i="66"/>
  <c r="D7" i="66"/>
  <c r="D6" i="66"/>
  <c r="V40" i="65"/>
  <c r="U33" i="65"/>
  <c r="S30" i="65"/>
  <c r="S32" i="65" s="1"/>
  <c r="U29" i="65"/>
  <c r="D51" i="65"/>
  <c r="C51" i="65"/>
  <c r="U33" i="64"/>
  <c r="U30" i="64"/>
  <c r="U29" i="64"/>
  <c r="F80" i="62"/>
  <c r="D80" i="62"/>
  <c r="C80" i="62"/>
  <c r="B80" i="62"/>
  <c r="F79" i="62"/>
  <c r="D79" i="62"/>
  <c r="C79" i="62"/>
  <c r="B79" i="62"/>
  <c r="F78" i="62"/>
  <c r="D78" i="62"/>
  <c r="C78" i="62"/>
  <c r="B78" i="62"/>
  <c r="F77" i="62"/>
  <c r="D77" i="62"/>
  <c r="C77" i="62"/>
  <c r="B77" i="62"/>
  <c r="F76" i="62"/>
  <c r="D76" i="62"/>
  <c r="C76" i="62"/>
  <c r="B76" i="62"/>
  <c r="F75" i="62"/>
  <c r="D75" i="62"/>
  <c r="C75" i="62"/>
  <c r="B75" i="62"/>
  <c r="F74" i="62"/>
  <c r="D74" i="62"/>
  <c r="C74" i="62"/>
  <c r="B74" i="62"/>
  <c r="F73" i="62"/>
  <c r="D73" i="62"/>
  <c r="C73" i="62"/>
  <c r="B73" i="62"/>
  <c r="F72" i="62"/>
  <c r="D72" i="62"/>
  <c r="C72" i="62"/>
  <c r="B72" i="62"/>
  <c r="F71" i="62"/>
  <c r="D71" i="62"/>
  <c r="C71" i="62"/>
  <c r="B71" i="62"/>
  <c r="F70" i="62"/>
  <c r="D70" i="62"/>
  <c r="C70" i="62"/>
  <c r="B70" i="62"/>
  <c r="F69" i="62"/>
  <c r="D69" i="62"/>
  <c r="C69" i="62"/>
  <c r="B69" i="62"/>
  <c r="F68" i="62"/>
  <c r="D68" i="62"/>
  <c r="C68" i="62"/>
  <c r="B68" i="62"/>
  <c r="F67" i="62"/>
  <c r="D67" i="62"/>
  <c r="C67" i="62"/>
  <c r="B67" i="62"/>
  <c r="F66" i="62"/>
  <c r="D66" i="62"/>
  <c r="C66" i="62"/>
  <c r="B66" i="62"/>
  <c r="F65" i="62"/>
  <c r="C65" i="62"/>
  <c r="B65" i="62"/>
  <c r="V40" i="62"/>
  <c r="U33" i="62"/>
  <c r="T30" i="62"/>
  <c r="S30" i="62"/>
  <c r="U29" i="62"/>
  <c r="U32" i="62" s="1"/>
  <c r="AC30" i="62" s="1"/>
  <c r="T28" i="62"/>
  <c r="S28" i="62"/>
  <c r="D51" i="62"/>
  <c r="C51" i="62"/>
  <c r="F77" i="61"/>
  <c r="D77" i="61"/>
  <c r="C77" i="61"/>
  <c r="B77" i="61"/>
  <c r="F76" i="61"/>
  <c r="D76" i="61"/>
  <c r="C76" i="61"/>
  <c r="B76" i="61"/>
  <c r="F75" i="61"/>
  <c r="D75" i="61"/>
  <c r="C75" i="61"/>
  <c r="B75" i="61"/>
  <c r="F74" i="61"/>
  <c r="D74" i="61"/>
  <c r="C74" i="61"/>
  <c r="B74" i="61"/>
  <c r="F73" i="61"/>
  <c r="D73" i="61"/>
  <c r="C73" i="61"/>
  <c r="B73" i="61"/>
  <c r="F72" i="61"/>
  <c r="D72" i="61"/>
  <c r="C72" i="61"/>
  <c r="B72" i="61"/>
  <c r="F71" i="61"/>
  <c r="D71" i="61"/>
  <c r="C71" i="61"/>
  <c r="B71" i="61"/>
  <c r="F70" i="61"/>
  <c r="D70" i="61"/>
  <c r="C70" i="61"/>
  <c r="B70" i="61"/>
  <c r="F69" i="61"/>
  <c r="D69" i="61"/>
  <c r="C69" i="61"/>
  <c r="B69" i="61"/>
  <c r="F68" i="61"/>
  <c r="D68" i="61"/>
  <c r="C68" i="61"/>
  <c r="B68" i="61"/>
  <c r="F67" i="61"/>
  <c r="D67" i="61"/>
  <c r="C67" i="61"/>
  <c r="B67" i="61"/>
  <c r="F66" i="61"/>
  <c r="D66" i="61"/>
  <c r="C66" i="61"/>
  <c r="B66" i="61"/>
  <c r="F65" i="61"/>
  <c r="C65" i="61"/>
  <c r="B65" i="61"/>
  <c r="D51" i="61"/>
  <c r="R44" i="61" s="1"/>
  <c r="C51" i="61"/>
  <c r="V40" i="61"/>
  <c r="T30" i="61"/>
  <c r="S30" i="61"/>
  <c r="U29" i="61"/>
  <c r="U32" i="61" s="1"/>
  <c r="AD30" i="61" s="1"/>
  <c r="T28" i="61"/>
  <c r="S28" i="61"/>
  <c r="F96" i="60"/>
  <c r="D96" i="60"/>
  <c r="C96" i="60"/>
  <c r="B96" i="60"/>
  <c r="F95" i="60"/>
  <c r="D95" i="60"/>
  <c r="C95" i="60"/>
  <c r="B95" i="60"/>
  <c r="F94" i="60"/>
  <c r="D94" i="60"/>
  <c r="C94" i="60"/>
  <c r="B94" i="60"/>
  <c r="F93" i="60"/>
  <c r="D93" i="60"/>
  <c r="C93" i="60"/>
  <c r="B93" i="60"/>
  <c r="F92" i="60"/>
  <c r="D92" i="60"/>
  <c r="C92" i="60"/>
  <c r="B92" i="60"/>
  <c r="F91" i="60"/>
  <c r="D91" i="60"/>
  <c r="C91" i="60"/>
  <c r="B91" i="60"/>
  <c r="F90" i="60"/>
  <c r="D90" i="60"/>
  <c r="C90" i="60"/>
  <c r="B90" i="60"/>
  <c r="F89" i="60"/>
  <c r="D89" i="60"/>
  <c r="C89" i="60"/>
  <c r="B89" i="60"/>
  <c r="F88" i="60"/>
  <c r="D88" i="60"/>
  <c r="C88" i="60"/>
  <c r="B88" i="60"/>
  <c r="F87" i="60"/>
  <c r="D87" i="60"/>
  <c r="C87" i="60"/>
  <c r="B87" i="60"/>
  <c r="F86" i="60"/>
  <c r="D86" i="60"/>
  <c r="C86" i="60"/>
  <c r="B86" i="60"/>
  <c r="F85" i="60"/>
  <c r="D85" i="60"/>
  <c r="C85" i="60"/>
  <c r="B85" i="60"/>
  <c r="F84" i="60"/>
  <c r="C84" i="60"/>
  <c r="B84" i="60"/>
  <c r="F77" i="60"/>
  <c r="D77" i="60"/>
  <c r="C77" i="60"/>
  <c r="B77" i="60"/>
  <c r="F76" i="60"/>
  <c r="D76" i="60"/>
  <c r="C76" i="60"/>
  <c r="B76" i="60"/>
  <c r="F75" i="60"/>
  <c r="D75" i="60"/>
  <c r="C75" i="60"/>
  <c r="B75" i="60"/>
  <c r="F74" i="60"/>
  <c r="D74" i="60"/>
  <c r="C74" i="60"/>
  <c r="B74" i="60"/>
  <c r="F73" i="60"/>
  <c r="D73" i="60"/>
  <c r="C73" i="60"/>
  <c r="B73" i="60"/>
  <c r="F72" i="60"/>
  <c r="D72" i="60"/>
  <c r="C72" i="60"/>
  <c r="B72" i="60"/>
  <c r="F71" i="60"/>
  <c r="D71" i="60"/>
  <c r="C71" i="60"/>
  <c r="B71" i="60"/>
  <c r="F70" i="60"/>
  <c r="D70" i="60"/>
  <c r="C70" i="60"/>
  <c r="B70" i="60"/>
  <c r="F69" i="60"/>
  <c r="D69" i="60"/>
  <c r="C69" i="60"/>
  <c r="B69" i="60"/>
  <c r="F68" i="60"/>
  <c r="D68" i="60"/>
  <c r="C68" i="60"/>
  <c r="B68" i="60"/>
  <c r="F67" i="60"/>
  <c r="D67" i="60"/>
  <c r="C67" i="60"/>
  <c r="B67" i="60"/>
  <c r="F66" i="60"/>
  <c r="D66" i="60"/>
  <c r="C66" i="60"/>
  <c r="B66" i="60"/>
  <c r="F65" i="60"/>
  <c r="C65" i="60"/>
  <c r="B65" i="60"/>
  <c r="D51" i="60"/>
  <c r="R44" i="60" s="1"/>
  <c r="T33" i="60"/>
  <c r="K1" i="60"/>
  <c r="C51" i="60" s="1"/>
  <c r="F80" i="59"/>
  <c r="D80" i="59"/>
  <c r="C80" i="59"/>
  <c r="B80" i="59"/>
  <c r="F79" i="59"/>
  <c r="D79" i="59"/>
  <c r="C79" i="59"/>
  <c r="B79" i="59"/>
  <c r="F78" i="59"/>
  <c r="D78" i="59"/>
  <c r="C78" i="59"/>
  <c r="B78" i="59"/>
  <c r="F77" i="59"/>
  <c r="D77" i="59"/>
  <c r="C77" i="59"/>
  <c r="B77" i="59"/>
  <c r="F76" i="59"/>
  <c r="D76" i="59"/>
  <c r="C76" i="59"/>
  <c r="B76" i="59"/>
  <c r="F75" i="59"/>
  <c r="D75" i="59"/>
  <c r="C75" i="59"/>
  <c r="B75" i="59"/>
  <c r="F74" i="59"/>
  <c r="D74" i="59"/>
  <c r="C74" i="59"/>
  <c r="B74" i="59"/>
  <c r="F73" i="59"/>
  <c r="D73" i="59"/>
  <c r="C73" i="59"/>
  <c r="B73" i="59"/>
  <c r="F72" i="59"/>
  <c r="D72" i="59"/>
  <c r="C72" i="59"/>
  <c r="B72" i="59"/>
  <c r="F71" i="59"/>
  <c r="D71" i="59"/>
  <c r="C71" i="59"/>
  <c r="B71" i="59"/>
  <c r="F70" i="59"/>
  <c r="D70" i="59"/>
  <c r="C70" i="59"/>
  <c r="B70" i="59"/>
  <c r="F69" i="59"/>
  <c r="D69" i="59"/>
  <c r="C69" i="59"/>
  <c r="B69" i="59"/>
  <c r="F68" i="59"/>
  <c r="D68" i="59"/>
  <c r="C68" i="59"/>
  <c r="B68" i="59"/>
  <c r="F67" i="59"/>
  <c r="D67" i="59"/>
  <c r="C67" i="59"/>
  <c r="B67" i="59"/>
  <c r="F66" i="59"/>
  <c r="D66" i="59"/>
  <c r="C66" i="59"/>
  <c r="B66" i="59"/>
  <c r="F65" i="59"/>
  <c r="C65" i="59"/>
  <c r="B65" i="59"/>
  <c r="V40" i="59"/>
  <c r="T30" i="59"/>
  <c r="S30" i="59"/>
  <c r="U29" i="59"/>
  <c r="U32" i="59" s="1"/>
  <c r="AC30" i="59" s="1"/>
  <c r="T28" i="59"/>
  <c r="S28" i="59"/>
  <c r="D51" i="59"/>
  <c r="R44" i="59" s="1"/>
  <c r="K1" i="59"/>
  <c r="C51" i="59" s="1"/>
  <c r="F103" i="58"/>
  <c r="D103" i="58"/>
  <c r="C103" i="58"/>
  <c r="B103" i="58"/>
  <c r="F102" i="58"/>
  <c r="D102" i="58"/>
  <c r="C102" i="58"/>
  <c r="B102" i="58"/>
  <c r="F101" i="58"/>
  <c r="D101" i="58"/>
  <c r="C101" i="58"/>
  <c r="B101" i="58"/>
  <c r="F100" i="58"/>
  <c r="D100" i="58"/>
  <c r="C100" i="58"/>
  <c r="B100" i="58"/>
  <c r="F99" i="58"/>
  <c r="D99" i="58"/>
  <c r="C99" i="58"/>
  <c r="B99" i="58"/>
  <c r="F98" i="58"/>
  <c r="D98" i="58"/>
  <c r="C98" i="58"/>
  <c r="B98" i="58"/>
  <c r="F97" i="58"/>
  <c r="D97" i="58"/>
  <c r="C97" i="58"/>
  <c r="B97" i="58"/>
  <c r="F96" i="58"/>
  <c r="D96" i="58"/>
  <c r="C96" i="58"/>
  <c r="B96" i="58"/>
  <c r="F95" i="58"/>
  <c r="D95" i="58"/>
  <c r="C95" i="58"/>
  <c r="B95" i="58"/>
  <c r="F94" i="58"/>
  <c r="D94" i="58"/>
  <c r="C94" i="58"/>
  <c r="B94" i="58"/>
  <c r="F93" i="58"/>
  <c r="D93" i="58"/>
  <c r="C93" i="58"/>
  <c r="B93" i="58"/>
  <c r="F92" i="58"/>
  <c r="D92" i="58"/>
  <c r="C92" i="58"/>
  <c r="B92" i="58"/>
  <c r="F91" i="58"/>
  <c r="D91" i="58"/>
  <c r="C91" i="58"/>
  <c r="B91" i="58"/>
  <c r="F90" i="58"/>
  <c r="D90" i="58"/>
  <c r="C90" i="58"/>
  <c r="B90" i="58"/>
  <c r="F89" i="58"/>
  <c r="D89" i="58"/>
  <c r="C89" i="58"/>
  <c r="B89" i="58"/>
  <c r="F88" i="58"/>
  <c r="C88" i="58"/>
  <c r="B88" i="58"/>
  <c r="F80" i="58"/>
  <c r="D80" i="58"/>
  <c r="C80" i="58"/>
  <c r="B80" i="58"/>
  <c r="F79" i="58"/>
  <c r="D79" i="58"/>
  <c r="C79" i="58"/>
  <c r="B79" i="58"/>
  <c r="F78" i="58"/>
  <c r="D78" i="58"/>
  <c r="C78" i="58"/>
  <c r="B78" i="58"/>
  <c r="F77" i="58"/>
  <c r="D77" i="58"/>
  <c r="C77" i="58"/>
  <c r="B77" i="58"/>
  <c r="F76" i="58"/>
  <c r="D76" i="58"/>
  <c r="C76" i="58"/>
  <c r="B76" i="58"/>
  <c r="F75" i="58"/>
  <c r="D75" i="58"/>
  <c r="C75" i="58"/>
  <c r="B75" i="58"/>
  <c r="F74" i="58"/>
  <c r="D74" i="58"/>
  <c r="C74" i="58"/>
  <c r="B74" i="58"/>
  <c r="F73" i="58"/>
  <c r="D73" i="58"/>
  <c r="C73" i="58"/>
  <c r="B73" i="58"/>
  <c r="F72" i="58"/>
  <c r="D72" i="58"/>
  <c r="C72" i="58"/>
  <c r="B72" i="58"/>
  <c r="F71" i="58"/>
  <c r="D71" i="58"/>
  <c r="C71" i="58"/>
  <c r="B71" i="58"/>
  <c r="F70" i="58"/>
  <c r="D70" i="58"/>
  <c r="C70" i="58"/>
  <c r="B70" i="58"/>
  <c r="F69" i="58"/>
  <c r="D69" i="58"/>
  <c r="C69" i="58"/>
  <c r="B69" i="58"/>
  <c r="F68" i="58"/>
  <c r="D68" i="58"/>
  <c r="C68" i="58"/>
  <c r="B68" i="58"/>
  <c r="F67" i="58"/>
  <c r="D67" i="58"/>
  <c r="C67" i="58"/>
  <c r="B67" i="58"/>
  <c r="F66" i="58"/>
  <c r="D66" i="58"/>
  <c r="C66" i="58"/>
  <c r="B66" i="58"/>
  <c r="F65" i="58"/>
  <c r="C65" i="58"/>
  <c r="B65" i="58"/>
  <c r="D51" i="58"/>
  <c r="C51" i="58"/>
  <c r="V40" i="58"/>
  <c r="J52" i="58"/>
  <c r="T30" i="58"/>
  <c r="T29" i="58"/>
  <c r="U28" i="58"/>
  <c r="F140" i="57"/>
  <c r="D140" i="57"/>
  <c r="C140" i="57"/>
  <c r="B140" i="57"/>
  <c r="F139" i="57"/>
  <c r="D139" i="57"/>
  <c r="C139" i="57"/>
  <c r="B139" i="57"/>
  <c r="F138" i="57"/>
  <c r="D138" i="57"/>
  <c r="C138" i="57"/>
  <c r="B138" i="57"/>
  <c r="F137" i="57"/>
  <c r="D137" i="57"/>
  <c r="C137" i="57"/>
  <c r="B137" i="57"/>
  <c r="F136" i="57"/>
  <c r="D136" i="57"/>
  <c r="C136" i="57"/>
  <c r="B136" i="57"/>
  <c r="F135" i="57"/>
  <c r="D135" i="57"/>
  <c r="C135" i="57"/>
  <c r="B135" i="57"/>
  <c r="F134" i="57"/>
  <c r="D134" i="57"/>
  <c r="C134" i="57"/>
  <c r="B134" i="57"/>
  <c r="F133" i="57"/>
  <c r="D133" i="57"/>
  <c r="C133" i="57"/>
  <c r="B133" i="57"/>
  <c r="F132" i="57"/>
  <c r="D132" i="57"/>
  <c r="C132" i="57"/>
  <c r="B132" i="57"/>
  <c r="F131" i="57"/>
  <c r="D131" i="57"/>
  <c r="C131" i="57"/>
  <c r="B131" i="57"/>
  <c r="F130" i="57"/>
  <c r="D130" i="57"/>
  <c r="C130" i="57"/>
  <c r="B130" i="57"/>
  <c r="F129" i="57"/>
  <c r="D129" i="57"/>
  <c r="C129" i="57"/>
  <c r="B129" i="57"/>
  <c r="F128" i="57"/>
  <c r="D128" i="57"/>
  <c r="C128" i="57"/>
  <c r="B128" i="57"/>
  <c r="F127" i="57"/>
  <c r="D127" i="57"/>
  <c r="C127" i="57"/>
  <c r="B127" i="57"/>
  <c r="F126" i="57"/>
  <c r="D126" i="57"/>
  <c r="C126" i="57"/>
  <c r="B126" i="57"/>
  <c r="F125" i="57"/>
  <c r="D125" i="57"/>
  <c r="C125" i="57"/>
  <c r="B125" i="57"/>
  <c r="F124" i="57"/>
  <c r="D124" i="57"/>
  <c r="C124" i="57"/>
  <c r="B124" i="57"/>
  <c r="F123" i="57"/>
  <c r="D123" i="57"/>
  <c r="C123" i="57"/>
  <c r="B123" i="57"/>
  <c r="F122" i="57"/>
  <c r="D122" i="57"/>
  <c r="C122" i="57"/>
  <c r="B122" i="57"/>
  <c r="F121" i="57"/>
  <c r="D121" i="57"/>
  <c r="C121" i="57"/>
  <c r="B121" i="57"/>
  <c r="F120" i="57"/>
  <c r="C120" i="57"/>
  <c r="B120" i="57"/>
  <c r="F113" i="57"/>
  <c r="D113" i="57"/>
  <c r="C113" i="57"/>
  <c r="B113" i="57"/>
  <c r="F112" i="57"/>
  <c r="D112" i="57"/>
  <c r="C112" i="57"/>
  <c r="B112" i="57"/>
  <c r="F111" i="57"/>
  <c r="D111" i="57"/>
  <c r="C111" i="57"/>
  <c r="B111" i="57"/>
  <c r="F110" i="57"/>
  <c r="D110" i="57"/>
  <c r="C110" i="57"/>
  <c r="B110" i="57"/>
  <c r="F109" i="57"/>
  <c r="D109" i="57"/>
  <c r="C109" i="57"/>
  <c r="B109" i="57"/>
  <c r="F108" i="57"/>
  <c r="D108" i="57"/>
  <c r="C108" i="57"/>
  <c r="B108" i="57"/>
  <c r="F107" i="57"/>
  <c r="D107" i="57"/>
  <c r="C107" i="57"/>
  <c r="B107" i="57"/>
  <c r="F106" i="57"/>
  <c r="D106" i="57"/>
  <c r="C106" i="57"/>
  <c r="B106" i="57"/>
  <c r="F105" i="57"/>
  <c r="D105" i="57"/>
  <c r="C105" i="57"/>
  <c r="B105" i="57"/>
  <c r="F104" i="57"/>
  <c r="D104" i="57"/>
  <c r="C104" i="57"/>
  <c r="B104" i="57"/>
  <c r="F103" i="57"/>
  <c r="D103" i="57"/>
  <c r="C103" i="57"/>
  <c r="B103" i="57"/>
  <c r="F102" i="57"/>
  <c r="D102" i="57"/>
  <c r="C102" i="57"/>
  <c r="B102" i="57"/>
  <c r="F101" i="57"/>
  <c r="D101" i="57"/>
  <c r="C101" i="57"/>
  <c r="B101" i="57"/>
  <c r="F100" i="57"/>
  <c r="D100" i="57"/>
  <c r="C100" i="57"/>
  <c r="B100" i="57"/>
  <c r="F99" i="57"/>
  <c r="D99" i="57"/>
  <c r="C99" i="57"/>
  <c r="B99" i="57"/>
  <c r="F98" i="57"/>
  <c r="D98" i="57"/>
  <c r="C98" i="57"/>
  <c r="B98" i="57"/>
  <c r="F97" i="57"/>
  <c r="D97" i="57"/>
  <c r="C97" i="57"/>
  <c r="B97" i="57"/>
  <c r="F96" i="57"/>
  <c r="D96" i="57"/>
  <c r="C96" i="57"/>
  <c r="B96" i="57"/>
  <c r="F95" i="57"/>
  <c r="D95" i="57"/>
  <c r="C95" i="57"/>
  <c r="B95" i="57"/>
  <c r="F94" i="57"/>
  <c r="D94" i="57"/>
  <c r="C94" i="57"/>
  <c r="B94" i="57"/>
  <c r="F93" i="57"/>
  <c r="C93" i="57"/>
  <c r="B93" i="57"/>
  <c r="F85" i="57"/>
  <c r="D85" i="57"/>
  <c r="C85" i="57"/>
  <c r="B85" i="57"/>
  <c r="F84" i="57"/>
  <c r="D84" i="57"/>
  <c r="C84" i="57"/>
  <c r="B84" i="57"/>
  <c r="F83" i="57"/>
  <c r="D83" i="57"/>
  <c r="C83" i="57"/>
  <c r="B83" i="57"/>
  <c r="F82" i="57"/>
  <c r="D82" i="57"/>
  <c r="C82" i="57"/>
  <c r="B82" i="57"/>
  <c r="F81" i="57"/>
  <c r="D81" i="57"/>
  <c r="C81" i="57"/>
  <c r="B81" i="57"/>
  <c r="F80" i="57"/>
  <c r="D80" i="57"/>
  <c r="C80" i="57"/>
  <c r="B80" i="57"/>
  <c r="F79" i="57"/>
  <c r="D79" i="57"/>
  <c r="C79" i="57"/>
  <c r="B79" i="57"/>
  <c r="F78" i="57"/>
  <c r="D78" i="57"/>
  <c r="C78" i="57"/>
  <c r="B78" i="57"/>
  <c r="F77" i="57"/>
  <c r="D77" i="57"/>
  <c r="C77" i="57"/>
  <c r="B77" i="57"/>
  <c r="F76" i="57"/>
  <c r="D76" i="57"/>
  <c r="C76" i="57"/>
  <c r="B76" i="57"/>
  <c r="F75" i="57"/>
  <c r="D75" i="57"/>
  <c r="C75" i="57"/>
  <c r="B75" i="57"/>
  <c r="F74" i="57"/>
  <c r="D74" i="57"/>
  <c r="C74" i="57"/>
  <c r="B74" i="57"/>
  <c r="F73" i="57"/>
  <c r="D73" i="57"/>
  <c r="C73" i="57"/>
  <c r="B73" i="57"/>
  <c r="F72" i="57"/>
  <c r="D72" i="57"/>
  <c r="C72" i="57"/>
  <c r="B72" i="57"/>
  <c r="F71" i="57"/>
  <c r="D71" i="57"/>
  <c r="C71" i="57"/>
  <c r="B71" i="57"/>
  <c r="F70" i="57"/>
  <c r="D70" i="57"/>
  <c r="C70" i="57"/>
  <c r="B70" i="57"/>
  <c r="F69" i="57"/>
  <c r="D69" i="57"/>
  <c r="C69" i="57"/>
  <c r="B69" i="57"/>
  <c r="F68" i="57"/>
  <c r="D68" i="57"/>
  <c r="C68" i="57"/>
  <c r="B68" i="57"/>
  <c r="F67" i="57"/>
  <c r="D67" i="57"/>
  <c r="C67" i="57"/>
  <c r="B67" i="57"/>
  <c r="F66" i="57"/>
  <c r="D66" i="57"/>
  <c r="C66" i="57"/>
  <c r="B66" i="57"/>
  <c r="F65" i="57"/>
  <c r="C65" i="57"/>
  <c r="B65" i="57"/>
  <c r="D51" i="57"/>
  <c r="R44" i="57" s="1"/>
  <c r="C51" i="57"/>
  <c r="V40" i="57"/>
  <c r="T33" i="57"/>
  <c r="S30" i="57"/>
  <c r="U29" i="57"/>
  <c r="T28" i="57"/>
  <c r="T32" i="57" s="1"/>
  <c r="S28" i="57"/>
  <c r="F95" i="56"/>
  <c r="D95" i="56"/>
  <c r="C95" i="56"/>
  <c r="B95" i="56"/>
  <c r="F94" i="56"/>
  <c r="D94" i="56"/>
  <c r="C94" i="56"/>
  <c r="B94" i="56"/>
  <c r="F93" i="56"/>
  <c r="D93" i="56"/>
  <c r="C93" i="56"/>
  <c r="B93" i="56"/>
  <c r="F92" i="56"/>
  <c r="D92" i="56"/>
  <c r="C92" i="56"/>
  <c r="B92" i="56"/>
  <c r="F91" i="56"/>
  <c r="D91" i="56"/>
  <c r="C91" i="56"/>
  <c r="B91" i="56"/>
  <c r="F90" i="56"/>
  <c r="D90" i="56"/>
  <c r="C90" i="56"/>
  <c r="B90" i="56"/>
  <c r="F89" i="56"/>
  <c r="D89" i="56"/>
  <c r="C89" i="56"/>
  <c r="B89" i="56"/>
  <c r="F88" i="56"/>
  <c r="D88" i="56"/>
  <c r="C88" i="56"/>
  <c r="B88" i="56"/>
  <c r="F87" i="56"/>
  <c r="D87" i="56"/>
  <c r="C87" i="56"/>
  <c r="B87" i="56"/>
  <c r="F86" i="56"/>
  <c r="D86" i="56"/>
  <c r="C86" i="56"/>
  <c r="B86" i="56"/>
  <c r="F85" i="56"/>
  <c r="C85" i="56"/>
  <c r="B85" i="56"/>
  <c r="F75" i="56"/>
  <c r="D75" i="56"/>
  <c r="C75" i="56"/>
  <c r="B75" i="56"/>
  <c r="F74" i="56"/>
  <c r="D74" i="56"/>
  <c r="C74" i="56"/>
  <c r="B74" i="56"/>
  <c r="F73" i="56"/>
  <c r="D73" i="56"/>
  <c r="C73" i="56"/>
  <c r="B73" i="56"/>
  <c r="F72" i="56"/>
  <c r="D72" i="56"/>
  <c r="C72" i="56"/>
  <c r="B72" i="56"/>
  <c r="F71" i="56"/>
  <c r="D71" i="56"/>
  <c r="C71" i="56"/>
  <c r="B71" i="56"/>
  <c r="F70" i="56"/>
  <c r="D70" i="56"/>
  <c r="C70" i="56"/>
  <c r="B70" i="56"/>
  <c r="F69" i="56"/>
  <c r="D69" i="56"/>
  <c r="C69" i="56"/>
  <c r="B69" i="56"/>
  <c r="F68" i="56"/>
  <c r="D68" i="56"/>
  <c r="C68" i="56"/>
  <c r="B68" i="56"/>
  <c r="F67" i="56"/>
  <c r="D67" i="56"/>
  <c r="C67" i="56"/>
  <c r="B67" i="56"/>
  <c r="F66" i="56"/>
  <c r="D66" i="56"/>
  <c r="C66" i="56"/>
  <c r="B66" i="56"/>
  <c r="F65" i="56"/>
  <c r="C65" i="56"/>
  <c r="B65" i="56"/>
  <c r="D51" i="56"/>
  <c r="C51" i="56"/>
  <c r="T33" i="56"/>
  <c r="T30" i="56"/>
  <c r="T32" i="56" s="1"/>
  <c r="U32" i="56" s="1"/>
  <c r="AD30" i="56" s="1"/>
  <c r="U29" i="56"/>
  <c r="F74" i="55"/>
  <c r="D74" i="55"/>
  <c r="C74" i="55"/>
  <c r="B74" i="55"/>
  <c r="F73" i="55"/>
  <c r="D73" i="55"/>
  <c r="C73" i="55"/>
  <c r="B73" i="55"/>
  <c r="F72" i="55"/>
  <c r="D72" i="55"/>
  <c r="C72" i="55"/>
  <c r="B72" i="55"/>
  <c r="F71" i="55"/>
  <c r="D71" i="55"/>
  <c r="C71" i="55"/>
  <c r="B71" i="55"/>
  <c r="F70" i="55"/>
  <c r="D70" i="55"/>
  <c r="C70" i="55"/>
  <c r="B70" i="55"/>
  <c r="F69" i="55"/>
  <c r="D69" i="55"/>
  <c r="C69" i="55"/>
  <c r="B69" i="55"/>
  <c r="F68" i="55"/>
  <c r="D68" i="55"/>
  <c r="C68" i="55"/>
  <c r="B68" i="55"/>
  <c r="F67" i="55"/>
  <c r="D67" i="55"/>
  <c r="C67" i="55"/>
  <c r="B67" i="55"/>
  <c r="F66" i="55"/>
  <c r="D66" i="55"/>
  <c r="C66" i="55"/>
  <c r="B66" i="55"/>
  <c r="T29" i="55"/>
  <c r="S28" i="55"/>
  <c r="S30" i="55" s="1"/>
  <c r="F71" i="54"/>
  <c r="D71" i="54"/>
  <c r="C71" i="54"/>
  <c r="B71" i="54"/>
  <c r="F70" i="54"/>
  <c r="D70" i="54"/>
  <c r="C70" i="54"/>
  <c r="B70" i="54"/>
  <c r="F69" i="54"/>
  <c r="D69" i="54"/>
  <c r="C69" i="54"/>
  <c r="B69" i="54"/>
  <c r="F68" i="54"/>
  <c r="D68" i="54"/>
  <c r="C68" i="54"/>
  <c r="B68" i="54"/>
  <c r="F67" i="54"/>
  <c r="D67" i="54"/>
  <c r="C67" i="54"/>
  <c r="B67" i="54"/>
  <c r="F66" i="54"/>
  <c r="D66" i="54"/>
  <c r="C66" i="54"/>
  <c r="B66" i="54"/>
  <c r="F65" i="54"/>
  <c r="D65" i="54"/>
  <c r="C65" i="54"/>
  <c r="B65" i="54"/>
  <c r="T29" i="54"/>
  <c r="S28" i="54"/>
  <c r="S30" i="54" s="1"/>
  <c r="C51" i="54"/>
  <c r="F70" i="53"/>
  <c r="D70" i="53"/>
  <c r="C70" i="53"/>
  <c r="B70" i="53"/>
  <c r="F69" i="53"/>
  <c r="D69" i="53"/>
  <c r="C69" i="53"/>
  <c r="B69" i="53"/>
  <c r="F68" i="53"/>
  <c r="D68" i="53"/>
  <c r="C68" i="53"/>
  <c r="B68" i="53"/>
  <c r="F67" i="53"/>
  <c r="D67" i="53"/>
  <c r="C67" i="53"/>
  <c r="B67" i="53"/>
  <c r="F66" i="53"/>
  <c r="D66" i="53"/>
  <c r="C66" i="53"/>
  <c r="B66" i="53"/>
  <c r="F65" i="53"/>
  <c r="C65" i="53"/>
  <c r="B65" i="53"/>
  <c r="D51" i="53"/>
  <c r="C51" i="53"/>
  <c r="R44" i="53"/>
  <c r="V40" i="53"/>
  <c r="T30" i="53"/>
  <c r="S30" i="53"/>
  <c r="U29" i="53"/>
  <c r="U32" i="53" s="1"/>
  <c r="U31" i="52"/>
  <c r="U29" i="52"/>
  <c r="U54" i="52"/>
  <c r="U52" i="52"/>
  <c r="V52" i="52" s="1"/>
  <c r="F117" i="51"/>
  <c r="D117" i="51"/>
  <c r="C117" i="51"/>
  <c r="B117" i="51"/>
  <c r="F116" i="51"/>
  <c r="D116" i="51"/>
  <c r="C116" i="51"/>
  <c r="B116" i="51"/>
  <c r="F115" i="51"/>
  <c r="D115" i="51"/>
  <c r="C115" i="51"/>
  <c r="B115" i="51"/>
  <c r="F114" i="51"/>
  <c r="D114" i="51"/>
  <c r="C114" i="51"/>
  <c r="B114" i="51"/>
  <c r="F113" i="51"/>
  <c r="D113" i="51"/>
  <c r="C113" i="51"/>
  <c r="B113" i="51"/>
  <c r="F112" i="51"/>
  <c r="D112" i="51"/>
  <c r="C112" i="51"/>
  <c r="B112" i="51"/>
  <c r="F111" i="51"/>
  <c r="D111" i="51"/>
  <c r="C111" i="51"/>
  <c r="B111" i="51"/>
  <c r="F110" i="51"/>
  <c r="D110" i="51"/>
  <c r="C110" i="51"/>
  <c r="B110" i="51"/>
  <c r="F109" i="51"/>
  <c r="D109" i="51"/>
  <c r="C109" i="51"/>
  <c r="B109" i="51"/>
  <c r="F108" i="51"/>
  <c r="D108" i="51"/>
  <c r="C108" i="51"/>
  <c r="B108" i="51"/>
  <c r="F107" i="51"/>
  <c r="D107" i="51"/>
  <c r="C107" i="51"/>
  <c r="B107" i="51"/>
  <c r="F106" i="51"/>
  <c r="D106" i="51"/>
  <c r="C106" i="51"/>
  <c r="B106" i="51"/>
  <c r="F105" i="51"/>
  <c r="C105" i="51"/>
  <c r="B105" i="51"/>
  <c r="F96" i="51"/>
  <c r="D96" i="51"/>
  <c r="C96" i="51"/>
  <c r="B96" i="51"/>
  <c r="F95" i="51"/>
  <c r="D95" i="51"/>
  <c r="C95" i="51"/>
  <c r="B95" i="51"/>
  <c r="F94" i="51"/>
  <c r="D94" i="51"/>
  <c r="C94" i="51"/>
  <c r="B94" i="51"/>
  <c r="F93" i="51"/>
  <c r="D93" i="51"/>
  <c r="C93" i="51"/>
  <c r="B93" i="51"/>
  <c r="F92" i="51"/>
  <c r="D92" i="51"/>
  <c r="C92" i="51"/>
  <c r="B92" i="51"/>
  <c r="F91" i="51"/>
  <c r="D91" i="51"/>
  <c r="C91" i="51"/>
  <c r="B91" i="51"/>
  <c r="F90" i="51"/>
  <c r="D90" i="51"/>
  <c r="C90" i="51"/>
  <c r="B90" i="51"/>
  <c r="F89" i="51"/>
  <c r="D89" i="51"/>
  <c r="C89" i="51"/>
  <c r="B89" i="51"/>
  <c r="F88" i="51"/>
  <c r="D88" i="51"/>
  <c r="C88" i="51"/>
  <c r="B88" i="51"/>
  <c r="F87" i="51"/>
  <c r="D87" i="51"/>
  <c r="C87" i="51"/>
  <c r="B87" i="51"/>
  <c r="F86" i="51"/>
  <c r="D86" i="51"/>
  <c r="C86" i="51"/>
  <c r="B86" i="51"/>
  <c r="F85" i="51"/>
  <c r="D85" i="51"/>
  <c r="C85" i="51"/>
  <c r="B85" i="51"/>
  <c r="F84" i="51"/>
  <c r="C84" i="51"/>
  <c r="B84" i="51"/>
  <c r="F77" i="51"/>
  <c r="D77" i="51"/>
  <c r="C77" i="51"/>
  <c r="B77" i="51"/>
  <c r="F76" i="51"/>
  <c r="D76" i="51"/>
  <c r="C76" i="51"/>
  <c r="B76" i="51"/>
  <c r="F75" i="51"/>
  <c r="D75" i="51"/>
  <c r="C75" i="51"/>
  <c r="B75" i="51"/>
  <c r="F74" i="51"/>
  <c r="D74" i="51"/>
  <c r="C74" i="51"/>
  <c r="B74" i="51"/>
  <c r="F73" i="51"/>
  <c r="D73" i="51"/>
  <c r="C73" i="51"/>
  <c r="B73" i="51"/>
  <c r="F72" i="51"/>
  <c r="D72" i="51"/>
  <c r="C72" i="51"/>
  <c r="B72" i="51"/>
  <c r="F71" i="51"/>
  <c r="D71" i="51"/>
  <c r="C71" i="51"/>
  <c r="B71" i="51"/>
  <c r="F70" i="51"/>
  <c r="D70" i="51"/>
  <c r="C70" i="51"/>
  <c r="B70" i="51"/>
  <c r="F69" i="51"/>
  <c r="D69" i="51"/>
  <c r="C69" i="51"/>
  <c r="B69" i="51"/>
  <c r="F68" i="51"/>
  <c r="D68" i="51"/>
  <c r="C68" i="51"/>
  <c r="B68" i="51"/>
  <c r="F67" i="51"/>
  <c r="D67" i="51"/>
  <c r="C67" i="51"/>
  <c r="B67" i="51"/>
  <c r="F66" i="51"/>
  <c r="D66" i="51"/>
  <c r="C66" i="51"/>
  <c r="B66" i="51"/>
  <c r="F65" i="51"/>
  <c r="C65" i="51"/>
  <c r="B65" i="51"/>
  <c r="V44" i="51"/>
  <c r="U44" i="51"/>
  <c r="W44" i="51"/>
  <c r="T29" i="51"/>
  <c r="T28" i="51"/>
  <c r="R25" i="51"/>
  <c r="F77" i="50"/>
  <c r="D77" i="50"/>
  <c r="C77" i="50"/>
  <c r="B77" i="50"/>
  <c r="F76" i="50"/>
  <c r="D76" i="50"/>
  <c r="C76" i="50"/>
  <c r="B76" i="50"/>
  <c r="F75" i="50"/>
  <c r="D75" i="50"/>
  <c r="C75" i="50"/>
  <c r="B75" i="50"/>
  <c r="F74" i="50"/>
  <c r="D74" i="50"/>
  <c r="C74" i="50"/>
  <c r="B74" i="50"/>
  <c r="F73" i="50"/>
  <c r="D73" i="50"/>
  <c r="C73" i="50"/>
  <c r="B73" i="50"/>
  <c r="F72" i="50"/>
  <c r="D72" i="50"/>
  <c r="C72" i="50"/>
  <c r="B72" i="50"/>
  <c r="F71" i="50"/>
  <c r="D71" i="50"/>
  <c r="C71" i="50"/>
  <c r="B71" i="50"/>
  <c r="F70" i="50"/>
  <c r="D70" i="50"/>
  <c r="C70" i="50"/>
  <c r="B70" i="50"/>
  <c r="F69" i="50"/>
  <c r="D69" i="50"/>
  <c r="C69" i="50"/>
  <c r="B69" i="50"/>
  <c r="F68" i="50"/>
  <c r="D68" i="50"/>
  <c r="C68" i="50"/>
  <c r="B68" i="50"/>
  <c r="F67" i="50"/>
  <c r="D67" i="50"/>
  <c r="C67" i="50"/>
  <c r="B67" i="50"/>
  <c r="F66" i="50"/>
  <c r="D66" i="50"/>
  <c r="C66" i="50"/>
  <c r="B66" i="50"/>
  <c r="U29" i="50"/>
  <c r="U32" i="50" s="1"/>
  <c r="F77" i="49"/>
  <c r="D77" i="49"/>
  <c r="C77" i="49"/>
  <c r="B77" i="49"/>
  <c r="F76" i="49"/>
  <c r="D76" i="49"/>
  <c r="C76" i="49"/>
  <c r="B76" i="49"/>
  <c r="F75" i="49"/>
  <c r="D75" i="49"/>
  <c r="C75" i="49"/>
  <c r="B75" i="49"/>
  <c r="F74" i="49"/>
  <c r="D74" i="49"/>
  <c r="C74" i="49"/>
  <c r="B74" i="49"/>
  <c r="F73" i="49"/>
  <c r="D73" i="49"/>
  <c r="C73" i="49"/>
  <c r="B73" i="49"/>
  <c r="F72" i="49"/>
  <c r="D72" i="49"/>
  <c r="C72" i="49"/>
  <c r="B72" i="49"/>
  <c r="F71" i="49"/>
  <c r="D71" i="49"/>
  <c r="C71" i="49"/>
  <c r="B71" i="49"/>
  <c r="F70" i="49"/>
  <c r="D70" i="49"/>
  <c r="C70" i="49"/>
  <c r="B70" i="49"/>
  <c r="F69" i="49"/>
  <c r="D69" i="49"/>
  <c r="C69" i="49"/>
  <c r="B69" i="49"/>
  <c r="F68" i="49"/>
  <c r="D68" i="49"/>
  <c r="C68" i="49"/>
  <c r="B68" i="49"/>
  <c r="F67" i="49"/>
  <c r="D67" i="49"/>
  <c r="C67" i="49"/>
  <c r="B67" i="49"/>
  <c r="F66" i="49"/>
  <c r="D66" i="49"/>
  <c r="C66" i="49"/>
  <c r="B66" i="49"/>
  <c r="F65" i="49"/>
  <c r="C65" i="49"/>
  <c r="B65" i="49"/>
  <c r="V40" i="49"/>
  <c r="T30" i="49"/>
  <c r="S30" i="49"/>
  <c r="U29" i="49"/>
  <c r="T28" i="49"/>
  <c r="S28" i="49"/>
  <c r="D51" i="49"/>
  <c r="R44" i="49" s="1"/>
  <c r="C51" i="49"/>
  <c r="F99" i="48"/>
  <c r="D99" i="48"/>
  <c r="C99" i="48"/>
  <c r="B99" i="48"/>
  <c r="F98" i="48"/>
  <c r="D98" i="48"/>
  <c r="C98" i="48"/>
  <c r="B98" i="48"/>
  <c r="F97" i="48"/>
  <c r="D97" i="48"/>
  <c r="C97" i="48"/>
  <c r="B97" i="48"/>
  <c r="F96" i="48"/>
  <c r="D96" i="48"/>
  <c r="C96" i="48"/>
  <c r="B96" i="48"/>
  <c r="F95" i="48"/>
  <c r="D95" i="48"/>
  <c r="C95" i="48"/>
  <c r="B95" i="48"/>
  <c r="F94" i="48"/>
  <c r="D94" i="48"/>
  <c r="C94" i="48"/>
  <c r="B94" i="48"/>
  <c r="F93" i="48"/>
  <c r="D93" i="48"/>
  <c r="C93" i="48"/>
  <c r="B93" i="48"/>
  <c r="F92" i="48"/>
  <c r="D92" i="48"/>
  <c r="C92" i="48"/>
  <c r="B92" i="48"/>
  <c r="F91" i="48"/>
  <c r="D91" i="48"/>
  <c r="C91" i="48"/>
  <c r="B91" i="48"/>
  <c r="F90" i="48"/>
  <c r="D90" i="48"/>
  <c r="C90" i="48"/>
  <c r="B90" i="48"/>
  <c r="F89" i="48"/>
  <c r="D89" i="48"/>
  <c r="C89" i="48"/>
  <c r="B89" i="48"/>
  <c r="F88" i="48"/>
  <c r="D88" i="48"/>
  <c r="C88" i="48"/>
  <c r="B88" i="48"/>
  <c r="F87" i="48"/>
  <c r="C87" i="48"/>
  <c r="B87" i="48"/>
  <c r="F77" i="48"/>
  <c r="D77" i="48"/>
  <c r="C77" i="48"/>
  <c r="B77" i="48"/>
  <c r="F76" i="48"/>
  <c r="D76" i="48"/>
  <c r="C76" i="48"/>
  <c r="B76" i="48"/>
  <c r="F75" i="48"/>
  <c r="D75" i="48"/>
  <c r="C75" i="48"/>
  <c r="B75" i="48"/>
  <c r="F74" i="48"/>
  <c r="D74" i="48"/>
  <c r="C74" i="48"/>
  <c r="B74" i="48"/>
  <c r="F73" i="48"/>
  <c r="D73" i="48"/>
  <c r="C73" i="48"/>
  <c r="B73" i="48"/>
  <c r="F72" i="48"/>
  <c r="D72" i="48"/>
  <c r="C72" i="48"/>
  <c r="B72" i="48"/>
  <c r="F71" i="48"/>
  <c r="D71" i="48"/>
  <c r="C71" i="48"/>
  <c r="B71" i="48"/>
  <c r="F70" i="48"/>
  <c r="D70" i="48"/>
  <c r="C70" i="48"/>
  <c r="B70" i="48"/>
  <c r="F69" i="48"/>
  <c r="D69" i="48"/>
  <c r="C69" i="48"/>
  <c r="B69" i="48"/>
  <c r="F68" i="48"/>
  <c r="D68" i="48"/>
  <c r="C68" i="48"/>
  <c r="B68" i="48"/>
  <c r="F67" i="48"/>
  <c r="D67" i="48"/>
  <c r="C67" i="48"/>
  <c r="B67" i="48"/>
  <c r="F66" i="48"/>
  <c r="D66" i="48"/>
  <c r="C66" i="48"/>
  <c r="B66" i="48"/>
  <c r="F65" i="48"/>
  <c r="C65" i="48"/>
  <c r="B65" i="48"/>
  <c r="V40" i="48"/>
  <c r="S30" i="48"/>
  <c r="T29" i="48"/>
  <c r="T28" i="48"/>
  <c r="T32" i="48" s="1"/>
  <c r="S28" i="48"/>
  <c r="D51" i="48"/>
  <c r="K1" i="48"/>
  <c r="F105" i="47"/>
  <c r="D105" i="47"/>
  <c r="C105" i="47"/>
  <c r="B105" i="47"/>
  <c r="F104" i="47"/>
  <c r="D104" i="47"/>
  <c r="C104" i="47"/>
  <c r="B104" i="47"/>
  <c r="F103" i="47"/>
  <c r="D103" i="47"/>
  <c r="C103" i="47"/>
  <c r="B103" i="47"/>
  <c r="F102" i="47"/>
  <c r="D102" i="47"/>
  <c r="C102" i="47"/>
  <c r="B102" i="47"/>
  <c r="F101" i="47"/>
  <c r="D101" i="47"/>
  <c r="C101" i="47"/>
  <c r="B101" i="47"/>
  <c r="F100" i="47"/>
  <c r="D100" i="47"/>
  <c r="C100" i="47"/>
  <c r="B100" i="47"/>
  <c r="F99" i="47"/>
  <c r="D99" i="47"/>
  <c r="C99" i="47"/>
  <c r="B99" i="47"/>
  <c r="F98" i="47"/>
  <c r="D98" i="47"/>
  <c r="C98" i="47"/>
  <c r="B98" i="47"/>
  <c r="F97" i="47"/>
  <c r="D97" i="47"/>
  <c r="C97" i="47"/>
  <c r="B97" i="47"/>
  <c r="F96" i="47"/>
  <c r="D96" i="47"/>
  <c r="C96" i="47"/>
  <c r="B96" i="47"/>
  <c r="F95" i="47"/>
  <c r="D95" i="47"/>
  <c r="C95" i="47"/>
  <c r="B95" i="47"/>
  <c r="F94" i="47"/>
  <c r="D94" i="47"/>
  <c r="C94" i="47"/>
  <c r="B94" i="47"/>
  <c r="F93" i="47"/>
  <c r="D93" i="47"/>
  <c r="C93" i="47"/>
  <c r="B93" i="47"/>
  <c r="F92" i="47"/>
  <c r="D92" i="47"/>
  <c r="C92" i="47"/>
  <c r="B92" i="47"/>
  <c r="F91" i="47"/>
  <c r="D91" i="47"/>
  <c r="C91" i="47"/>
  <c r="B91" i="47"/>
  <c r="F90" i="47"/>
  <c r="D90" i="47"/>
  <c r="C90" i="47"/>
  <c r="B90" i="47"/>
  <c r="F89" i="47"/>
  <c r="C89" i="47"/>
  <c r="B89" i="47"/>
  <c r="F81" i="47"/>
  <c r="D81" i="47"/>
  <c r="C81" i="47"/>
  <c r="B81" i="47"/>
  <c r="F80" i="47"/>
  <c r="D80" i="47"/>
  <c r="C80" i="47"/>
  <c r="B80" i="47"/>
  <c r="F79" i="47"/>
  <c r="D79" i="47"/>
  <c r="C79" i="47"/>
  <c r="B79" i="47"/>
  <c r="F78" i="47"/>
  <c r="D78" i="47"/>
  <c r="C78" i="47"/>
  <c r="B78" i="47"/>
  <c r="F77" i="47"/>
  <c r="D77" i="47"/>
  <c r="C77" i="47"/>
  <c r="B77" i="47"/>
  <c r="F76" i="47"/>
  <c r="D76" i="47"/>
  <c r="C76" i="47"/>
  <c r="B76" i="47"/>
  <c r="F75" i="47"/>
  <c r="D75" i="47"/>
  <c r="C75" i="47"/>
  <c r="B75" i="47"/>
  <c r="F74" i="47"/>
  <c r="D74" i="47"/>
  <c r="C74" i="47"/>
  <c r="B74" i="47"/>
  <c r="F73" i="47"/>
  <c r="D73" i="47"/>
  <c r="C73" i="47"/>
  <c r="B73" i="47"/>
  <c r="F72" i="47"/>
  <c r="D72" i="47"/>
  <c r="C72" i="47"/>
  <c r="B72" i="47"/>
  <c r="F71" i="47"/>
  <c r="D71" i="47"/>
  <c r="C71" i="47"/>
  <c r="B71" i="47"/>
  <c r="F70" i="47"/>
  <c r="D70" i="47"/>
  <c r="C70" i="47"/>
  <c r="B70" i="47"/>
  <c r="F69" i="47"/>
  <c r="D69" i="47"/>
  <c r="C69" i="47"/>
  <c r="B69" i="47"/>
  <c r="F68" i="47"/>
  <c r="D68" i="47"/>
  <c r="C68" i="47"/>
  <c r="B68" i="47"/>
  <c r="F67" i="47"/>
  <c r="D67" i="47"/>
  <c r="C67" i="47"/>
  <c r="B67" i="47"/>
  <c r="F66" i="47"/>
  <c r="D66" i="47"/>
  <c r="C66" i="47"/>
  <c r="B66" i="47"/>
  <c r="F65" i="47"/>
  <c r="C65" i="47"/>
  <c r="B65" i="47"/>
  <c r="V40" i="47"/>
  <c r="T30" i="47"/>
  <c r="S30" i="47"/>
  <c r="U29" i="47"/>
  <c r="U32" i="47" s="1"/>
  <c r="AC30" i="47" s="1"/>
  <c r="T28" i="47"/>
  <c r="S28" i="47"/>
  <c r="D51" i="47"/>
  <c r="C51" i="47"/>
  <c r="F75" i="46"/>
  <c r="D75" i="46"/>
  <c r="C75" i="46"/>
  <c r="B75" i="46"/>
  <c r="F74" i="46"/>
  <c r="D74" i="46"/>
  <c r="C74" i="46"/>
  <c r="B74" i="46"/>
  <c r="F73" i="46"/>
  <c r="D73" i="46"/>
  <c r="C73" i="46"/>
  <c r="B73" i="46"/>
  <c r="F72" i="46"/>
  <c r="D72" i="46"/>
  <c r="C72" i="46"/>
  <c r="B72" i="46"/>
  <c r="F71" i="46"/>
  <c r="D71" i="46"/>
  <c r="C71" i="46"/>
  <c r="B71" i="46"/>
  <c r="F70" i="46"/>
  <c r="D70" i="46"/>
  <c r="C70" i="46"/>
  <c r="B70" i="46"/>
  <c r="F69" i="46"/>
  <c r="D69" i="46"/>
  <c r="C69" i="46"/>
  <c r="B69" i="46"/>
  <c r="F68" i="46"/>
  <c r="D68" i="46"/>
  <c r="C68" i="46"/>
  <c r="B68" i="46"/>
  <c r="F67" i="46"/>
  <c r="D67" i="46"/>
  <c r="C67" i="46"/>
  <c r="B67" i="46"/>
  <c r="F66" i="46"/>
  <c r="D66" i="46"/>
  <c r="C66" i="46"/>
  <c r="B66" i="46"/>
  <c r="F65" i="46"/>
  <c r="C65" i="46"/>
  <c r="B65" i="46"/>
  <c r="V40" i="46"/>
  <c r="T30" i="46"/>
  <c r="S30" i="46"/>
  <c r="T28" i="46"/>
  <c r="S28" i="46"/>
  <c r="D51" i="46"/>
  <c r="R44" i="46"/>
  <c r="K1" i="46"/>
  <c r="C51" i="46"/>
  <c r="F105" i="45"/>
  <c r="D105" i="45"/>
  <c r="C105" i="45"/>
  <c r="B105" i="45"/>
  <c r="F104" i="45"/>
  <c r="C104" i="45"/>
  <c r="B104" i="45"/>
  <c r="F103" i="45"/>
  <c r="C103" i="45"/>
  <c r="B103" i="45"/>
  <c r="F102" i="45"/>
  <c r="C102" i="45"/>
  <c r="B102" i="45"/>
  <c r="F101" i="45"/>
  <c r="D101" i="45"/>
  <c r="C101" i="45"/>
  <c r="B101" i="45"/>
  <c r="F100" i="45"/>
  <c r="C100" i="45"/>
  <c r="B100" i="45"/>
  <c r="F99" i="45"/>
  <c r="D99" i="45"/>
  <c r="C99" i="45"/>
  <c r="B99" i="45"/>
  <c r="F98" i="45"/>
  <c r="D98" i="45"/>
  <c r="C98" i="45"/>
  <c r="B98" i="45"/>
  <c r="F97" i="45"/>
  <c r="C97" i="45"/>
  <c r="B97" i="45"/>
  <c r="F96" i="45"/>
  <c r="D96" i="45"/>
  <c r="C96" i="45"/>
  <c r="B96" i="45"/>
  <c r="F95" i="45"/>
  <c r="D95" i="45"/>
  <c r="C95" i="45"/>
  <c r="B95" i="45"/>
  <c r="F94" i="45"/>
  <c r="D94" i="45"/>
  <c r="C94" i="45"/>
  <c r="B94" i="45"/>
  <c r="F93" i="45"/>
  <c r="D93" i="45"/>
  <c r="C93" i="45"/>
  <c r="B93" i="45"/>
  <c r="F92" i="45"/>
  <c r="D92" i="45"/>
  <c r="C92" i="45"/>
  <c r="B92" i="45"/>
  <c r="F91" i="45"/>
  <c r="C91" i="45"/>
  <c r="B91" i="45"/>
  <c r="F80" i="45"/>
  <c r="D80" i="45"/>
  <c r="C80" i="45"/>
  <c r="B80" i="45"/>
  <c r="F79" i="45"/>
  <c r="C79" i="45"/>
  <c r="B79" i="45"/>
  <c r="F78" i="45"/>
  <c r="C78" i="45"/>
  <c r="B78" i="45"/>
  <c r="F77" i="45"/>
  <c r="C77" i="45"/>
  <c r="B77" i="45"/>
  <c r="F76" i="45"/>
  <c r="D76" i="45"/>
  <c r="C76" i="45"/>
  <c r="B76" i="45"/>
  <c r="F75" i="45"/>
  <c r="C75" i="45"/>
  <c r="B75" i="45"/>
  <c r="F74" i="45"/>
  <c r="D74" i="45"/>
  <c r="C74" i="45"/>
  <c r="B74" i="45"/>
  <c r="F73" i="45"/>
  <c r="D73" i="45"/>
  <c r="C73" i="45"/>
  <c r="B73" i="45"/>
  <c r="F72" i="45"/>
  <c r="C72" i="45"/>
  <c r="B72" i="45"/>
  <c r="F71" i="45"/>
  <c r="D71" i="45"/>
  <c r="C71" i="45"/>
  <c r="B71" i="45"/>
  <c r="F70" i="45"/>
  <c r="D70" i="45"/>
  <c r="C70" i="45"/>
  <c r="B70" i="45"/>
  <c r="F69" i="45"/>
  <c r="D69" i="45"/>
  <c r="C69" i="45"/>
  <c r="B69" i="45"/>
  <c r="F68" i="45"/>
  <c r="D68" i="45"/>
  <c r="C68" i="45"/>
  <c r="B68" i="45"/>
  <c r="F67" i="45"/>
  <c r="D67" i="45"/>
  <c r="C67" i="45"/>
  <c r="B67" i="45"/>
  <c r="F66" i="45"/>
  <c r="C66" i="45"/>
  <c r="B66" i="45"/>
  <c r="U29" i="45"/>
  <c r="F105" i="44"/>
  <c r="D105" i="44"/>
  <c r="C105" i="44"/>
  <c r="B105" i="44"/>
  <c r="F104" i="44"/>
  <c r="D104" i="44"/>
  <c r="C104" i="44"/>
  <c r="B104" i="44"/>
  <c r="F103" i="44"/>
  <c r="D103" i="44"/>
  <c r="C103" i="44"/>
  <c r="B103" i="44"/>
  <c r="F102" i="44"/>
  <c r="D102" i="44"/>
  <c r="C102" i="44"/>
  <c r="B102" i="44"/>
  <c r="F101" i="44"/>
  <c r="D101" i="44"/>
  <c r="C101" i="44"/>
  <c r="B101" i="44"/>
  <c r="F100" i="44"/>
  <c r="D100" i="44"/>
  <c r="C100" i="44"/>
  <c r="B100" i="44"/>
  <c r="F99" i="44"/>
  <c r="D99" i="44"/>
  <c r="C99" i="44"/>
  <c r="B99" i="44"/>
  <c r="F98" i="44"/>
  <c r="D98" i="44"/>
  <c r="C98" i="44"/>
  <c r="B98" i="44"/>
  <c r="F97" i="44"/>
  <c r="D97" i="44"/>
  <c r="C97" i="44"/>
  <c r="B97" i="44"/>
  <c r="F96" i="44"/>
  <c r="D96" i="44"/>
  <c r="C96" i="44"/>
  <c r="B96" i="44"/>
  <c r="F95" i="44"/>
  <c r="D95" i="44"/>
  <c r="C95" i="44"/>
  <c r="B95" i="44"/>
  <c r="F94" i="44"/>
  <c r="D94" i="44"/>
  <c r="C94" i="44"/>
  <c r="B94" i="44"/>
  <c r="F93" i="44"/>
  <c r="D93" i="44"/>
  <c r="C93" i="44"/>
  <c r="B93" i="44"/>
  <c r="F92" i="44"/>
  <c r="D92" i="44"/>
  <c r="C92" i="44"/>
  <c r="B92" i="44"/>
  <c r="F91" i="44"/>
  <c r="D91" i="44"/>
  <c r="C91" i="44"/>
  <c r="B91" i="44"/>
  <c r="F90" i="44"/>
  <c r="C90" i="44"/>
  <c r="B90" i="44"/>
  <c r="F80" i="44"/>
  <c r="D80" i="44"/>
  <c r="C80" i="44"/>
  <c r="B80" i="44"/>
  <c r="F79" i="44"/>
  <c r="D79" i="44"/>
  <c r="C79" i="44"/>
  <c r="B79" i="44"/>
  <c r="F78" i="44"/>
  <c r="D78" i="44"/>
  <c r="C78" i="44"/>
  <c r="B78" i="44"/>
  <c r="F77" i="44"/>
  <c r="D77" i="44"/>
  <c r="C77" i="44"/>
  <c r="B77" i="44"/>
  <c r="F76" i="44"/>
  <c r="D76" i="44"/>
  <c r="C76" i="44"/>
  <c r="B76" i="44"/>
  <c r="F75" i="44"/>
  <c r="D75" i="44"/>
  <c r="C75" i="44"/>
  <c r="B75" i="44"/>
  <c r="F74" i="44"/>
  <c r="D74" i="44"/>
  <c r="C74" i="44"/>
  <c r="B74" i="44"/>
  <c r="F73" i="44"/>
  <c r="D73" i="44"/>
  <c r="C73" i="44"/>
  <c r="B73" i="44"/>
  <c r="F72" i="44"/>
  <c r="D72" i="44"/>
  <c r="C72" i="44"/>
  <c r="B72" i="44"/>
  <c r="F71" i="44"/>
  <c r="D71" i="44"/>
  <c r="C71" i="44"/>
  <c r="B71" i="44"/>
  <c r="F70" i="44"/>
  <c r="D70" i="44"/>
  <c r="C70" i="44"/>
  <c r="B70" i="44"/>
  <c r="F69" i="44"/>
  <c r="D69" i="44"/>
  <c r="C69" i="44"/>
  <c r="B69" i="44"/>
  <c r="F68" i="44"/>
  <c r="D68" i="44"/>
  <c r="C68" i="44"/>
  <c r="B68" i="44"/>
  <c r="F67" i="44"/>
  <c r="D67" i="44"/>
  <c r="C67" i="44"/>
  <c r="B67" i="44"/>
  <c r="F66" i="44"/>
  <c r="D66" i="44"/>
  <c r="C66" i="44"/>
  <c r="B66" i="44"/>
  <c r="F65" i="44"/>
  <c r="C65" i="44"/>
  <c r="B65" i="44"/>
  <c r="V40" i="44"/>
  <c r="T30" i="44"/>
  <c r="S30" i="44"/>
  <c r="U29" i="44"/>
  <c r="U32" i="44" s="1"/>
  <c r="AC30" i="44" s="1"/>
  <c r="T28" i="44"/>
  <c r="S28" i="44"/>
  <c r="D51" i="44"/>
  <c r="R44" i="44"/>
  <c r="K1" i="44"/>
  <c r="C51" i="44" s="1"/>
  <c r="F96" i="43"/>
  <c r="D96" i="43"/>
  <c r="C96" i="43"/>
  <c r="B96" i="43"/>
  <c r="F95" i="43"/>
  <c r="D95" i="43"/>
  <c r="C95" i="43"/>
  <c r="B95" i="43"/>
  <c r="F94" i="43"/>
  <c r="D94" i="43"/>
  <c r="C94" i="43"/>
  <c r="B94" i="43"/>
  <c r="F93" i="43"/>
  <c r="D93" i="43"/>
  <c r="C93" i="43"/>
  <c r="B93" i="43"/>
  <c r="F92" i="43"/>
  <c r="D92" i="43"/>
  <c r="C92" i="43"/>
  <c r="B92" i="43"/>
  <c r="F91" i="43"/>
  <c r="D91" i="43"/>
  <c r="C91" i="43"/>
  <c r="B91" i="43"/>
  <c r="F90" i="43"/>
  <c r="D90" i="43"/>
  <c r="C90" i="43"/>
  <c r="B90" i="43"/>
  <c r="F89" i="43"/>
  <c r="D89" i="43"/>
  <c r="C89" i="43"/>
  <c r="B89" i="43"/>
  <c r="F88" i="43"/>
  <c r="D88" i="43"/>
  <c r="C88" i="43"/>
  <c r="B88" i="43"/>
  <c r="F87" i="43"/>
  <c r="D87" i="43"/>
  <c r="C87" i="43"/>
  <c r="B87" i="43"/>
  <c r="F86" i="43"/>
  <c r="D86" i="43"/>
  <c r="C86" i="43"/>
  <c r="B86" i="43"/>
  <c r="F85" i="43"/>
  <c r="D85" i="43"/>
  <c r="C85" i="43"/>
  <c r="B85" i="43"/>
  <c r="F84" i="43"/>
  <c r="C84" i="43"/>
  <c r="B84" i="43"/>
  <c r="F77" i="43"/>
  <c r="D77" i="43"/>
  <c r="C77" i="43"/>
  <c r="B77" i="43"/>
  <c r="F76" i="43"/>
  <c r="D76" i="43"/>
  <c r="C76" i="43"/>
  <c r="B76" i="43"/>
  <c r="F75" i="43"/>
  <c r="D75" i="43"/>
  <c r="C75" i="43"/>
  <c r="B75" i="43"/>
  <c r="F74" i="43"/>
  <c r="D74" i="43"/>
  <c r="C74" i="43"/>
  <c r="B74" i="43"/>
  <c r="F73" i="43"/>
  <c r="D73" i="43"/>
  <c r="C73" i="43"/>
  <c r="B73" i="43"/>
  <c r="F72" i="43"/>
  <c r="D72" i="43"/>
  <c r="C72" i="43"/>
  <c r="B72" i="43"/>
  <c r="F71" i="43"/>
  <c r="D71" i="43"/>
  <c r="C71" i="43"/>
  <c r="B71" i="43"/>
  <c r="F70" i="43"/>
  <c r="D70" i="43"/>
  <c r="C70" i="43"/>
  <c r="B70" i="43"/>
  <c r="F69" i="43"/>
  <c r="D69" i="43"/>
  <c r="C69" i="43"/>
  <c r="B69" i="43"/>
  <c r="F68" i="43"/>
  <c r="D68" i="43"/>
  <c r="C68" i="43"/>
  <c r="B68" i="43"/>
  <c r="F67" i="43"/>
  <c r="D67" i="43"/>
  <c r="C67" i="43"/>
  <c r="B67" i="43"/>
  <c r="F66" i="43"/>
  <c r="D66" i="43"/>
  <c r="C66" i="43"/>
  <c r="B66" i="43"/>
  <c r="F65" i="43"/>
  <c r="C65" i="43"/>
  <c r="B65" i="43"/>
  <c r="V40" i="43"/>
  <c r="U30" i="43"/>
  <c r="U32" i="43" s="1"/>
  <c r="S30" i="43"/>
  <c r="T32" i="43"/>
  <c r="S28" i="43"/>
  <c r="D51" i="43"/>
  <c r="R44" i="43" s="1"/>
  <c r="C51" i="43"/>
  <c r="F72" i="42"/>
  <c r="D72" i="42"/>
  <c r="C72" i="42"/>
  <c r="B72" i="42"/>
  <c r="F71" i="42"/>
  <c r="D71" i="42"/>
  <c r="C71" i="42"/>
  <c r="B71" i="42"/>
  <c r="F70" i="42"/>
  <c r="D70" i="42"/>
  <c r="C70" i="42"/>
  <c r="B70" i="42"/>
  <c r="F69" i="42"/>
  <c r="D69" i="42"/>
  <c r="C69" i="42"/>
  <c r="B69" i="42"/>
  <c r="F68" i="42"/>
  <c r="D68" i="42"/>
  <c r="C68" i="42"/>
  <c r="B68" i="42"/>
  <c r="F67" i="42"/>
  <c r="D67" i="42"/>
  <c r="C67" i="42"/>
  <c r="B67" i="42"/>
  <c r="F66" i="42"/>
  <c r="D66" i="42"/>
  <c r="C66" i="42"/>
  <c r="B66" i="42"/>
  <c r="F65" i="42"/>
  <c r="D65" i="42"/>
  <c r="C65" i="42"/>
  <c r="B65" i="42"/>
  <c r="F90" i="41"/>
  <c r="D90" i="41"/>
  <c r="C90" i="41"/>
  <c r="B90" i="41"/>
  <c r="F89" i="41"/>
  <c r="D89" i="41"/>
  <c r="C89" i="41"/>
  <c r="B89" i="41"/>
  <c r="F88" i="41"/>
  <c r="D88" i="41"/>
  <c r="C88" i="41"/>
  <c r="B88" i="41"/>
  <c r="F87" i="41"/>
  <c r="D87" i="41"/>
  <c r="C87" i="41"/>
  <c r="B87" i="41"/>
  <c r="F86" i="41"/>
  <c r="D86" i="41"/>
  <c r="C86" i="41"/>
  <c r="B86" i="41"/>
  <c r="F85" i="41"/>
  <c r="D85" i="41"/>
  <c r="C85" i="41"/>
  <c r="B85" i="41"/>
  <c r="F84" i="41"/>
  <c r="D84" i="41"/>
  <c r="C84" i="41"/>
  <c r="B84" i="41"/>
  <c r="F83" i="41"/>
  <c r="D83" i="41"/>
  <c r="C83" i="41"/>
  <c r="B83" i="41"/>
  <c r="F82" i="41"/>
  <c r="D82" i="41"/>
  <c r="C82" i="41"/>
  <c r="B82" i="41"/>
  <c r="F81" i="41"/>
  <c r="C81" i="41"/>
  <c r="B81" i="41"/>
  <c r="F74" i="41"/>
  <c r="D74" i="41"/>
  <c r="C74" i="41"/>
  <c r="B74" i="41"/>
  <c r="F73" i="41"/>
  <c r="D73" i="41"/>
  <c r="C73" i="41"/>
  <c r="B73" i="41"/>
  <c r="F72" i="41"/>
  <c r="D72" i="41"/>
  <c r="C72" i="41"/>
  <c r="B72" i="41"/>
  <c r="F71" i="41"/>
  <c r="D71" i="41"/>
  <c r="C71" i="41"/>
  <c r="B71" i="41"/>
  <c r="F70" i="41"/>
  <c r="D70" i="41"/>
  <c r="C70" i="41"/>
  <c r="B70" i="41"/>
  <c r="F69" i="41"/>
  <c r="D69" i="41"/>
  <c r="C69" i="41"/>
  <c r="B69" i="41"/>
  <c r="F68" i="41"/>
  <c r="D68" i="41"/>
  <c r="C68" i="41"/>
  <c r="B68" i="41"/>
  <c r="F67" i="41"/>
  <c r="D67" i="41"/>
  <c r="C67" i="41"/>
  <c r="B67" i="41"/>
  <c r="F66" i="41"/>
  <c r="D66" i="41"/>
  <c r="C66" i="41"/>
  <c r="B66" i="41"/>
  <c r="F65" i="41"/>
  <c r="C65" i="41"/>
  <c r="B65" i="41"/>
  <c r="V40" i="41"/>
  <c r="T30" i="41"/>
  <c r="S30" i="41"/>
  <c r="U29" i="41"/>
  <c r="U32" i="41" s="1"/>
  <c r="AD30" i="41" s="1"/>
  <c r="T28" i="41"/>
  <c r="S28" i="41"/>
  <c r="D51" i="41"/>
  <c r="R44" i="41" s="1"/>
  <c r="C51" i="41"/>
  <c r="F73" i="40"/>
  <c r="D73" i="40"/>
  <c r="C73" i="40"/>
  <c r="B73" i="40"/>
  <c r="F72" i="40"/>
  <c r="D72" i="40"/>
  <c r="C72" i="40"/>
  <c r="B72" i="40"/>
  <c r="F71" i="40"/>
  <c r="D71" i="40"/>
  <c r="C71" i="40"/>
  <c r="B71" i="40"/>
  <c r="F70" i="40"/>
  <c r="D70" i="40"/>
  <c r="C70" i="40"/>
  <c r="B70" i="40"/>
  <c r="F69" i="40"/>
  <c r="D69" i="40"/>
  <c r="C69" i="40"/>
  <c r="B69" i="40"/>
  <c r="F68" i="40"/>
  <c r="D68" i="40"/>
  <c r="C68" i="40"/>
  <c r="B68" i="40"/>
  <c r="F67" i="40"/>
  <c r="D67" i="40"/>
  <c r="C67" i="40"/>
  <c r="B67" i="40"/>
  <c r="F66" i="40"/>
  <c r="D66" i="40"/>
  <c r="C66" i="40"/>
  <c r="B66" i="40"/>
  <c r="F65" i="40"/>
  <c r="D65" i="40"/>
  <c r="C65" i="40"/>
  <c r="B65" i="40"/>
  <c r="T29" i="40"/>
  <c r="C51" i="40"/>
  <c r="F71" i="39"/>
  <c r="D71" i="39"/>
  <c r="C71" i="39"/>
  <c r="B71" i="39"/>
  <c r="F70" i="39"/>
  <c r="D70" i="39"/>
  <c r="C70" i="39"/>
  <c r="B70" i="39"/>
  <c r="F69" i="39"/>
  <c r="D69" i="39"/>
  <c r="C69" i="39"/>
  <c r="B69" i="39"/>
  <c r="F68" i="39"/>
  <c r="D68" i="39"/>
  <c r="C68" i="39"/>
  <c r="B68" i="39"/>
  <c r="F67" i="39"/>
  <c r="D67" i="39"/>
  <c r="C67" i="39"/>
  <c r="B67" i="39"/>
  <c r="F66" i="39"/>
  <c r="D66" i="39"/>
  <c r="C66" i="39"/>
  <c r="B66" i="39"/>
  <c r="F71" i="38"/>
  <c r="D71" i="38"/>
  <c r="C71" i="38"/>
  <c r="B71" i="38"/>
  <c r="F70" i="38"/>
  <c r="D70" i="38"/>
  <c r="C70" i="38"/>
  <c r="B70" i="38"/>
  <c r="F69" i="38"/>
  <c r="D69" i="38"/>
  <c r="C69" i="38"/>
  <c r="B69" i="38"/>
  <c r="F68" i="38"/>
  <c r="D68" i="38"/>
  <c r="C68" i="38"/>
  <c r="B68" i="38"/>
  <c r="F67" i="38"/>
  <c r="D67" i="38"/>
  <c r="C67" i="38"/>
  <c r="B67" i="38"/>
  <c r="F66" i="38"/>
  <c r="D66" i="38"/>
  <c r="C66" i="38"/>
  <c r="B66" i="38"/>
  <c r="F65" i="38"/>
  <c r="D65" i="38"/>
  <c r="C65" i="38"/>
  <c r="B65" i="38"/>
  <c r="S28" i="38"/>
  <c r="S30" i="38" s="1"/>
  <c r="F72" i="37"/>
  <c r="D72" i="37"/>
  <c r="C72" i="37"/>
  <c r="B72" i="37"/>
  <c r="F71" i="37"/>
  <c r="D71" i="37"/>
  <c r="C71" i="37"/>
  <c r="B71" i="37"/>
  <c r="F70" i="37"/>
  <c r="D70" i="37"/>
  <c r="C70" i="37"/>
  <c r="B70" i="37"/>
  <c r="F69" i="37"/>
  <c r="D69" i="37"/>
  <c r="C69" i="37"/>
  <c r="B69" i="37"/>
  <c r="F68" i="37"/>
  <c r="D68" i="37"/>
  <c r="C68" i="37"/>
  <c r="B68" i="37"/>
  <c r="F67" i="37"/>
  <c r="D67" i="37"/>
  <c r="C67" i="37"/>
  <c r="B67" i="37"/>
  <c r="F66" i="37"/>
  <c r="D66" i="37"/>
  <c r="C66" i="37"/>
  <c r="B66" i="37"/>
  <c r="F65" i="37"/>
  <c r="C65" i="37"/>
  <c r="B65" i="37"/>
  <c r="D51" i="37"/>
  <c r="R44" i="37" s="1"/>
  <c r="C51" i="37"/>
  <c r="V40" i="37"/>
  <c r="T32" i="37"/>
  <c r="U29" i="37"/>
  <c r="U32" i="37" s="1"/>
  <c r="T35" i="36"/>
  <c r="T34" i="36"/>
  <c r="T32" i="36"/>
  <c r="AO1" i="36"/>
  <c r="T31" i="36"/>
  <c r="U31" i="36"/>
  <c r="U30" i="36"/>
  <c r="U29" i="36"/>
  <c r="U28" i="36"/>
  <c r="F93" i="35"/>
  <c r="D93" i="35"/>
  <c r="C93" i="35"/>
  <c r="B93" i="35"/>
  <c r="F92" i="35"/>
  <c r="D92" i="35"/>
  <c r="C92" i="35"/>
  <c r="B92" i="35"/>
  <c r="F91" i="35"/>
  <c r="D91" i="35"/>
  <c r="C91" i="35"/>
  <c r="B91" i="35"/>
  <c r="F90" i="35"/>
  <c r="D90" i="35"/>
  <c r="C90" i="35"/>
  <c r="B90" i="35"/>
  <c r="F89" i="35"/>
  <c r="C89" i="35"/>
  <c r="B89" i="35"/>
  <c r="F79" i="35"/>
  <c r="D79" i="35"/>
  <c r="C79" i="35"/>
  <c r="B79" i="35"/>
  <c r="F78" i="35"/>
  <c r="D78" i="35"/>
  <c r="C78" i="35"/>
  <c r="B78" i="35"/>
  <c r="F77" i="35"/>
  <c r="D77" i="35"/>
  <c r="C77" i="35"/>
  <c r="B77" i="35"/>
  <c r="F76" i="35"/>
  <c r="C76" i="35"/>
  <c r="B76" i="35"/>
  <c r="F69" i="35"/>
  <c r="D69" i="35"/>
  <c r="C69" i="35"/>
  <c r="B69" i="35"/>
  <c r="F68" i="35"/>
  <c r="D68" i="35"/>
  <c r="C68" i="35"/>
  <c r="B68" i="35"/>
  <c r="F67" i="35"/>
  <c r="D67" i="35"/>
  <c r="C67" i="35"/>
  <c r="B67" i="35"/>
  <c r="F66" i="35"/>
  <c r="D66" i="35"/>
  <c r="C66" i="35"/>
  <c r="B66" i="35"/>
  <c r="F65" i="35"/>
  <c r="C65" i="35"/>
  <c r="B65" i="35"/>
  <c r="V44" i="35"/>
  <c r="U44" i="35"/>
  <c r="W44" i="35" s="1"/>
  <c r="J51" i="35" s="1"/>
  <c r="I51" i="35" s="1"/>
  <c r="D5" i="35" s="1"/>
  <c r="T29" i="35"/>
  <c r="AA28" i="35"/>
  <c r="AB28" i="35" s="1"/>
  <c r="T28" i="35"/>
  <c r="R25" i="35"/>
  <c r="F96" i="34"/>
  <c r="D96" i="34"/>
  <c r="C96" i="34"/>
  <c r="B96" i="34"/>
  <c r="F95" i="34"/>
  <c r="D95" i="34"/>
  <c r="C95" i="34"/>
  <c r="B95" i="34"/>
  <c r="F94" i="34"/>
  <c r="D94" i="34"/>
  <c r="C94" i="34"/>
  <c r="B94" i="34"/>
  <c r="F93" i="34"/>
  <c r="D93" i="34"/>
  <c r="C93" i="34"/>
  <c r="B93" i="34"/>
  <c r="F92" i="34"/>
  <c r="D92" i="34"/>
  <c r="C92" i="34"/>
  <c r="B92" i="34"/>
  <c r="F91" i="34"/>
  <c r="C91" i="34"/>
  <c r="B91" i="34"/>
  <c r="F82" i="34"/>
  <c r="D82" i="34"/>
  <c r="C82" i="34"/>
  <c r="B82" i="34"/>
  <c r="F81" i="34"/>
  <c r="D81" i="34"/>
  <c r="C81" i="34"/>
  <c r="B81" i="34"/>
  <c r="F80" i="34"/>
  <c r="D80" i="34"/>
  <c r="C80" i="34"/>
  <c r="B80" i="34"/>
  <c r="F79" i="34"/>
  <c r="D79" i="34"/>
  <c r="C79" i="34"/>
  <c r="B79" i="34"/>
  <c r="F78" i="34"/>
  <c r="D78" i="34"/>
  <c r="C78" i="34"/>
  <c r="B78" i="34"/>
  <c r="F77" i="34"/>
  <c r="C77" i="34"/>
  <c r="B77" i="34"/>
  <c r="F70" i="34"/>
  <c r="D70" i="34"/>
  <c r="C70" i="34"/>
  <c r="B70" i="34"/>
  <c r="F69" i="34"/>
  <c r="D69" i="34"/>
  <c r="C69" i="34"/>
  <c r="B69" i="34"/>
  <c r="F68" i="34"/>
  <c r="D68" i="34"/>
  <c r="C68" i="34"/>
  <c r="B68" i="34"/>
  <c r="F67" i="34"/>
  <c r="D67" i="34"/>
  <c r="C67" i="34"/>
  <c r="B67" i="34"/>
  <c r="F66" i="34"/>
  <c r="D66" i="34"/>
  <c r="C66" i="34"/>
  <c r="B66" i="34"/>
  <c r="F65" i="34"/>
  <c r="C65" i="34"/>
  <c r="B65" i="34"/>
  <c r="V44" i="34"/>
  <c r="U44" i="34"/>
  <c r="W44" i="34" s="1"/>
  <c r="J51" i="34" s="1"/>
  <c r="I51" i="34" s="1"/>
  <c r="D5" i="34" s="1"/>
  <c r="D1" i="34"/>
  <c r="H5" i="34" s="1"/>
  <c r="T29" i="34"/>
  <c r="AA28" i="34"/>
  <c r="T28" i="34"/>
  <c r="R25" i="34"/>
  <c r="F111" i="33"/>
  <c r="C111" i="33"/>
  <c r="B111" i="33"/>
  <c r="F110" i="33"/>
  <c r="C110" i="33"/>
  <c r="B110" i="33"/>
  <c r="F109" i="33"/>
  <c r="C109" i="33"/>
  <c r="B109" i="33"/>
  <c r="F108" i="33"/>
  <c r="C108" i="33"/>
  <c r="B108" i="33"/>
  <c r="F107" i="33"/>
  <c r="C107" i="33"/>
  <c r="B107" i="33"/>
  <c r="F106" i="33"/>
  <c r="C106" i="33"/>
  <c r="B106" i="33"/>
  <c r="F105" i="33"/>
  <c r="C105" i="33"/>
  <c r="B105" i="33"/>
  <c r="F104" i="33"/>
  <c r="C104" i="33"/>
  <c r="B104" i="33"/>
  <c r="F103" i="33"/>
  <c r="C103" i="33"/>
  <c r="B103" i="33"/>
  <c r="F102" i="33"/>
  <c r="C102" i="33"/>
  <c r="B102" i="33"/>
  <c r="F101" i="33"/>
  <c r="C101" i="33"/>
  <c r="B101" i="33"/>
  <c r="F100" i="33"/>
  <c r="C100" i="33"/>
  <c r="B100" i="33"/>
  <c r="F99" i="33"/>
  <c r="C99" i="33"/>
  <c r="B99" i="33"/>
  <c r="F98" i="33"/>
  <c r="C98" i="33"/>
  <c r="B98" i="33"/>
  <c r="F97" i="33"/>
  <c r="C97" i="33"/>
  <c r="B97" i="33"/>
  <c r="F96" i="33"/>
  <c r="C96" i="33"/>
  <c r="B96" i="33"/>
  <c r="F95" i="33"/>
  <c r="C95" i="33"/>
  <c r="B95" i="33"/>
  <c r="F94" i="33"/>
  <c r="C94" i="33"/>
  <c r="B94" i="33"/>
  <c r="F93" i="33"/>
  <c r="C93" i="33"/>
  <c r="B93" i="33"/>
  <c r="F92" i="33"/>
  <c r="C92" i="33"/>
  <c r="B92" i="33"/>
  <c r="F84" i="33"/>
  <c r="D84" i="33"/>
  <c r="C84" i="33"/>
  <c r="B84" i="33"/>
  <c r="F83" i="33"/>
  <c r="D83" i="33"/>
  <c r="C83" i="33"/>
  <c r="B83" i="33"/>
  <c r="F82" i="33"/>
  <c r="D82" i="33"/>
  <c r="C82" i="33"/>
  <c r="B82" i="33"/>
  <c r="F81" i="33"/>
  <c r="D81" i="33"/>
  <c r="C81" i="33"/>
  <c r="B81" i="33"/>
  <c r="F80" i="33"/>
  <c r="D80" i="33"/>
  <c r="C80" i="33"/>
  <c r="B80" i="33"/>
  <c r="F79" i="33"/>
  <c r="D79" i="33"/>
  <c r="C79" i="33"/>
  <c r="B79" i="33"/>
  <c r="F78" i="33"/>
  <c r="D78" i="33"/>
  <c r="C78" i="33"/>
  <c r="B78" i="33"/>
  <c r="F77" i="33"/>
  <c r="D77" i="33"/>
  <c r="C77" i="33"/>
  <c r="B77" i="33"/>
  <c r="F76" i="33"/>
  <c r="D76" i="33"/>
  <c r="C76" i="33"/>
  <c r="B76" i="33"/>
  <c r="F75" i="33"/>
  <c r="D75" i="33"/>
  <c r="C75" i="33"/>
  <c r="B75" i="33"/>
  <c r="F74" i="33"/>
  <c r="D74" i="33"/>
  <c r="C74" i="33"/>
  <c r="B74" i="33"/>
  <c r="F73" i="33"/>
  <c r="D73" i="33"/>
  <c r="C73" i="33"/>
  <c r="B73" i="33"/>
  <c r="F72" i="33"/>
  <c r="D72" i="33"/>
  <c r="C72" i="33"/>
  <c r="B72" i="33"/>
  <c r="F71" i="33"/>
  <c r="D71" i="33"/>
  <c r="C71" i="33"/>
  <c r="B71" i="33"/>
  <c r="F70" i="33"/>
  <c r="D70" i="33"/>
  <c r="C70" i="33"/>
  <c r="B70" i="33"/>
  <c r="F69" i="33"/>
  <c r="D69" i="33"/>
  <c r="C69" i="33"/>
  <c r="B69" i="33"/>
  <c r="F68" i="33"/>
  <c r="D68" i="33"/>
  <c r="C68" i="33"/>
  <c r="B68" i="33"/>
  <c r="F67" i="33"/>
  <c r="D67" i="33"/>
  <c r="C67" i="33"/>
  <c r="B67" i="33"/>
  <c r="F66" i="33"/>
  <c r="D66" i="33"/>
  <c r="C66" i="33"/>
  <c r="B66" i="33"/>
  <c r="F65" i="33"/>
  <c r="C65" i="33"/>
  <c r="B65" i="33"/>
  <c r="S30" i="33"/>
  <c r="S32" i="33" s="1"/>
  <c r="U29" i="33"/>
  <c r="U32" i="33" s="1"/>
  <c r="AC30" i="33" s="1"/>
  <c r="D51" i="33"/>
  <c r="C51" i="33"/>
  <c r="F79" i="32"/>
  <c r="D79" i="32"/>
  <c r="C79" i="32"/>
  <c r="B79" i="32"/>
  <c r="F78" i="32"/>
  <c r="D78" i="32"/>
  <c r="C78" i="32"/>
  <c r="B78" i="32"/>
  <c r="F77" i="32"/>
  <c r="D77" i="32"/>
  <c r="C77" i="32"/>
  <c r="B77" i="32"/>
  <c r="F76" i="32"/>
  <c r="D76" i="32"/>
  <c r="C76" i="32"/>
  <c r="B76" i="32"/>
  <c r="F75" i="32"/>
  <c r="D75" i="32"/>
  <c r="C75" i="32"/>
  <c r="B75" i="32"/>
  <c r="F74" i="32"/>
  <c r="D74" i="32"/>
  <c r="C74" i="32"/>
  <c r="B74" i="32"/>
  <c r="F73" i="32"/>
  <c r="D73" i="32"/>
  <c r="C73" i="32"/>
  <c r="B73" i="32"/>
  <c r="F72" i="32"/>
  <c r="D72" i="32"/>
  <c r="C72" i="32"/>
  <c r="B72" i="32"/>
  <c r="F71" i="32"/>
  <c r="D71" i="32"/>
  <c r="C71" i="32"/>
  <c r="B71" i="32"/>
  <c r="F70" i="32"/>
  <c r="D70" i="32"/>
  <c r="C70" i="32"/>
  <c r="B70" i="32"/>
  <c r="F69" i="32"/>
  <c r="D69" i="32"/>
  <c r="C69" i="32"/>
  <c r="B69" i="32"/>
  <c r="F68" i="32"/>
  <c r="D68" i="32"/>
  <c r="C68" i="32"/>
  <c r="B68" i="32"/>
  <c r="F67" i="32"/>
  <c r="D67" i="32"/>
  <c r="C67" i="32"/>
  <c r="B67" i="32"/>
  <c r="F66" i="32"/>
  <c r="C66" i="32"/>
  <c r="B66" i="32"/>
  <c r="V40" i="32"/>
  <c r="U33" i="32"/>
  <c r="U29" i="32"/>
  <c r="U32" i="32" s="1"/>
  <c r="AC30" i="32" s="1"/>
  <c r="D51" i="32"/>
  <c r="R44" i="32" s="1"/>
  <c r="C51" i="32"/>
  <c r="R14" i="32"/>
  <c r="F84" i="31"/>
  <c r="D84" i="31"/>
  <c r="C84" i="31"/>
  <c r="B84" i="31"/>
  <c r="F83" i="31"/>
  <c r="D83" i="31"/>
  <c r="C83" i="31"/>
  <c r="B83" i="31"/>
  <c r="F82" i="31"/>
  <c r="D82" i="31"/>
  <c r="C82" i="31"/>
  <c r="B82" i="31"/>
  <c r="F81" i="31"/>
  <c r="D81" i="31"/>
  <c r="C81" i="31"/>
  <c r="B81" i="31"/>
  <c r="F80" i="31"/>
  <c r="D80" i="31"/>
  <c r="C80" i="31"/>
  <c r="B80" i="31"/>
  <c r="F79" i="31"/>
  <c r="D79" i="31"/>
  <c r="C79" i="31"/>
  <c r="B79" i="31"/>
  <c r="F78" i="31"/>
  <c r="D78" i="31"/>
  <c r="C78" i="31"/>
  <c r="B78" i="31"/>
  <c r="F77" i="31"/>
  <c r="D77" i="31"/>
  <c r="C77" i="31"/>
  <c r="B77" i="31"/>
  <c r="F76" i="31"/>
  <c r="D76" i="31"/>
  <c r="C76" i="31"/>
  <c r="B76" i="31"/>
  <c r="F75" i="31"/>
  <c r="D75" i="31"/>
  <c r="C75" i="31"/>
  <c r="B75" i="31"/>
  <c r="F74" i="31"/>
  <c r="D74" i="31"/>
  <c r="C74" i="31"/>
  <c r="B74" i="31"/>
  <c r="F73" i="31"/>
  <c r="D73" i="31"/>
  <c r="C73" i="31"/>
  <c r="B73" i="31"/>
  <c r="F72" i="31"/>
  <c r="D72" i="31"/>
  <c r="C72" i="31"/>
  <c r="B72" i="31"/>
  <c r="F71" i="31"/>
  <c r="D71" i="31"/>
  <c r="C71" i="31"/>
  <c r="B71" i="31"/>
  <c r="F70" i="31"/>
  <c r="D70" i="31"/>
  <c r="C70" i="31"/>
  <c r="B70" i="31"/>
  <c r="F69" i="31"/>
  <c r="D69" i="31"/>
  <c r="C69" i="31"/>
  <c r="B69" i="31"/>
  <c r="F68" i="31"/>
  <c r="D68" i="31"/>
  <c r="C68" i="31"/>
  <c r="B68" i="31"/>
  <c r="F67" i="31"/>
  <c r="D67" i="31"/>
  <c r="C67" i="31"/>
  <c r="B67" i="31"/>
  <c r="F66" i="31"/>
  <c r="D66" i="31"/>
  <c r="C66" i="31"/>
  <c r="B66" i="31"/>
  <c r="F88" i="30"/>
  <c r="D88" i="30"/>
  <c r="C88" i="30"/>
  <c r="B88" i="30"/>
  <c r="F87" i="30"/>
  <c r="D87" i="30"/>
  <c r="C87" i="30"/>
  <c r="B87" i="30"/>
  <c r="F86" i="30"/>
  <c r="D86" i="30"/>
  <c r="C86" i="30"/>
  <c r="B86" i="30"/>
  <c r="F85" i="30"/>
  <c r="D85" i="30"/>
  <c r="C85" i="30"/>
  <c r="B85" i="30"/>
  <c r="F84" i="30"/>
  <c r="D84" i="30"/>
  <c r="C84" i="30"/>
  <c r="B84" i="30"/>
  <c r="F83" i="30"/>
  <c r="D83" i="30"/>
  <c r="C83" i="30"/>
  <c r="B83" i="30"/>
  <c r="F82" i="30"/>
  <c r="D82" i="30"/>
  <c r="C82" i="30"/>
  <c r="B82" i="30"/>
  <c r="F81" i="30"/>
  <c r="D81" i="30"/>
  <c r="C81" i="30"/>
  <c r="B81" i="30"/>
  <c r="F80" i="30"/>
  <c r="C80" i="30"/>
  <c r="B80" i="30"/>
  <c r="F73" i="30"/>
  <c r="D73" i="30"/>
  <c r="C73" i="30"/>
  <c r="B73" i="30"/>
  <c r="F72" i="30"/>
  <c r="D72" i="30"/>
  <c r="C72" i="30"/>
  <c r="B72" i="30"/>
  <c r="F71" i="30"/>
  <c r="D71" i="30"/>
  <c r="C71" i="30"/>
  <c r="B71" i="30"/>
  <c r="F70" i="30"/>
  <c r="D70" i="30"/>
  <c r="C70" i="30"/>
  <c r="B70" i="30"/>
  <c r="F69" i="30"/>
  <c r="D69" i="30"/>
  <c r="C69" i="30"/>
  <c r="B69" i="30"/>
  <c r="F68" i="30"/>
  <c r="D68" i="30"/>
  <c r="C68" i="30"/>
  <c r="B68" i="30"/>
  <c r="F67" i="30"/>
  <c r="D67" i="30"/>
  <c r="C67" i="30"/>
  <c r="B67" i="30"/>
  <c r="F66" i="30"/>
  <c r="D66" i="30"/>
  <c r="C66" i="30"/>
  <c r="B66" i="30"/>
  <c r="F65" i="30"/>
  <c r="C65" i="30"/>
  <c r="B65" i="30"/>
  <c r="V40" i="30"/>
  <c r="D51" i="30"/>
  <c r="R44" i="30"/>
  <c r="C51" i="30"/>
  <c r="AO1" i="30"/>
  <c r="AC28" i="30"/>
  <c r="U28" i="30"/>
  <c r="F124" i="29"/>
  <c r="D124" i="29"/>
  <c r="C124" i="29"/>
  <c r="B124" i="29"/>
  <c r="F123" i="29"/>
  <c r="D123" i="29"/>
  <c r="C123" i="29"/>
  <c r="B123" i="29"/>
  <c r="F122" i="29"/>
  <c r="D122" i="29"/>
  <c r="C122" i="29"/>
  <c r="B122" i="29"/>
  <c r="F121" i="29"/>
  <c r="D121" i="29"/>
  <c r="C121" i="29"/>
  <c r="B121" i="29"/>
  <c r="F120" i="29"/>
  <c r="D120" i="29"/>
  <c r="C120" i="29"/>
  <c r="B120" i="29"/>
  <c r="F119" i="29"/>
  <c r="D119" i="29"/>
  <c r="C119" i="29"/>
  <c r="B119" i="29"/>
  <c r="F118" i="29"/>
  <c r="D118" i="29"/>
  <c r="C118" i="29"/>
  <c r="B118" i="29"/>
  <c r="F117" i="29"/>
  <c r="D117" i="29"/>
  <c r="C117" i="29"/>
  <c r="B117" i="29"/>
  <c r="F116" i="29"/>
  <c r="D116" i="29"/>
  <c r="C116" i="29"/>
  <c r="B116" i="29"/>
  <c r="F115" i="29"/>
  <c r="D115" i="29"/>
  <c r="C115" i="29"/>
  <c r="B115" i="29"/>
  <c r="F114" i="29"/>
  <c r="D114" i="29"/>
  <c r="C114" i="29"/>
  <c r="B114" i="29"/>
  <c r="F113" i="29"/>
  <c r="D113" i="29"/>
  <c r="C113" i="29"/>
  <c r="B113" i="29"/>
  <c r="F112" i="29"/>
  <c r="D112" i="29"/>
  <c r="C112" i="29"/>
  <c r="B112" i="29"/>
  <c r="F111" i="29"/>
  <c r="D111" i="29"/>
  <c r="C111" i="29"/>
  <c r="B111" i="29"/>
  <c r="F110" i="29"/>
  <c r="C110" i="29"/>
  <c r="B110" i="29"/>
  <c r="F101" i="29"/>
  <c r="D101" i="29"/>
  <c r="C101" i="29"/>
  <c r="B101" i="29"/>
  <c r="F100" i="29"/>
  <c r="D100" i="29"/>
  <c r="C100" i="29"/>
  <c r="B100" i="29"/>
  <c r="F99" i="29"/>
  <c r="D99" i="29"/>
  <c r="C99" i="29"/>
  <c r="B99" i="29"/>
  <c r="F98" i="29"/>
  <c r="D98" i="29"/>
  <c r="C98" i="29"/>
  <c r="B98" i="29"/>
  <c r="F97" i="29"/>
  <c r="D97" i="29"/>
  <c r="C97" i="29"/>
  <c r="B97" i="29"/>
  <c r="F96" i="29"/>
  <c r="D96" i="29"/>
  <c r="C96" i="29"/>
  <c r="B96" i="29"/>
  <c r="F95" i="29"/>
  <c r="D95" i="29"/>
  <c r="C95" i="29"/>
  <c r="B95" i="29"/>
  <c r="F94" i="29"/>
  <c r="D94" i="29"/>
  <c r="C94" i="29"/>
  <c r="B94" i="29"/>
  <c r="F93" i="29"/>
  <c r="D93" i="29"/>
  <c r="C93" i="29"/>
  <c r="B93" i="29"/>
  <c r="F92" i="29"/>
  <c r="D92" i="29"/>
  <c r="C92" i="29"/>
  <c r="B92" i="29"/>
  <c r="F91" i="29"/>
  <c r="D91" i="29"/>
  <c r="C91" i="29"/>
  <c r="B91" i="29"/>
  <c r="F90" i="29"/>
  <c r="D90" i="29"/>
  <c r="C90" i="29"/>
  <c r="B90" i="29"/>
  <c r="F89" i="29"/>
  <c r="D89" i="29"/>
  <c r="C89" i="29"/>
  <c r="B89" i="29"/>
  <c r="F88" i="29"/>
  <c r="D88" i="29"/>
  <c r="C88" i="29"/>
  <c r="B88" i="29"/>
  <c r="F87" i="29"/>
  <c r="C87" i="29"/>
  <c r="B87" i="29"/>
  <c r="F79" i="29"/>
  <c r="D79" i="29"/>
  <c r="C79" i="29"/>
  <c r="B79" i="29"/>
  <c r="F78" i="29"/>
  <c r="D78" i="29"/>
  <c r="C78" i="29"/>
  <c r="B78" i="29"/>
  <c r="F77" i="29"/>
  <c r="D77" i="29"/>
  <c r="C77" i="29"/>
  <c r="B77" i="29"/>
  <c r="F76" i="29"/>
  <c r="D76" i="29"/>
  <c r="C76" i="29"/>
  <c r="B76" i="29"/>
  <c r="F75" i="29"/>
  <c r="D75" i="29"/>
  <c r="C75" i="29"/>
  <c r="B75" i="29"/>
  <c r="F74" i="29"/>
  <c r="D74" i="29"/>
  <c r="C74" i="29"/>
  <c r="B74" i="29"/>
  <c r="F73" i="29"/>
  <c r="D73" i="29"/>
  <c r="C73" i="29"/>
  <c r="B73" i="29"/>
  <c r="F72" i="29"/>
  <c r="D72" i="29"/>
  <c r="C72" i="29"/>
  <c r="B72" i="29"/>
  <c r="F71" i="29"/>
  <c r="D71" i="29"/>
  <c r="C71" i="29"/>
  <c r="B71" i="29"/>
  <c r="F70" i="29"/>
  <c r="D70" i="29"/>
  <c r="C70" i="29"/>
  <c r="B70" i="29"/>
  <c r="F69" i="29"/>
  <c r="D69" i="29"/>
  <c r="C69" i="29"/>
  <c r="B69" i="29"/>
  <c r="F68" i="29"/>
  <c r="D68" i="29"/>
  <c r="C68" i="29"/>
  <c r="B68" i="29"/>
  <c r="F67" i="29"/>
  <c r="D67" i="29"/>
  <c r="C67" i="29"/>
  <c r="B67" i="29"/>
  <c r="F66" i="29"/>
  <c r="D66" i="29"/>
  <c r="C66" i="29"/>
  <c r="B66" i="29"/>
  <c r="F65" i="29"/>
  <c r="C65" i="29"/>
  <c r="B65" i="29"/>
  <c r="D51" i="29"/>
  <c r="R44" i="29"/>
  <c r="V40" i="29"/>
  <c r="S32" i="29"/>
  <c r="U29" i="29"/>
  <c r="K1" i="29"/>
  <c r="C51" i="29" s="1"/>
  <c r="F110" i="28"/>
  <c r="D110" i="28"/>
  <c r="C110" i="28"/>
  <c r="B110" i="28"/>
  <c r="F109" i="28"/>
  <c r="D109" i="28"/>
  <c r="C109" i="28"/>
  <c r="B109" i="28"/>
  <c r="F108" i="28"/>
  <c r="D108" i="28"/>
  <c r="C108" i="28"/>
  <c r="B108" i="28"/>
  <c r="F107" i="28"/>
  <c r="D107" i="28"/>
  <c r="C107" i="28"/>
  <c r="B107" i="28"/>
  <c r="F106" i="28"/>
  <c r="D106" i="28"/>
  <c r="C106" i="28"/>
  <c r="B106" i="28"/>
  <c r="F105" i="28"/>
  <c r="D105" i="28"/>
  <c r="C105" i="28"/>
  <c r="B105" i="28"/>
  <c r="F104" i="28"/>
  <c r="D104" i="28"/>
  <c r="C104" i="28"/>
  <c r="B104" i="28"/>
  <c r="F103" i="28"/>
  <c r="D103" i="28"/>
  <c r="C103" i="28"/>
  <c r="B103" i="28"/>
  <c r="F102" i="28"/>
  <c r="D102" i="28"/>
  <c r="C102" i="28"/>
  <c r="B102" i="28"/>
  <c r="F101" i="28"/>
  <c r="D101" i="28"/>
  <c r="C101" i="28"/>
  <c r="B101" i="28"/>
  <c r="F100" i="28"/>
  <c r="D100" i="28"/>
  <c r="C100" i="28"/>
  <c r="B100" i="28"/>
  <c r="F99" i="28"/>
  <c r="D99" i="28"/>
  <c r="C99" i="28"/>
  <c r="B99" i="28"/>
  <c r="F98" i="28"/>
  <c r="D98" i="28"/>
  <c r="C98" i="28"/>
  <c r="B98" i="28"/>
  <c r="F97" i="28"/>
  <c r="D97" i="28"/>
  <c r="C97" i="28"/>
  <c r="B97" i="28"/>
  <c r="F96" i="28"/>
  <c r="D96" i="28"/>
  <c r="C96" i="28"/>
  <c r="B96" i="28"/>
  <c r="F95" i="28"/>
  <c r="D95" i="28"/>
  <c r="C95" i="28"/>
  <c r="B95" i="28"/>
  <c r="F94" i="28"/>
  <c r="D94" i="28"/>
  <c r="C94" i="28"/>
  <c r="B94" i="28"/>
  <c r="F93" i="28"/>
  <c r="D93" i="28"/>
  <c r="C93" i="28"/>
  <c r="B93" i="28"/>
  <c r="F92" i="28"/>
  <c r="D92" i="28"/>
  <c r="C92" i="28"/>
  <c r="B92" i="28"/>
  <c r="F91" i="28"/>
  <c r="C91" i="28"/>
  <c r="B91" i="28"/>
  <c r="F84" i="28"/>
  <c r="D84" i="28"/>
  <c r="C84" i="28"/>
  <c r="B84" i="28"/>
  <c r="F83" i="28"/>
  <c r="D83" i="28"/>
  <c r="C83" i="28"/>
  <c r="B83" i="28"/>
  <c r="F82" i="28"/>
  <c r="D82" i="28"/>
  <c r="C82" i="28"/>
  <c r="B82" i="28"/>
  <c r="F81" i="28"/>
  <c r="D81" i="28"/>
  <c r="C81" i="28"/>
  <c r="B81" i="28"/>
  <c r="F80" i="28"/>
  <c r="D80" i="28"/>
  <c r="C80" i="28"/>
  <c r="B80" i="28"/>
  <c r="F79" i="28"/>
  <c r="D79" i="28"/>
  <c r="C79" i="28"/>
  <c r="B79" i="28"/>
  <c r="F78" i="28"/>
  <c r="D78" i="28"/>
  <c r="C78" i="28"/>
  <c r="B78" i="28"/>
  <c r="F77" i="28"/>
  <c r="D77" i="28"/>
  <c r="C77" i="28"/>
  <c r="B77" i="28"/>
  <c r="F76" i="28"/>
  <c r="D76" i="28"/>
  <c r="C76" i="28"/>
  <c r="B76" i="28"/>
  <c r="F75" i="28"/>
  <c r="D75" i="28"/>
  <c r="C75" i="28"/>
  <c r="B75" i="28"/>
  <c r="F74" i="28"/>
  <c r="D74" i="28"/>
  <c r="C74" i="28"/>
  <c r="B74" i="28"/>
  <c r="F73" i="28"/>
  <c r="D73" i="28"/>
  <c r="C73" i="28"/>
  <c r="B73" i="28"/>
  <c r="F72" i="28"/>
  <c r="D72" i="28"/>
  <c r="C72" i="28"/>
  <c r="B72" i="28"/>
  <c r="F71" i="28"/>
  <c r="D71" i="28"/>
  <c r="C71" i="28"/>
  <c r="B71" i="28"/>
  <c r="F70" i="28"/>
  <c r="D70" i="28"/>
  <c r="C70" i="28"/>
  <c r="B70" i="28"/>
  <c r="F69" i="28"/>
  <c r="D69" i="28"/>
  <c r="C69" i="28"/>
  <c r="B69" i="28"/>
  <c r="F68" i="28"/>
  <c r="D68" i="28"/>
  <c r="C68" i="28"/>
  <c r="B68" i="28"/>
  <c r="F67" i="28"/>
  <c r="D67" i="28"/>
  <c r="C67" i="28"/>
  <c r="B67" i="28"/>
  <c r="F66" i="28"/>
  <c r="D66" i="28"/>
  <c r="C66" i="28"/>
  <c r="B66" i="28"/>
  <c r="F65" i="28"/>
  <c r="C65" i="28"/>
  <c r="B65" i="28"/>
  <c r="D51" i="28"/>
  <c r="C51" i="28"/>
  <c r="V40" i="28"/>
  <c r="S30" i="28"/>
  <c r="U29" i="28"/>
  <c r="T28" i="28"/>
  <c r="S28" i="28"/>
  <c r="F79" i="27"/>
  <c r="D79" i="27"/>
  <c r="C79" i="27"/>
  <c r="B79" i="27"/>
  <c r="F78" i="27"/>
  <c r="D78" i="27"/>
  <c r="C78" i="27"/>
  <c r="B78" i="27"/>
  <c r="F77" i="27"/>
  <c r="D77" i="27"/>
  <c r="C77" i="27"/>
  <c r="B77" i="27"/>
  <c r="F76" i="27"/>
  <c r="D76" i="27"/>
  <c r="C76" i="27"/>
  <c r="B76" i="27"/>
  <c r="F75" i="27"/>
  <c r="D75" i="27"/>
  <c r="C75" i="27"/>
  <c r="B75" i="27"/>
  <c r="F74" i="27"/>
  <c r="D74" i="27"/>
  <c r="C74" i="27"/>
  <c r="B74" i="27"/>
  <c r="F73" i="27"/>
  <c r="D73" i="27"/>
  <c r="C73" i="27"/>
  <c r="B73" i="27"/>
  <c r="F72" i="27"/>
  <c r="D72" i="27"/>
  <c r="C72" i="27"/>
  <c r="B72" i="27"/>
  <c r="F71" i="27"/>
  <c r="D71" i="27"/>
  <c r="C71" i="27"/>
  <c r="B71" i="27"/>
  <c r="F70" i="27"/>
  <c r="D70" i="27"/>
  <c r="C70" i="27"/>
  <c r="B70" i="27"/>
  <c r="F69" i="27"/>
  <c r="D69" i="27"/>
  <c r="C69" i="27"/>
  <c r="B69" i="27"/>
  <c r="F68" i="27"/>
  <c r="D68" i="27"/>
  <c r="C68" i="27"/>
  <c r="B68" i="27"/>
  <c r="F67" i="27"/>
  <c r="D67" i="27"/>
  <c r="C67" i="27"/>
  <c r="B67" i="27"/>
  <c r="F66" i="27"/>
  <c r="D66" i="27"/>
  <c r="C66" i="27"/>
  <c r="B66" i="27"/>
  <c r="F65" i="27"/>
  <c r="C65" i="27"/>
  <c r="B65" i="27"/>
  <c r="U29" i="27"/>
  <c r="U32" i="27" s="1"/>
  <c r="F79" i="26"/>
  <c r="D79" i="26"/>
  <c r="C79" i="26"/>
  <c r="B79" i="26"/>
  <c r="F78" i="26"/>
  <c r="D78" i="26"/>
  <c r="C78" i="26"/>
  <c r="B78" i="26"/>
  <c r="F77" i="26"/>
  <c r="D77" i="26"/>
  <c r="C77" i="26"/>
  <c r="B77" i="26"/>
  <c r="F76" i="26"/>
  <c r="D76" i="26"/>
  <c r="C76" i="26"/>
  <c r="B76" i="26"/>
  <c r="F75" i="26"/>
  <c r="D75" i="26"/>
  <c r="C75" i="26"/>
  <c r="B75" i="26"/>
  <c r="F74" i="26"/>
  <c r="D74" i="26"/>
  <c r="C74" i="26"/>
  <c r="B74" i="26"/>
  <c r="F73" i="26"/>
  <c r="D73" i="26"/>
  <c r="C73" i="26"/>
  <c r="B73" i="26"/>
  <c r="F72" i="26"/>
  <c r="D72" i="26"/>
  <c r="C72" i="26"/>
  <c r="B72" i="26"/>
  <c r="F71" i="26"/>
  <c r="D71" i="26"/>
  <c r="C71" i="26"/>
  <c r="B71" i="26"/>
  <c r="F70" i="26"/>
  <c r="D70" i="26"/>
  <c r="C70" i="26"/>
  <c r="B70" i="26"/>
  <c r="F69" i="26"/>
  <c r="D69" i="26"/>
  <c r="C69" i="26"/>
  <c r="B69" i="26"/>
  <c r="F68" i="26"/>
  <c r="D68" i="26"/>
  <c r="C68" i="26"/>
  <c r="B68" i="26"/>
  <c r="F67" i="26"/>
  <c r="D67" i="26"/>
  <c r="C67" i="26"/>
  <c r="B67" i="26"/>
  <c r="F66" i="26"/>
  <c r="D66" i="26"/>
  <c r="C66" i="26"/>
  <c r="B66" i="26"/>
  <c r="F65" i="26"/>
  <c r="C65" i="26"/>
  <c r="B65" i="26"/>
  <c r="D51" i="26"/>
  <c r="V40" i="26"/>
  <c r="T30" i="26"/>
  <c r="S30" i="26"/>
  <c r="U29" i="26"/>
  <c r="U32" i="26" s="1"/>
  <c r="AD30" i="26" s="1"/>
  <c r="T28" i="26"/>
  <c r="S28" i="26"/>
  <c r="V40" i="25"/>
  <c r="D51" i="25"/>
  <c r="C51" i="25"/>
  <c r="T30" i="25"/>
  <c r="S30" i="25"/>
  <c r="U29" i="25"/>
  <c r="AE28" i="25"/>
  <c r="AC29" i="25" s="1"/>
  <c r="T28" i="25"/>
  <c r="S28" i="25"/>
  <c r="R14" i="25"/>
  <c r="F72" i="24"/>
  <c r="D72" i="24"/>
  <c r="C72" i="24"/>
  <c r="B72" i="24"/>
  <c r="F71" i="24"/>
  <c r="D71" i="24"/>
  <c r="C71" i="24"/>
  <c r="B71" i="24"/>
  <c r="F70" i="24"/>
  <c r="D70" i="24"/>
  <c r="C70" i="24"/>
  <c r="B70" i="24"/>
  <c r="F69" i="24"/>
  <c r="D69" i="24"/>
  <c r="C69" i="24"/>
  <c r="B69" i="24"/>
  <c r="F68" i="24"/>
  <c r="D68" i="24"/>
  <c r="C68" i="24"/>
  <c r="B68" i="24"/>
  <c r="F67" i="24"/>
  <c r="D67" i="24"/>
  <c r="C67" i="24"/>
  <c r="B67" i="24"/>
  <c r="F66" i="24"/>
  <c r="D66" i="24"/>
  <c r="C66" i="24"/>
  <c r="B66" i="24"/>
  <c r="F65" i="24"/>
  <c r="D65" i="24"/>
  <c r="C65" i="24"/>
  <c r="B65" i="24"/>
  <c r="T29" i="24"/>
  <c r="C51" i="24"/>
  <c r="F120" i="23"/>
  <c r="D120" i="23"/>
  <c r="C120" i="23"/>
  <c r="B120" i="23"/>
  <c r="F119" i="23"/>
  <c r="D119" i="23"/>
  <c r="C119" i="23"/>
  <c r="B119" i="23"/>
  <c r="F118" i="23"/>
  <c r="D118" i="23"/>
  <c r="C118" i="23"/>
  <c r="B118" i="23"/>
  <c r="F117" i="23"/>
  <c r="D117" i="23"/>
  <c r="C117" i="23"/>
  <c r="B117" i="23"/>
  <c r="F116" i="23"/>
  <c r="D116" i="23"/>
  <c r="C116" i="23"/>
  <c r="B116" i="23"/>
  <c r="F115" i="23"/>
  <c r="D115" i="23"/>
  <c r="C115" i="23"/>
  <c r="B115" i="23"/>
  <c r="F114" i="23"/>
  <c r="D114" i="23"/>
  <c r="C114" i="23"/>
  <c r="B114" i="23"/>
  <c r="F113" i="23"/>
  <c r="D113" i="23"/>
  <c r="C113" i="23"/>
  <c r="B113" i="23"/>
  <c r="F112" i="23"/>
  <c r="D112" i="23"/>
  <c r="C112" i="23"/>
  <c r="B112" i="23"/>
  <c r="F111" i="23"/>
  <c r="D111" i="23"/>
  <c r="C111" i="23"/>
  <c r="B111" i="23"/>
  <c r="F110" i="23"/>
  <c r="D110" i="23"/>
  <c r="C110" i="23"/>
  <c r="B110" i="23"/>
  <c r="F109" i="23"/>
  <c r="D109" i="23"/>
  <c r="C109" i="23"/>
  <c r="B109" i="23"/>
  <c r="F108" i="23"/>
  <c r="D108" i="23"/>
  <c r="C108" i="23"/>
  <c r="B108" i="23"/>
  <c r="F107" i="23"/>
  <c r="C107" i="23"/>
  <c r="B107" i="23"/>
  <c r="F98" i="23"/>
  <c r="D98" i="23"/>
  <c r="C98" i="23"/>
  <c r="B98" i="23"/>
  <c r="F97" i="23"/>
  <c r="D97" i="23"/>
  <c r="C97" i="23"/>
  <c r="B97" i="23"/>
  <c r="F96" i="23"/>
  <c r="D96" i="23"/>
  <c r="C96" i="23"/>
  <c r="B96" i="23"/>
  <c r="F95" i="23"/>
  <c r="D95" i="23"/>
  <c r="C95" i="23"/>
  <c r="B95" i="23"/>
  <c r="F94" i="23"/>
  <c r="D94" i="23"/>
  <c r="C94" i="23"/>
  <c r="B94" i="23"/>
  <c r="F93" i="23"/>
  <c r="D93" i="23"/>
  <c r="C93" i="23"/>
  <c r="B93" i="23"/>
  <c r="F92" i="23"/>
  <c r="D92" i="23"/>
  <c r="C92" i="23"/>
  <c r="B92" i="23"/>
  <c r="F91" i="23"/>
  <c r="D91" i="23"/>
  <c r="C91" i="23"/>
  <c r="B91" i="23"/>
  <c r="F90" i="23"/>
  <c r="D90" i="23"/>
  <c r="C90" i="23"/>
  <c r="B90" i="23"/>
  <c r="F89" i="23"/>
  <c r="D89" i="23"/>
  <c r="C89" i="23"/>
  <c r="B89" i="23"/>
  <c r="F88" i="23"/>
  <c r="D88" i="23"/>
  <c r="C88" i="23"/>
  <c r="B88" i="23"/>
  <c r="F87" i="23"/>
  <c r="D87" i="23"/>
  <c r="C87" i="23"/>
  <c r="B87" i="23"/>
  <c r="F86" i="23"/>
  <c r="D86" i="23"/>
  <c r="C86" i="23"/>
  <c r="B86" i="23"/>
  <c r="F85" i="23"/>
  <c r="C85" i="23"/>
  <c r="B85" i="23"/>
  <c r="F78" i="23"/>
  <c r="D78" i="23"/>
  <c r="C78" i="23"/>
  <c r="B78" i="23"/>
  <c r="F77" i="23"/>
  <c r="D77" i="23"/>
  <c r="C77" i="23"/>
  <c r="B77" i="23"/>
  <c r="F76" i="23"/>
  <c r="D76" i="23"/>
  <c r="C76" i="23"/>
  <c r="B76" i="23"/>
  <c r="F75" i="23"/>
  <c r="D75" i="23"/>
  <c r="C75" i="23"/>
  <c r="B75" i="23"/>
  <c r="F74" i="23"/>
  <c r="D74" i="23"/>
  <c r="C74" i="23"/>
  <c r="B74" i="23"/>
  <c r="F73" i="23"/>
  <c r="D73" i="23"/>
  <c r="C73" i="23"/>
  <c r="B73" i="23"/>
  <c r="F72" i="23"/>
  <c r="D72" i="23"/>
  <c r="C72" i="23"/>
  <c r="B72" i="23"/>
  <c r="F71" i="23"/>
  <c r="D71" i="23"/>
  <c r="C71" i="23"/>
  <c r="B71" i="23"/>
  <c r="F70" i="23"/>
  <c r="D70" i="23"/>
  <c r="C70" i="23"/>
  <c r="B70" i="23"/>
  <c r="F69" i="23"/>
  <c r="D69" i="23"/>
  <c r="C69" i="23"/>
  <c r="B69" i="23"/>
  <c r="F68" i="23"/>
  <c r="D68" i="23"/>
  <c r="C68" i="23"/>
  <c r="B68" i="23"/>
  <c r="F67" i="23"/>
  <c r="D67" i="23"/>
  <c r="C67" i="23"/>
  <c r="B67" i="23"/>
  <c r="F66" i="23"/>
  <c r="D66" i="23"/>
  <c r="C66" i="23"/>
  <c r="B66" i="23"/>
  <c r="F65" i="23"/>
  <c r="C65" i="23"/>
  <c r="B65" i="23"/>
  <c r="V44" i="23"/>
  <c r="U44" i="23"/>
  <c r="D1" i="23"/>
  <c r="H5" i="23" s="1"/>
  <c r="T29" i="23"/>
  <c r="AA28" i="23"/>
  <c r="T28" i="23"/>
  <c r="R25" i="23"/>
  <c r="F65" i="22"/>
  <c r="C65" i="22"/>
  <c r="B65" i="22"/>
  <c r="D51" i="22"/>
  <c r="R44" i="22"/>
  <c r="V40" i="22"/>
  <c r="T35" i="22"/>
  <c r="T33" i="22"/>
  <c r="T32" i="22"/>
  <c r="U29" i="22"/>
  <c r="U28" i="22"/>
  <c r="D5" i="22"/>
  <c r="F77" i="21"/>
  <c r="D77" i="21"/>
  <c r="C77" i="21"/>
  <c r="B77" i="21"/>
  <c r="F76" i="21"/>
  <c r="D76" i="21"/>
  <c r="C76" i="21"/>
  <c r="B76" i="21"/>
  <c r="F75" i="21"/>
  <c r="D75" i="21"/>
  <c r="C75" i="21"/>
  <c r="B75" i="21"/>
  <c r="F74" i="21"/>
  <c r="D74" i="21"/>
  <c r="C74" i="21"/>
  <c r="B74" i="21"/>
  <c r="F73" i="21"/>
  <c r="D73" i="21"/>
  <c r="C73" i="21"/>
  <c r="B73" i="21"/>
  <c r="F72" i="21"/>
  <c r="D72" i="21"/>
  <c r="C72" i="21"/>
  <c r="B72" i="21"/>
  <c r="F71" i="21"/>
  <c r="D71" i="21"/>
  <c r="C71" i="21"/>
  <c r="B71" i="21"/>
  <c r="F70" i="21"/>
  <c r="D70" i="21"/>
  <c r="C70" i="21"/>
  <c r="B70" i="21"/>
  <c r="F69" i="21"/>
  <c r="D69" i="21"/>
  <c r="C69" i="21"/>
  <c r="B69" i="21"/>
  <c r="F68" i="21"/>
  <c r="D68" i="21"/>
  <c r="C68" i="21"/>
  <c r="B68" i="21"/>
  <c r="F67" i="21"/>
  <c r="D67" i="21"/>
  <c r="C67" i="21"/>
  <c r="B67" i="21"/>
  <c r="F66" i="21"/>
  <c r="D66" i="21"/>
  <c r="C66" i="21"/>
  <c r="B66" i="21"/>
  <c r="F65" i="21"/>
  <c r="C65" i="21"/>
  <c r="B65" i="21"/>
  <c r="D51" i="21"/>
  <c r="R44" i="21" s="1"/>
  <c r="C51" i="21"/>
  <c r="V40" i="21"/>
  <c r="T30" i="21"/>
  <c r="S30" i="21"/>
  <c r="U29" i="21"/>
  <c r="U32" i="21" s="1"/>
  <c r="AD30" i="21" s="1"/>
  <c r="T28" i="21"/>
  <c r="S28" i="21"/>
  <c r="F122" i="20"/>
  <c r="D122" i="20"/>
  <c r="C122" i="20"/>
  <c r="B122" i="20"/>
  <c r="F121" i="20"/>
  <c r="D121" i="20"/>
  <c r="C121" i="20"/>
  <c r="B121" i="20"/>
  <c r="F120" i="20"/>
  <c r="D120" i="20"/>
  <c r="C120" i="20"/>
  <c r="B120" i="20"/>
  <c r="F119" i="20"/>
  <c r="D119" i="20"/>
  <c r="C119" i="20"/>
  <c r="B119" i="20"/>
  <c r="F118" i="20"/>
  <c r="D118" i="20"/>
  <c r="C118" i="20"/>
  <c r="B118" i="20"/>
  <c r="F117" i="20"/>
  <c r="D117" i="20"/>
  <c r="C117" i="20"/>
  <c r="B117" i="20"/>
  <c r="F116" i="20"/>
  <c r="D116" i="20"/>
  <c r="C116" i="20"/>
  <c r="B116" i="20"/>
  <c r="F115" i="20"/>
  <c r="D115" i="20"/>
  <c r="C115" i="20"/>
  <c r="B115" i="20"/>
  <c r="F114" i="20"/>
  <c r="D114" i="20"/>
  <c r="C114" i="20"/>
  <c r="B114" i="20"/>
  <c r="F113" i="20"/>
  <c r="D113" i="20"/>
  <c r="C113" i="20"/>
  <c r="B113" i="20"/>
  <c r="F112" i="20"/>
  <c r="D112" i="20"/>
  <c r="C112" i="20"/>
  <c r="B112" i="20"/>
  <c r="F111" i="20"/>
  <c r="D111" i="20"/>
  <c r="C111" i="20"/>
  <c r="B111" i="20"/>
  <c r="F110" i="20"/>
  <c r="D110" i="20"/>
  <c r="C110" i="20"/>
  <c r="B110" i="20"/>
  <c r="F109" i="20"/>
  <c r="D109" i="20"/>
  <c r="C109" i="20"/>
  <c r="B109" i="20"/>
  <c r="F108" i="20"/>
  <c r="C108" i="20"/>
  <c r="B108" i="20"/>
  <c r="F101" i="20"/>
  <c r="D101" i="20"/>
  <c r="C101" i="20"/>
  <c r="B101" i="20"/>
  <c r="F100" i="20"/>
  <c r="D100" i="20"/>
  <c r="C100" i="20"/>
  <c r="B100" i="20"/>
  <c r="F99" i="20"/>
  <c r="D99" i="20"/>
  <c r="C99" i="20"/>
  <c r="B99" i="20"/>
  <c r="F98" i="20"/>
  <c r="D98" i="20"/>
  <c r="C98" i="20"/>
  <c r="B98" i="20"/>
  <c r="F97" i="20"/>
  <c r="D97" i="20"/>
  <c r="C97" i="20"/>
  <c r="B97" i="20"/>
  <c r="F96" i="20"/>
  <c r="D96" i="20"/>
  <c r="C96" i="20"/>
  <c r="B96" i="20"/>
  <c r="F95" i="20"/>
  <c r="D95" i="20"/>
  <c r="C95" i="20"/>
  <c r="B95" i="20"/>
  <c r="F94" i="20"/>
  <c r="D94" i="20"/>
  <c r="C94" i="20"/>
  <c r="B94" i="20"/>
  <c r="F93" i="20"/>
  <c r="D93" i="20"/>
  <c r="C93" i="20"/>
  <c r="B93" i="20"/>
  <c r="F92" i="20"/>
  <c r="D92" i="20"/>
  <c r="C92" i="20"/>
  <c r="B92" i="20"/>
  <c r="F91" i="20"/>
  <c r="D91" i="20"/>
  <c r="C91" i="20"/>
  <c r="B91" i="20"/>
  <c r="F90" i="20"/>
  <c r="D90" i="20"/>
  <c r="C90" i="20"/>
  <c r="B90" i="20"/>
  <c r="F89" i="20"/>
  <c r="D89" i="20"/>
  <c r="C89" i="20"/>
  <c r="B89" i="20"/>
  <c r="F88" i="20"/>
  <c r="D88" i="20"/>
  <c r="C88" i="20"/>
  <c r="B88" i="20"/>
  <c r="F87" i="20"/>
  <c r="C87" i="20"/>
  <c r="B87" i="20"/>
  <c r="F79" i="20"/>
  <c r="D79" i="20"/>
  <c r="C79" i="20"/>
  <c r="B79" i="20"/>
  <c r="F78" i="20"/>
  <c r="D78" i="20"/>
  <c r="C78" i="20"/>
  <c r="B78" i="20"/>
  <c r="F77" i="20"/>
  <c r="D77" i="20"/>
  <c r="C77" i="20"/>
  <c r="B77" i="20"/>
  <c r="F76" i="20"/>
  <c r="D76" i="20"/>
  <c r="C76" i="20"/>
  <c r="B76" i="20"/>
  <c r="F75" i="20"/>
  <c r="D75" i="20"/>
  <c r="C75" i="20"/>
  <c r="B75" i="20"/>
  <c r="F74" i="20"/>
  <c r="D74" i="20"/>
  <c r="C74" i="20"/>
  <c r="B74" i="20"/>
  <c r="F73" i="20"/>
  <c r="D73" i="20"/>
  <c r="C73" i="20"/>
  <c r="B73" i="20"/>
  <c r="F72" i="20"/>
  <c r="D72" i="20"/>
  <c r="C72" i="20"/>
  <c r="B72" i="20"/>
  <c r="F71" i="20"/>
  <c r="D71" i="20"/>
  <c r="C71" i="20"/>
  <c r="B71" i="20"/>
  <c r="F70" i="20"/>
  <c r="D70" i="20"/>
  <c r="C70" i="20"/>
  <c r="B70" i="20"/>
  <c r="F69" i="20"/>
  <c r="D69" i="20"/>
  <c r="C69" i="20"/>
  <c r="B69" i="20"/>
  <c r="F68" i="20"/>
  <c r="D68" i="20"/>
  <c r="C68" i="20"/>
  <c r="B68" i="20"/>
  <c r="F67" i="20"/>
  <c r="D67" i="20"/>
  <c r="C67" i="20"/>
  <c r="B67" i="20"/>
  <c r="F66" i="20"/>
  <c r="D66" i="20"/>
  <c r="C66" i="20"/>
  <c r="B66" i="20"/>
  <c r="F65" i="20"/>
  <c r="C65" i="20"/>
  <c r="B65" i="20"/>
  <c r="V40" i="20"/>
  <c r="T33" i="20"/>
  <c r="T28" i="20"/>
  <c r="T32" i="20" s="1"/>
  <c r="S28" i="20"/>
  <c r="I51" i="20"/>
  <c r="D5" i="20" s="1"/>
  <c r="D51" i="20"/>
  <c r="R44" i="20"/>
  <c r="K1" i="20"/>
  <c r="C51" i="20"/>
  <c r="F99" i="19"/>
  <c r="D99" i="19"/>
  <c r="C99" i="19"/>
  <c r="B99" i="19"/>
  <c r="F98" i="19"/>
  <c r="D98" i="19"/>
  <c r="C98" i="19"/>
  <c r="B98" i="19"/>
  <c r="F97" i="19"/>
  <c r="D97" i="19"/>
  <c r="C97" i="19"/>
  <c r="B97" i="19"/>
  <c r="F96" i="19"/>
  <c r="D96" i="19"/>
  <c r="C96" i="19"/>
  <c r="B96" i="19"/>
  <c r="F95" i="19"/>
  <c r="D95" i="19"/>
  <c r="C95" i="19"/>
  <c r="B95" i="19"/>
  <c r="F94" i="19"/>
  <c r="D94" i="19"/>
  <c r="C94" i="19"/>
  <c r="B94" i="19"/>
  <c r="F93" i="19"/>
  <c r="D93" i="19"/>
  <c r="C93" i="19"/>
  <c r="B93" i="19"/>
  <c r="F92" i="19"/>
  <c r="D92" i="19"/>
  <c r="C92" i="19"/>
  <c r="B92" i="19"/>
  <c r="F91" i="19"/>
  <c r="D91" i="19"/>
  <c r="C91" i="19"/>
  <c r="B91" i="19"/>
  <c r="F90" i="19"/>
  <c r="D90" i="19"/>
  <c r="C90" i="19"/>
  <c r="B90" i="19"/>
  <c r="F89" i="19"/>
  <c r="D89" i="19"/>
  <c r="C89" i="19"/>
  <c r="B89" i="19"/>
  <c r="F88" i="19"/>
  <c r="D88" i="19"/>
  <c r="C88" i="19"/>
  <c r="B88" i="19"/>
  <c r="F87" i="19"/>
  <c r="C87" i="19"/>
  <c r="B87" i="19"/>
  <c r="F77" i="19"/>
  <c r="D77" i="19"/>
  <c r="C77" i="19"/>
  <c r="B77" i="19"/>
  <c r="F76" i="19"/>
  <c r="D76" i="19"/>
  <c r="C76" i="19"/>
  <c r="B76" i="19"/>
  <c r="F75" i="19"/>
  <c r="D75" i="19"/>
  <c r="C75" i="19"/>
  <c r="B75" i="19"/>
  <c r="F74" i="19"/>
  <c r="D74" i="19"/>
  <c r="C74" i="19"/>
  <c r="B74" i="19"/>
  <c r="F73" i="19"/>
  <c r="D73" i="19"/>
  <c r="C73" i="19"/>
  <c r="B73" i="19"/>
  <c r="F72" i="19"/>
  <c r="D72" i="19"/>
  <c r="C72" i="19"/>
  <c r="B72" i="19"/>
  <c r="F71" i="19"/>
  <c r="D71" i="19"/>
  <c r="C71" i="19"/>
  <c r="B71" i="19"/>
  <c r="F70" i="19"/>
  <c r="D70" i="19"/>
  <c r="C70" i="19"/>
  <c r="B70" i="19"/>
  <c r="F69" i="19"/>
  <c r="D69" i="19"/>
  <c r="C69" i="19"/>
  <c r="B69" i="19"/>
  <c r="F68" i="19"/>
  <c r="D68" i="19"/>
  <c r="C68" i="19"/>
  <c r="B68" i="19"/>
  <c r="F67" i="19"/>
  <c r="D67" i="19"/>
  <c r="C67" i="19"/>
  <c r="B67" i="19"/>
  <c r="F66" i="19"/>
  <c r="D66" i="19"/>
  <c r="C66" i="19"/>
  <c r="B66" i="19"/>
  <c r="F65" i="19"/>
  <c r="C65" i="19"/>
  <c r="B65" i="19"/>
  <c r="V40" i="19"/>
  <c r="S30" i="19"/>
  <c r="U29" i="19"/>
  <c r="U32" i="19" s="1"/>
  <c r="AC30" i="19" s="1"/>
  <c r="T28" i="19"/>
  <c r="T32" i="19" s="1"/>
  <c r="S28" i="19"/>
  <c r="D51" i="19"/>
  <c r="R44" i="19" s="1"/>
  <c r="C51" i="19"/>
  <c r="F105" i="18"/>
  <c r="D105" i="18"/>
  <c r="C105" i="18"/>
  <c r="B105" i="18"/>
  <c r="F104" i="18"/>
  <c r="D104" i="18"/>
  <c r="C104" i="18"/>
  <c r="B104" i="18"/>
  <c r="F103" i="18"/>
  <c r="D103" i="18"/>
  <c r="C103" i="18"/>
  <c r="B103" i="18"/>
  <c r="F102" i="18"/>
  <c r="D102" i="18"/>
  <c r="C102" i="18"/>
  <c r="B102" i="18"/>
  <c r="F101" i="18"/>
  <c r="D101" i="18"/>
  <c r="C101" i="18"/>
  <c r="B101" i="18"/>
  <c r="F100" i="18"/>
  <c r="D100" i="18"/>
  <c r="C100" i="18"/>
  <c r="B100" i="18"/>
  <c r="F99" i="18"/>
  <c r="D99" i="18"/>
  <c r="C99" i="18"/>
  <c r="B99" i="18"/>
  <c r="F98" i="18"/>
  <c r="D98" i="18"/>
  <c r="C98" i="18"/>
  <c r="B98" i="18"/>
  <c r="F97" i="18"/>
  <c r="D97" i="18"/>
  <c r="C97" i="18"/>
  <c r="B97" i="18"/>
  <c r="F96" i="18"/>
  <c r="D96" i="18"/>
  <c r="C96" i="18"/>
  <c r="B96" i="18"/>
  <c r="F95" i="18"/>
  <c r="D95" i="18"/>
  <c r="C95" i="18"/>
  <c r="B95" i="18"/>
  <c r="F94" i="18"/>
  <c r="D94" i="18"/>
  <c r="C94" i="18"/>
  <c r="B94" i="18"/>
  <c r="F93" i="18"/>
  <c r="D93" i="18"/>
  <c r="C93" i="18"/>
  <c r="B93" i="18"/>
  <c r="F92" i="18"/>
  <c r="D92" i="18"/>
  <c r="C92" i="18"/>
  <c r="B92" i="18"/>
  <c r="F91" i="18"/>
  <c r="D91" i="18"/>
  <c r="C91" i="18"/>
  <c r="B91" i="18"/>
  <c r="F90" i="18"/>
  <c r="C90" i="18"/>
  <c r="B90" i="18"/>
  <c r="F80" i="18"/>
  <c r="D80" i="18"/>
  <c r="C80" i="18"/>
  <c r="B80" i="18"/>
  <c r="F79" i="18"/>
  <c r="D79" i="18"/>
  <c r="C79" i="18"/>
  <c r="B79" i="18"/>
  <c r="F78" i="18"/>
  <c r="D78" i="18"/>
  <c r="C78" i="18"/>
  <c r="B78" i="18"/>
  <c r="F77" i="18"/>
  <c r="D77" i="18"/>
  <c r="C77" i="18"/>
  <c r="B77" i="18"/>
  <c r="F76" i="18"/>
  <c r="D76" i="18"/>
  <c r="C76" i="18"/>
  <c r="B76" i="18"/>
  <c r="F75" i="18"/>
  <c r="D75" i="18"/>
  <c r="C75" i="18"/>
  <c r="B75" i="18"/>
  <c r="F74" i="18"/>
  <c r="D74" i="18"/>
  <c r="C74" i="18"/>
  <c r="B74" i="18"/>
  <c r="F73" i="18"/>
  <c r="D73" i="18"/>
  <c r="C73" i="18"/>
  <c r="B73" i="18"/>
  <c r="F72" i="18"/>
  <c r="D72" i="18"/>
  <c r="C72" i="18"/>
  <c r="B72" i="18"/>
  <c r="F71" i="18"/>
  <c r="D71" i="18"/>
  <c r="C71" i="18"/>
  <c r="B71" i="18"/>
  <c r="F70" i="18"/>
  <c r="D70" i="18"/>
  <c r="C70" i="18"/>
  <c r="B70" i="18"/>
  <c r="F69" i="18"/>
  <c r="D69" i="18"/>
  <c r="C69" i="18"/>
  <c r="B69" i="18"/>
  <c r="F68" i="18"/>
  <c r="D68" i="18"/>
  <c r="C68" i="18"/>
  <c r="B68" i="18"/>
  <c r="F67" i="18"/>
  <c r="D67" i="18"/>
  <c r="C67" i="18"/>
  <c r="B67" i="18"/>
  <c r="F66" i="18"/>
  <c r="D66" i="18"/>
  <c r="C66" i="18"/>
  <c r="B66" i="18"/>
  <c r="F65" i="18"/>
  <c r="C65" i="18"/>
  <c r="B65" i="18"/>
  <c r="D51" i="18"/>
  <c r="R44" i="18" s="1"/>
  <c r="C51" i="18"/>
  <c r="V40" i="18"/>
  <c r="T30" i="18"/>
  <c r="S30" i="18"/>
  <c r="U29" i="18"/>
  <c r="U32" i="18" s="1"/>
  <c r="AD30" i="18" s="1"/>
  <c r="T28" i="18"/>
  <c r="S28" i="18"/>
  <c r="F119" i="17"/>
  <c r="D119" i="17"/>
  <c r="C119" i="17"/>
  <c r="B119" i="17"/>
  <c r="F118" i="17"/>
  <c r="D118" i="17"/>
  <c r="C118" i="17"/>
  <c r="B118" i="17"/>
  <c r="F117" i="17"/>
  <c r="D117" i="17"/>
  <c r="C117" i="17"/>
  <c r="B117" i="17"/>
  <c r="F116" i="17"/>
  <c r="D116" i="17"/>
  <c r="C116" i="17"/>
  <c r="B116" i="17"/>
  <c r="F115" i="17"/>
  <c r="D115" i="17"/>
  <c r="C115" i="17"/>
  <c r="B115" i="17"/>
  <c r="F114" i="17"/>
  <c r="D114" i="17"/>
  <c r="C114" i="17"/>
  <c r="B114" i="17"/>
  <c r="F113" i="17"/>
  <c r="D113" i="17"/>
  <c r="C113" i="17"/>
  <c r="B113" i="17"/>
  <c r="F112" i="17"/>
  <c r="D112" i="17"/>
  <c r="C112" i="17"/>
  <c r="B112" i="17"/>
  <c r="F111" i="17"/>
  <c r="D111" i="17"/>
  <c r="C111" i="17"/>
  <c r="B111" i="17"/>
  <c r="F110" i="17"/>
  <c r="D110" i="17"/>
  <c r="C110" i="17"/>
  <c r="B110" i="17"/>
  <c r="F109" i="17"/>
  <c r="D109" i="17"/>
  <c r="C109" i="17"/>
  <c r="B109" i="17"/>
  <c r="F108" i="17"/>
  <c r="D108" i="17"/>
  <c r="C108" i="17"/>
  <c r="B108" i="17"/>
  <c r="F107" i="17"/>
  <c r="D107" i="17"/>
  <c r="C107" i="17"/>
  <c r="B107" i="17"/>
  <c r="F106" i="17"/>
  <c r="D106" i="17"/>
  <c r="C106" i="17"/>
  <c r="B106" i="17"/>
  <c r="F105" i="17"/>
  <c r="D105" i="17"/>
  <c r="C105" i="17"/>
  <c r="B105" i="17"/>
  <c r="F104" i="17"/>
  <c r="D104" i="17"/>
  <c r="C104" i="17"/>
  <c r="B104" i="17"/>
  <c r="F103" i="17"/>
  <c r="D103" i="17"/>
  <c r="C103" i="17"/>
  <c r="B103" i="17"/>
  <c r="F102" i="17"/>
  <c r="D102" i="17"/>
  <c r="C102" i="17"/>
  <c r="B102" i="17"/>
  <c r="F101" i="17"/>
  <c r="D101" i="17"/>
  <c r="C101" i="17"/>
  <c r="B101" i="17"/>
  <c r="F100" i="17"/>
  <c r="D100" i="17"/>
  <c r="C100" i="17"/>
  <c r="B100" i="17"/>
  <c r="F99" i="17"/>
  <c r="D99" i="17"/>
  <c r="C99" i="17"/>
  <c r="B99" i="17"/>
  <c r="F98" i="17"/>
  <c r="D98" i="17"/>
  <c r="C98" i="17"/>
  <c r="B98" i="17"/>
  <c r="F97" i="17"/>
  <c r="D97" i="17"/>
  <c r="C97" i="17"/>
  <c r="B97" i="17"/>
  <c r="F96" i="17"/>
  <c r="C96" i="17"/>
  <c r="B96" i="17"/>
  <c r="F88" i="17"/>
  <c r="D88" i="17"/>
  <c r="C88" i="17"/>
  <c r="B88" i="17"/>
  <c r="F87" i="17"/>
  <c r="D87" i="17"/>
  <c r="C87" i="17"/>
  <c r="B87" i="17"/>
  <c r="F86" i="17"/>
  <c r="D86" i="17"/>
  <c r="C86" i="17"/>
  <c r="B86" i="17"/>
  <c r="F85" i="17"/>
  <c r="D85" i="17"/>
  <c r="C85" i="17"/>
  <c r="B85" i="17"/>
  <c r="F84" i="17"/>
  <c r="D84" i="17"/>
  <c r="C84" i="17"/>
  <c r="B84" i="17"/>
  <c r="F83" i="17"/>
  <c r="D83" i="17"/>
  <c r="C83" i="17"/>
  <c r="B83" i="17"/>
  <c r="F82" i="17"/>
  <c r="D82" i="17"/>
  <c r="C82" i="17"/>
  <c r="B82" i="17"/>
  <c r="F81" i="17"/>
  <c r="D81" i="17"/>
  <c r="C81" i="17"/>
  <c r="B81" i="17"/>
  <c r="F80" i="17"/>
  <c r="D80" i="17"/>
  <c r="C80" i="17"/>
  <c r="B80" i="17"/>
  <c r="F79" i="17"/>
  <c r="D79" i="17"/>
  <c r="C79" i="17"/>
  <c r="B79" i="17"/>
  <c r="F78" i="17"/>
  <c r="D78" i="17"/>
  <c r="C78" i="17"/>
  <c r="B78" i="17"/>
  <c r="F77" i="17"/>
  <c r="D77" i="17"/>
  <c r="C77" i="17"/>
  <c r="B77" i="17"/>
  <c r="F76" i="17"/>
  <c r="D76" i="17"/>
  <c r="C76" i="17"/>
  <c r="B76" i="17"/>
  <c r="F75" i="17"/>
  <c r="D75" i="17"/>
  <c r="C75" i="17"/>
  <c r="B75" i="17"/>
  <c r="F74" i="17"/>
  <c r="D74" i="17"/>
  <c r="C74" i="17"/>
  <c r="B74" i="17"/>
  <c r="F73" i="17"/>
  <c r="D73" i="17"/>
  <c r="C73" i="17"/>
  <c r="B73" i="17"/>
  <c r="F72" i="17"/>
  <c r="D72" i="17"/>
  <c r="C72" i="17"/>
  <c r="B72" i="17"/>
  <c r="F71" i="17"/>
  <c r="D71" i="17"/>
  <c r="C71" i="17"/>
  <c r="B71" i="17"/>
  <c r="F70" i="17"/>
  <c r="D70" i="17"/>
  <c r="C70" i="17"/>
  <c r="B70" i="17"/>
  <c r="F69" i="17"/>
  <c r="D69" i="17"/>
  <c r="C69" i="17"/>
  <c r="B69" i="17"/>
  <c r="F68" i="17"/>
  <c r="D68" i="17"/>
  <c r="C68" i="17"/>
  <c r="B68" i="17"/>
  <c r="F67" i="17"/>
  <c r="D67" i="17"/>
  <c r="C67" i="17"/>
  <c r="B67" i="17"/>
  <c r="F66" i="17"/>
  <c r="D66" i="17"/>
  <c r="C66" i="17"/>
  <c r="B66" i="17"/>
  <c r="F65" i="17"/>
  <c r="C65" i="17"/>
  <c r="D51" i="17"/>
  <c r="R44" i="17" s="1"/>
  <c r="C51" i="17"/>
  <c r="V40" i="17"/>
  <c r="S30" i="17"/>
  <c r="U29" i="17"/>
  <c r="T28" i="17"/>
  <c r="S28" i="17"/>
  <c r="F131" i="16"/>
  <c r="D131" i="16"/>
  <c r="C131" i="16"/>
  <c r="B131" i="16"/>
  <c r="F130" i="16"/>
  <c r="D130" i="16"/>
  <c r="C130" i="16"/>
  <c r="B130" i="16"/>
  <c r="F129" i="16"/>
  <c r="C129" i="16"/>
  <c r="B129" i="16"/>
  <c r="F113" i="16"/>
  <c r="D113" i="16"/>
  <c r="C113" i="16"/>
  <c r="B113" i="16"/>
  <c r="F112" i="16"/>
  <c r="D112" i="16"/>
  <c r="C112" i="16"/>
  <c r="B112" i="16"/>
  <c r="F111" i="16"/>
  <c r="D111" i="16"/>
  <c r="C111" i="16"/>
  <c r="B111" i="16"/>
  <c r="F110" i="16"/>
  <c r="D110" i="16"/>
  <c r="C110" i="16"/>
  <c r="B110" i="16"/>
  <c r="F109" i="16"/>
  <c r="D109" i="16"/>
  <c r="C109" i="16"/>
  <c r="B109" i="16"/>
  <c r="F108" i="16"/>
  <c r="C108" i="16"/>
  <c r="B108" i="16"/>
  <c r="F94" i="16"/>
  <c r="D94" i="16"/>
  <c r="C94" i="16"/>
  <c r="B94" i="16"/>
  <c r="F93" i="16"/>
  <c r="D93" i="16"/>
  <c r="C93" i="16"/>
  <c r="B93" i="16"/>
  <c r="F92" i="16"/>
  <c r="D92" i="16"/>
  <c r="C92" i="16"/>
  <c r="B92" i="16"/>
  <c r="F91" i="16"/>
  <c r="D91" i="16"/>
  <c r="C91" i="16"/>
  <c r="B91" i="16"/>
  <c r="F90" i="16"/>
  <c r="D90" i="16"/>
  <c r="C90" i="16"/>
  <c r="B90" i="16"/>
  <c r="F89" i="16"/>
  <c r="D89" i="16"/>
  <c r="C89" i="16"/>
  <c r="B89" i="16"/>
  <c r="F88" i="16"/>
  <c r="D88" i="16"/>
  <c r="C88" i="16"/>
  <c r="B88" i="16"/>
  <c r="F87" i="16"/>
  <c r="D87" i="16"/>
  <c r="C87" i="16"/>
  <c r="B87" i="16"/>
  <c r="F86" i="16"/>
  <c r="C86" i="16"/>
  <c r="B86" i="16"/>
  <c r="F74" i="16"/>
  <c r="D74" i="16"/>
  <c r="C74" i="16"/>
  <c r="B74" i="16"/>
  <c r="F73" i="16"/>
  <c r="D73" i="16"/>
  <c r="C73" i="16"/>
  <c r="B73" i="16"/>
  <c r="F72" i="16"/>
  <c r="D72" i="16"/>
  <c r="C72" i="16"/>
  <c r="B72" i="16"/>
  <c r="F71" i="16"/>
  <c r="D71" i="16"/>
  <c r="C71" i="16"/>
  <c r="B71" i="16"/>
  <c r="F70" i="16"/>
  <c r="D70" i="16"/>
  <c r="C70" i="16"/>
  <c r="B70" i="16"/>
  <c r="F69" i="16"/>
  <c r="D69" i="16"/>
  <c r="C69" i="16"/>
  <c r="B69" i="16"/>
  <c r="F68" i="16"/>
  <c r="D68" i="16"/>
  <c r="C68" i="16"/>
  <c r="B68" i="16"/>
  <c r="F67" i="16"/>
  <c r="D67" i="16"/>
  <c r="C67" i="16"/>
  <c r="B67" i="16"/>
  <c r="F66" i="16"/>
  <c r="C66" i="16"/>
  <c r="B66" i="16"/>
  <c r="U29" i="16"/>
  <c r="U32" i="16" s="1"/>
  <c r="S16" i="16"/>
  <c r="F121" i="15"/>
  <c r="D121" i="15"/>
  <c r="C121" i="15"/>
  <c r="B121" i="15"/>
  <c r="F120" i="15"/>
  <c r="D120" i="15"/>
  <c r="C120" i="15"/>
  <c r="B120" i="15"/>
  <c r="F119" i="15"/>
  <c r="D119" i="15"/>
  <c r="C119" i="15"/>
  <c r="B119" i="15"/>
  <c r="F118" i="15"/>
  <c r="D118" i="15"/>
  <c r="C118" i="15"/>
  <c r="B118" i="15"/>
  <c r="F117" i="15"/>
  <c r="D117" i="15"/>
  <c r="C117" i="15"/>
  <c r="B117" i="15"/>
  <c r="F116" i="15"/>
  <c r="D116" i="15"/>
  <c r="C116" i="15"/>
  <c r="B116" i="15"/>
  <c r="F115" i="15"/>
  <c r="D115" i="15"/>
  <c r="C115" i="15"/>
  <c r="B115" i="15"/>
  <c r="F114" i="15"/>
  <c r="D114" i="15"/>
  <c r="C114" i="15"/>
  <c r="B114" i="15"/>
  <c r="F113" i="15"/>
  <c r="D113" i="15"/>
  <c r="C113" i="15"/>
  <c r="B113" i="15"/>
  <c r="F112" i="15"/>
  <c r="D112" i="15"/>
  <c r="C112" i="15"/>
  <c r="B112" i="15"/>
  <c r="F111" i="15"/>
  <c r="D111" i="15"/>
  <c r="C111" i="15"/>
  <c r="B111" i="15"/>
  <c r="F110" i="15"/>
  <c r="D110" i="15"/>
  <c r="C110" i="15"/>
  <c r="B110" i="15"/>
  <c r="F109" i="15"/>
  <c r="D109" i="15"/>
  <c r="C109" i="15"/>
  <c r="B109" i="15"/>
  <c r="F108" i="15"/>
  <c r="D108" i="15"/>
  <c r="C108" i="15"/>
  <c r="B108" i="15"/>
  <c r="F107" i="15"/>
  <c r="D107" i="15"/>
  <c r="C107" i="15"/>
  <c r="B107" i="15"/>
  <c r="F106" i="15"/>
  <c r="D106" i="15"/>
  <c r="C106" i="15"/>
  <c r="B106" i="15"/>
  <c r="F105" i="15"/>
  <c r="D105" i="15"/>
  <c r="C105" i="15"/>
  <c r="B105" i="15"/>
  <c r="F104" i="15"/>
  <c r="D104" i="15"/>
  <c r="C104" i="15"/>
  <c r="B104" i="15"/>
  <c r="F103" i="15"/>
  <c r="D103" i="15"/>
  <c r="C103" i="15"/>
  <c r="B103" i="15"/>
  <c r="F102" i="15"/>
  <c r="D102" i="15"/>
  <c r="C102" i="15"/>
  <c r="B102" i="15"/>
  <c r="F101" i="15"/>
  <c r="D101" i="15"/>
  <c r="C101" i="15"/>
  <c r="B101" i="15"/>
  <c r="F100" i="15"/>
  <c r="D100" i="15"/>
  <c r="C100" i="15"/>
  <c r="B100" i="15"/>
  <c r="F99" i="15"/>
  <c r="D99" i="15"/>
  <c r="C99" i="15"/>
  <c r="B99" i="15"/>
  <c r="F98" i="15"/>
  <c r="D98" i="15"/>
  <c r="C98" i="15"/>
  <c r="B98" i="15"/>
  <c r="F97" i="15"/>
  <c r="C97" i="15"/>
  <c r="B97" i="15"/>
  <c r="F89" i="15"/>
  <c r="D89" i="15"/>
  <c r="C89" i="15"/>
  <c r="B89" i="15"/>
  <c r="F88" i="15"/>
  <c r="D88" i="15"/>
  <c r="C88" i="15"/>
  <c r="B88" i="15"/>
  <c r="F87" i="15"/>
  <c r="D87" i="15"/>
  <c r="C87" i="15"/>
  <c r="B87" i="15"/>
  <c r="F86" i="15"/>
  <c r="D86" i="15"/>
  <c r="C86" i="15"/>
  <c r="B86" i="15"/>
  <c r="F85" i="15"/>
  <c r="D85" i="15"/>
  <c r="C85" i="15"/>
  <c r="B85" i="15"/>
  <c r="F84" i="15"/>
  <c r="D84" i="15"/>
  <c r="C84" i="15"/>
  <c r="B84" i="15"/>
  <c r="F83" i="15"/>
  <c r="D83" i="15"/>
  <c r="C83" i="15"/>
  <c r="B83" i="15"/>
  <c r="F82" i="15"/>
  <c r="D82" i="15"/>
  <c r="C82" i="15"/>
  <c r="B82" i="15"/>
  <c r="F81" i="15"/>
  <c r="D81" i="15"/>
  <c r="C81" i="15"/>
  <c r="B81" i="15"/>
  <c r="F80" i="15"/>
  <c r="D80" i="15"/>
  <c r="C80" i="15"/>
  <c r="B80" i="15"/>
  <c r="F79" i="15"/>
  <c r="D79" i="15"/>
  <c r="C79" i="15"/>
  <c r="B79" i="15"/>
  <c r="F78" i="15"/>
  <c r="D78" i="15"/>
  <c r="C78" i="15"/>
  <c r="B78" i="15"/>
  <c r="F77" i="15"/>
  <c r="D77" i="15"/>
  <c r="C77" i="15"/>
  <c r="B77" i="15"/>
  <c r="F76" i="15"/>
  <c r="D76" i="15"/>
  <c r="C76" i="15"/>
  <c r="B76" i="15"/>
  <c r="F75" i="15"/>
  <c r="D75" i="15"/>
  <c r="C75" i="15"/>
  <c r="B75" i="15"/>
  <c r="F74" i="15"/>
  <c r="D74" i="15"/>
  <c r="C74" i="15"/>
  <c r="B74" i="15"/>
  <c r="F73" i="15"/>
  <c r="D73" i="15"/>
  <c r="C73" i="15"/>
  <c r="B73" i="15"/>
  <c r="F72" i="15"/>
  <c r="D72" i="15"/>
  <c r="C72" i="15"/>
  <c r="B72" i="15"/>
  <c r="F71" i="15"/>
  <c r="D71" i="15"/>
  <c r="C71" i="15"/>
  <c r="B71" i="15"/>
  <c r="F70" i="15"/>
  <c r="D70" i="15"/>
  <c r="C70" i="15"/>
  <c r="B70" i="15"/>
  <c r="F69" i="15"/>
  <c r="D69" i="15"/>
  <c r="C69" i="15"/>
  <c r="B69" i="15"/>
  <c r="F68" i="15"/>
  <c r="D68" i="15"/>
  <c r="C68" i="15"/>
  <c r="B68" i="15"/>
  <c r="F67" i="15"/>
  <c r="D67" i="15"/>
  <c r="C67" i="15"/>
  <c r="B67" i="15"/>
  <c r="F66" i="15"/>
  <c r="D66" i="15"/>
  <c r="C66" i="15"/>
  <c r="B66" i="15"/>
  <c r="F65" i="15"/>
  <c r="C65" i="15"/>
  <c r="B65" i="15"/>
  <c r="V40" i="15"/>
  <c r="D51" i="15"/>
  <c r="R44" i="15" s="1"/>
  <c r="U44" i="15" s="1"/>
  <c r="W44" i="15" s="1"/>
  <c r="J51" i="15" s="1"/>
  <c r="C51" i="15"/>
  <c r="T30" i="15"/>
  <c r="S30" i="15"/>
  <c r="U29" i="15"/>
  <c r="U32" i="15" s="1"/>
  <c r="AE30" i="15" s="1"/>
  <c r="T28" i="15"/>
  <c r="S28" i="15"/>
  <c r="F126" i="14"/>
  <c r="D126" i="14"/>
  <c r="C126" i="14"/>
  <c r="B126" i="14"/>
  <c r="F125" i="14"/>
  <c r="D125" i="14"/>
  <c r="C125" i="14"/>
  <c r="B125" i="14"/>
  <c r="F124" i="14"/>
  <c r="D124" i="14"/>
  <c r="C124" i="14"/>
  <c r="B124" i="14"/>
  <c r="F123" i="14"/>
  <c r="D123" i="14"/>
  <c r="C123" i="14"/>
  <c r="B123" i="14"/>
  <c r="F122" i="14"/>
  <c r="D122" i="14"/>
  <c r="C122" i="14"/>
  <c r="B122" i="14"/>
  <c r="F121" i="14"/>
  <c r="D121" i="14"/>
  <c r="C121" i="14"/>
  <c r="B121" i="14"/>
  <c r="F120" i="14"/>
  <c r="D120" i="14"/>
  <c r="C120" i="14"/>
  <c r="B120" i="14"/>
  <c r="F113" i="14"/>
  <c r="D113" i="14"/>
  <c r="C113" i="14"/>
  <c r="B113" i="14"/>
  <c r="F112" i="14"/>
  <c r="D112" i="14"/>
  <c r="C112" i="14"/>
  <c r="B112" i="14"/>
  <c r="F111" i="14"/>
  <c r="D111" i="14"/>
  <c r="C111" i="14"/>
  <c r="B111" i="14"/>
  <c r="F110" i="14"/>
  <c r="D110" i="14"/>
  <c r="C110" i="14"/>
  <c r="B110" i="14"/>
  <c r="F109" i="14"/>
  <c r="D109" i="14"/>
  <c r="C109" i="14"/>
  <c r="B109" i="14"/>
  <c r="F108" i="14"/>
  <c r="D108" i="14"/>
  <c r="C108" i="14"/>
  <c r="B108" i="14"/>
  <c r="F107" i="14"/>
  <c r="D107" i="14"/>
  <c r="C107" i="14"/>
  <c r="B107" i="14"/>
  <c r="F71" i="14"/>
  <c r="D71" i="14"/>
  <c r="C71" i="14"/>
  <c r="B71" i="14"/>
  <c r="F70" i="14"/>
  <c r="D70" i="14"/>
  <c r="C70" i="14"/>
  <c r="B70" i="14"/>
  <c r="F69" i="14"/>
  <c r="D69" i="14"/>
  <c r="C69" i="14"/>
  <c r="B69" i="14"/>
  <c r="F68" i="14"/>
  <c r="D68" i="14"/>
  <c r="C68" i="14"/>
  <c r="B68" i="14"/>
  <c r="F67" i="14"/>
  <c r="D67" i="14"/>
  <c r="C67" i="14"/>
  <c r="B67" i="14"/>
  <c r="F66" i="14"/>
  <c r="D66" i="14"/>
  <c r="C66" i="14"/>
  <c r="B66" i="14"/>
  <c r="F65" i="14"/>
  <c r="D65" i="14"/>
  <c r="C65" i="14"/>
  <c r="B65" i="14"/>
  <c r="T29" i="14"/>
  <c r="S28" i="14"/>
  <c r="S30" i="14" s="1"/>
  <c r="C51" i="14"/>
  <c r="F73" i="13"/>
  <c r="D73" i="13"/>
  <c r="C73" i="13"/>
  <c r="B73" i="13"/>
  <c r="F72" i="13"/>
  <c r="D72" i="13"/>
  <c r="C72" i="13"/>
  <c r="B72" i="13"/>
  <c r="F71" i="13"/>
  <c r="D71" i="13"/>
  <c r="C71" i="13"/>
  <c r="B71" i="13"/>
  <c r="F70" i="13"/>
  <c r="D70" i="13"/>
  <c r="C70" i="13"/>
  <c r="B70" i="13"/>
  <c r="F69" i="13"/>
  <c r="D69" i="13"/>
  <c r="C69" i="13"/>
  <c r="B69" i="13"/>
  <c r="F68" i="13"/>
  <c r="D68" i="13"/>
  <c r="C68" i="13"/>
  <c r="B68" i="13"/>
  <c r="F67" i="13"/>
  <c r="D67" i="13"/>
  <c r="C67" i="13"/>
  <c r="B67" i="13"/>
  <c r="F66" i="13"/>
  <c r="D66" i="13"/>
  <c r="C66" i="13"/>
  <c r="B66" i="13"/>
  <c r="F65" i="13"/>
  <c r="D65" i="13"/>
  <c r="C65" i="13"/>
  <c r="B65" i="13"/>
  <c r="T29" i="13"/>
  <c r="S28" i="13"/>
  <c r="S30" i="13" s="1"/>
  <c r="T30" i="13" s="1"/>
  <c r="F72" i="12"/>
  <c r="D72" i="12"/>
  <c r="C72" i="12"/>
  <c r="B72" i="12"/>
  <c r="F71" i="12"/>
  <c r="D71" i="12"/>
  <c r="C71" i="12"/>
  <c r="B71" i="12"/>
  <c r="F70" i="12"/>
  <c r="D70" i="12"/>
  <c r="C70" i="12"/>
  <c r="B70" i="12"/>
  <c r="F69" i="12"/>
  <c r="D69" i="12"/>
  <c r="C69" i="12"/>
  <c r="B69" i="12"/>
  <c r="F68" i="12"/>
  <c r="D68" i="12"/>
  <c r="C68" i="12"/>
  <c r="B68" i="12"/>
  <c r="F67" i="12"/>
  <c r="D67" i="12"/>
  <c r="C67" i="12"/>
  <c r="B67" i="12"/>
  <c r="F66" i="12"/>
  <c r="D66" i="12"/>
  <c r="C66" i="12"/>
  <c r="B66" i="12"/>
  <c r="F65" i="12"/>
  <c r="D65" i="12"/>
  <c r="C65" i="12"/>
  <c r="B65" i="12"/>
  <c r="T29" i="12"/>
  <c r="T28" i="12"/>
  <c r="R44" i="11"/>
  <c r="V40" i="11"/>
  <c r="T35" i="11"/>
  <c r="AC30" i="11" s="1"/>
  <c r="T33" i="11"/>
  <c r="T32" i="11"/>
  <c r="U32" i="11" s="1"/>
  <c r="T31" i="11"/>
  <c r="U29" i="11"/>
  <c r="F93" i="10"/>
  <c r="D93" i="10"/>
  <c r="C93" i="10"/>
  <c r="B93" i="10"/>
  <c r="F92" i="10"/>
  <c r="D92" i="10"/>
  <c r="C92" i="10"/>
  <c r="B92" i="10"/>
  <c r="F91" i="10"/>
  <c r="D91" i="10"/>
  <c r="C91" i="10"/>
  <c r="B91" i="10"/>
  <c r="F90" i="10"/>
  <c r="D90" i="10"/>
  <c r="C90" i="10"/>
  <c r="B90" i="10"/>
  <c r="F89" i="10"/>
  <c r="C89" i="10"/>
  <c r="B89" i="10"/>
  <c r="F80" i="10"/>
  <c r="D80" i="10"/>
  <c r="C80" i="10"/>
  <c r="B80" i="10"/>
  <c r="F79" i="10"/>
  <c r="D79" i="10"/>
  <c r="C79" i="10"/>
  <c r="B79" i="10"/>
  <c r="F78" i="10"/>
  <c r="D78" i="10"/>
  <c r="C78" i="10"/>
  <c r="B78" i="10"/>
  <c r="F77" i="10"/>
  <c r="D77" i="10"/>
  <c r="C77" i="10"/>
  <c r="B77" i="10"/>
  <c r="F76" i="10"/>
  <c r="C76" i="10"/>
  <c r="B76" i="10"/>
  <c r="F69" i="10"/>
  <c r="D69" i="10"/>
  <c r="C69" i="10"/>
  <c r="B69" i="10"/>
  <c r="F68" i="10"/>
  <c r="D68" i="10"/>
  <c r="C68" i="10"/>
  <c r="B68" i="10"/>
  <c r="F67" i="10"/>
  <c r="D67" i="10"/>
  <c r="C67" i="10"/>
  <c r="B67" i="10"/>
  <c r="F66" i="10"/>
  <c r="D66" i="10"/>
  <c r="C66" i="10"/>
  <c r="B66" i="10"/>
  <c r="F65" i="10"/>
  <c r="C65" i="10"/>
  <c r="B65" i="10"/>
  <c r="V44" i="10"/>
  <c r="U44" i="10"/>
  <c r="T29" i="10"/>
  <c r="T28" i="10"/>
  <c r="R25" i="10"/>
  <c r="F65" i="9"/>
  <c r="C65" i="9"/>
  <c r="B65" i="9"/>
  <c r="V40" i="9"/>
  <c r="U29" i="9"/>
  <c r="U28" i="9"/>
  <c r="D51" i="9"/>
  <c r="R44" i="9"/>
  <c r="C51" i="9"/>
  <c r="F108" i="8"/>
  <c r="D108" i="8"/>
  <c r="C108" i="8"/>
  <c r="B108" i="8"/>
  <c r="F107" i="8"/>
  <c r="D107" i="8"/>
  <c r="C107" i="8"/>
  <c r="B107" i="8"/>
  <c r="F106" i="8"/>
  <c r="D106" i="8"/>
  <c r="C106" i="8"/>
  <c r="B106" i="8"/>
  <c r="F105" i="8"/>
  <c r="D105" i="8"/>
  <c r="C105" i="8"/>
  <c r="B105" i="8"/>
  <c r="F104" i="8"/>
  <c r="D104" i="8"/>
  <c r="C104" i="8"/>
  <c r="B104" i="8"/>
  <c r="F103" i="8"/>
  <c r="D103" i="8"/>
  <c r="C103" i="8"/>
  <c r="B103" i="8"/>
  <c r="F102" i="8"/>
  <c r="D102" i="8"/>
  <c r="C102" i="8"/>
  <c r="B102" i="8"/>
  <c r="F101" i="8"/>
  <c r="D101" i="8"/>
  <c r="C101" i="8"/>
  <c r="B101" i="8"/>
  <c r="F100" i="8"/>
  <c r="D100" i="8"/>
  <c r="C100" i="8"/>
  <c r="B100" i="8"/>
  <c r="F99" i="8"/>
  <c r="D99" i="8"/>
  <c r="C99" i="8"/>
  <c r="B99" i="8"/>
  <c r="F98" i="8"/>
  <c r="D98" i="8"/>
  <c r="C98" i="8"/>
  <c r="B98" i="8"/>
  <c r="F97" i="8"/>
  <c r="D97" i="8"/>
  <c r="C97" i="8"/>
  <c r="B97" i="8"/>
  <c r="F96" i="8"/>
  <c r="D96" i="8"/>
  <c r="C96" i="8"/>
  <c r="B96" i="8"/>
  <c r="F95" i="8"/>
  <c r="D95" i="8"/>
  <c r="C95" i="8"/>
  <c r="B95" i="8"/>
  <c r="F94" i="8"/>
  <c r="D94" i="8"/>
  <c r="C94" i="8"/>
  <c r="B94" i="8"/>
  <c r="F93" i="8"/>
  <c r="D93" i="8"/>
  <c r="C93" i="8"/>
  <c r="B93" i="8"/>
  <c r="F92" i="8"/>
  <c r="D92" i="8"/>
  <c r="C92" i="8"/>
  <c r="B92" i="8"/>
  <c r="F91" i="8"/>
  <c r="D91" i="8"/>
  <c r="C91" i="8"/>
  <c r="B91" i="8"/>
  <c r="F90" i="8"/>
  <c r="C90" i="8"/>
  <c r="B90" i="8"/>
  <c r="F83" i="8"/>
  <c r="D83" i="8"/>
  <c r="C83" i="8"/>
  <c r="B83" i="8"/>
  <c r="F82" i="8"/>
  <c r="D82" i="8"/>
  <c r="C82" i="8"/>
  <c r="B82" i="8"/>
  <c r="F81" i="8"/>
  <c r="D81" i="8"/>
  <c r="C81" i="8"/>
  <c r="B81" i="8"/>
  <c r="F80" i="8"/>
  <c r="D80" i="8"/>
  <c r="C80" i="8"/>
  <c r="B80" i="8"/>
  <c r="F79" i="8"/>
  <c r="D79" i="8"/>
  <c r="C79" i="8"/>
  <c r="B79" i="8"/>
  <c r="F78" i="8"/>
  <c r="D78" i="8"/>
  <c r="C78" i="8"/>
  <c r="B78" i="8"/>
  <c r="F77" i="8"/>
  <c r="D77" i="8"/>
  <c r="C77" i="8"/>
  <c r="B77" i="8"/>
  <c r="F76" i="8"/>
  <c r="D76" i="8"/>
  <c r="C76" i="8"/>
  <c r="B76" i="8"/>
  <c r="F75" i="8"/>
  <c r="D75" i="8"/>
  <c r="C75" i="8"/>
  <c r="B75" i="8"/>
  <c r="F74" i="8"/>
  <c r="D74" i="8"/>
  <c r="C74" i="8"/>
  <c r="B74" i="8"/>
  <c r="F73" i="8"/>
  <c r="D73" i="8"/>
  <c r="C73" i="8"/>
  <c r="B73" i="8"/>
  <c r="F72" i="8"/>
  <c r="D72" i="8"/>
  <c r="C72" i="8"/>
  <c r="B72" i="8"/>
  <c r="F71" i="8"/>
  <c r="D71" i="8"/>
  <c r="C71" i="8"/>
  <c r="B71" i="8"/>
  <c r="F70" i="8"/>
  <c r="D70" i="8"/>
  <c r="C70" i="8"/>
  <c r="B70" i="8"/>
  <c r="F69" i="8"/>
  <c r="D69" i="8"/>
  <c r="C69" i="8"/>
  <c r="B69" i="8"/>
  <c r="F68" i="8"/>
  <c r="D68" i="8"/>
  <c r="C68" i="8"/>
  <c r="B68" i="8"/>
  <c r="F67" i="8"/>
  <c r="D67" i="8"/>
  <c r="C67" i="8"/>
  <c r="B67" i="8"/>
  <c r="F66" i="8"/>
  <c r="D66" i="8"/>
  <c r="C66" i="8"/>
  <c r="B66" i="8"/>
  <c r="F65" i="8"/>
  <c r="C65" i="8"/>
  <c r="B65" i="8"/>
  <c r="D51" i="8"/>
  <c r="R44" i="8" s="1"/>
  <c r="C51" i="8"/>
  <c r="V40" i="8"/>
  <c r="S30" i="8"/>
  <c r="S32" i="8" s="1"/>
  <c r="J52" i="8" s="1"/>
  <c r="I52" i="8" s="1"/>
  <c r="F102" i="7"/>
  <c r="D102" i="7"/>
  <c r="C102" i="7"/>
  <c r="B102" i="7"/>
  <c r="F101" i="7"/>
  <c r="D101" i="7"/>
  <c r="C101" i="7"/>
  <c r="B101" i="7"/>
  <c r="F100" i="7"/>
  <c r="D100" i="7"/>
  <c r="C100" i="7"/>
  <c r="B100" i="7"/>
  <c r="F99" i="7"/>
  <c r="D99" i="7"/>
  <c r="C99" i="7"/>
  <c r="B99" i="7"/>
  <c r="F98" i="7"/>
  <c r="D98" i="7"/>
  <c r="C98" i="7"/>
  <c r="B98" i="7"/>
  <c r="F97" i="7"/>
  <c r="D97" i="7"/>
  <c r="C97" i="7"/>
  <c r="B97" i="7"/>
  <c r="F96" i="7"/>
  <c r="D96" i="7"/>
  <c r="C96" i="7"/>
  <c r="B96" i="7"/>
  <c r="F95" i="7"/>
  <c r="D95" i="7"/>
  <c r="C95" i="7"/>
  <c r="B95" i="7"/>
  <c r="F94" i="7"/>
  <c r="D94" i="7"/>
  <c r="C94" i="7"/>
  <c r="B94" i="7"/>
  <c r="F93" i="7"/>
  <c r="D93" i="7"/>
  <c r="C93" i="7"/>
  <c r="B93" i="7"/>
  <c r="F92" i="7"/>
  <c r="D92" i="7"/>
  <c r="C92" i="7"/>
  <c r="B92" i="7"/>
  <c r="F91" i="7"/>
  <c r="D91" i="7"/>
  <c r="C91" i="7"/>
  <c r="B91" i="7"/>
  <c r="F90" i="7"/>
  <c r="D90" i="7"/>
  <c r="C90" i="7"/>
  <c r="B90" i="7"/>
  <c r="F89" i="7"/>
  <c r="D89" i="7"/>
  <c r="C89" i="7"/>
  <c r="B89" i="7"/>
  <c r="F88" i="7"/>
  <c r="C88" i="7"/>
  <c r="B88" i="7"/>
  <c r="F79" i="7"/>
  <c r="D79" i="7"/>
  <c r="C79" i="7"/>
  <c r="B79" i="7"/>
  <c r="F78" i="7"/>
  <c r="D78" i="7"/>
  <c r="C78" i="7"/>
  <c r="B78" i="7"/>
  <c r="F77" i="7"/>
  <c r="D77" i="7"/>
  <c r="C77" i="7"/>
  <c r="B77" i="7"/>
  <c r="F76" i="7"/>
  <c r="D76" i="7"/>
  <c r="C76" i="7"/>
  <c r="B76" i="7"/>
  <c r="F75" i="7"/>
  <c r="D75" i="7"/>
  <c r="C75" i="7"/>
  <c r="B75" i="7"/>
  <c r="F74" i="7"/>
  <c r="D74" i="7"/>
  <c r="C74" i="7"/>
  <c r="B74" i="7"/>
  <c r="F73" i="7"/>
  <c r="D73" i="7"/>
  <c r="C73" i="7"/>
  <c r="B73" i="7"/>
  <c r="F72" i="7"/>
  <c r="D72" i="7"/>
  <c r="C72" i="7"/>
  <c r="B72" i="7"/>
  <c r="F71" i="7"/>
  <c r="D71" i="7"/>
  <c r="C71" i="7"/>
  <c r="B71" i="7"/>
  <c r="F70" i="7"/>
  <c r="D70" i="7"/>
  <c r="C70" i="7"/>
  <c r="B70" i="7"/>
  <c r="F69" i="7"/>
  <c r="D69" i="7"/>
  <c r="C69" i="7"/>
  <c r="B69" i="7"/>
  <c r="F68" i="7"/>
  <c r="D68" i="7"/>
  <c r="C68" i="7"/>
  <c r="B68" i="7"/>
  <c r="F67" i="7"/>
  <c r="D67" i="7"/>
  <c r="C67" i="7"/>
  <c r="B67" i="7"/>
  <c r="F66" i="7"/>
  <c r="D66" i="7"/>
  <c r="C66" i="7"/>
  <c r="B66" i="7"/>
  <c r="F65" i="7"/>
  <c r="C65" i="7"/>
  <c r="B65" i="7"/>
  <c r="V40" i="7"/>
  <c r="T30" i="7"/>
  <c r="S30" i="7"/>
  <c r="T29" i="7"/>
  <c r="T28" i="7"/>
  <c r="S28" i="7"/>
  <c r="D51" i="7"/>
  <c r="K1" i="7"/>
  <c r="F71" i="6"/>
  <c r="D71" i="6"/>
  <c r="C71" i="6"/>
  <c r="B71" i="6"/>
  <c r="D70" i="6"/>
  <c r="C70" i="6"/>
  <c r="B70" i="6"/>
  <c r="D69" i="6"/>
  <c r="C69" i="6"/>
  <c r="B69" i="6"/>
  <c r="D68" i="6"/>
  <c r="C68" i="6"/>
  <c r="B68" i="6"/>
  <c r="D67" i="6"/>
  <c r="C67" i="6"/>
  <c r="B67" i="6"/>
  <c r="F66" i="6"/>
  <c r="D66" i="6"/>
  <c r="C66" i="6"/>
  <c r="B66" i="6"/>
  <c r="F65" i="6"/>
  <c r="C65" i="6"/>
  <c r="B65" i="6"/>
  <c r="D51" i="6"/>
  <c r="R44" i="6" s="1"/>
  <c r="C51" i="6"/>
  <c r="V40" i="6"/>
  <c r="AO1" i="6"/>
  <c r="T32" i="6"/>
  <c r="F7" i="6"/>
  <c r="F80" i="6" s="1"/>
  <c r="F87" i="5"/>
  <c r="D87" i="5"/>
  <c r="C87" i="5"/>
  <c r="B87" i="5"/>
  <c r="F86" i="5"/>
  <c r="D86" i="5"/>
  <c r="C86" i="5"/>
  <c r="B86" i="5"/>
  <c r="F85" i="5"/>
  <c r="D85" i="5"/>
  <c r="C85" i="5"/>
  <c r="B85" i="5"/>
  <c r="F84" i="5"/>
  <c r="D84" i="5"/>
  <c r="C84" i="5"/>
  <c r="B84" i="5"/>
  <c r="F83" i="5"/>
  <c r="D83" i="5"/>
  <c r="C83" i="5"/>
  <c r="B83" i="5"/>
  <c r="F82" i="5"/>
  <c r="D82" i="5"/>
  <c r="C82" i="5"/>
  <c r="B82" i="5"/>
  <c r="F81" i="5"/>
  <c r="D81" i="5"/>
  <c r="C81" i="5"/>
  <c r="B81" i="5"/>
  <c r="F80" i="5"/>
  <c r="D80" i="5"/>
  <c r="C80" i="5"/>
  <c r="B80" i="5"/>
  <c r="F79" i="5"/>
  <c r="D79" i="5"/>
  <c r="C79" i="5"/>
  <c r="B79" i="5"/>
  <c r="F78" i="5"/>
  <c r="D78" i="5"/>
  <c r="C78" i="5"/>
  <c r="B78" i="5"/>
  <c r="F77" i="5"/>
  <c r="D77" i="5"/>
  <c r="C77" i="5"/>
  <c r="B77" i="5"/>
  <c r="F76" i="5"/>
  <c r="D76" i="5"/>
  <c r="C76" i="5"/>
  <c r="B76" i="5"/>
  <c r="F75" i="5"/>
  <c r="D75" i="5"/>
  <c r="C75" i="5"/>
  <c r="B75" i="5"/>
  <c r="F74" i="5"/>
  <c r="D74" i="5"/>
  <c r="C74" i="5"/>
  <c r="B74" i="5"/>
  <c r="F73" i="5"/>
  <c r="D73" i="5"/>
  <c r="C73" i="5"/>
  <c r="B73" i="5"/>
  <c r="F72" i="5"/>
  <c r="D72" i="5"/>
  <c r="C72" i="5"/>
  <c r="B72" i="5"/>
  <c r="F71" i="5"/>
  <c r="D71" i="5"/>
  <c r="C71" i="5"/>
  <c r="B71" i="5"/>
  <c r="F70" i="5"/>
  <c r="D70" i="5"/>
  <c r="C70" i="5"/>
  <c r="B70" i="5"/>
  <c r="F69" i="5"/>
  <c r="D69" i="5"/>
  <c r="C69" i="5"/>
  <c r="B69" i="5"/>
  <c r="F68" i="5"/>
  <c r="D68" i="5"/>
  <c r="C68" i="5"/>
  <c r="B68" i="5"/>
  <c r="F67" i="5"/>
  <c r="D67" i="5"/>
  <c r="C67" i="5"/>
  <c r="B67" i="5"/>
  <c r="F66" i="5"/>
  <c r="D66" i="5"/>
  <c r="C66" i="5"/>
  <c r="B66" i="5"/>
  <c r="F65" i="5"/>
  <c r="C65" i="5"/>
  <c r="B65" i="5"/>
  <c r="V40" i="5"/>
  <c r="T30" i="5"/>
  <c r="S30" i="5"/>
  <c r="D51" i="5"/>
  <c r="R44" i="5" s="1"/>
  <c r="C51" i="5"/>
  <c r="U29" i="5"/>
  <c r="U32" i="5" s="1"/>
  <c r="AD30" i="5" s="1"/>
  <c r="T28" i="5"/>
  <c r="S28" i="5"/>
  <c r="F120" i="4"/>
  <c r="C120" i="4"/>
  <c r="B120" i="4"/>
  <c r="F101" i="4"/>
  <c r="C101" i="4"/>
  <c r="B101" i="4"/>
  <c r="F81" i="4"/>
  <c r="C81" i="4"/>
  <c r="B81" i="4"/>
  <c r="F63" i="4"/>
  <c r="C63" i="4"/>
  <c r="B63" i="4"/>
  <c r="V44" i="4"/>
  <c r="U44" i="4"/>
  <c r="V40" i="4"/>
  <c r="J50" i="4"/>
  <c r="T31" i="4"/>
  <c r="U29" i="4"/>
  <c r="D49" i="4"/>
  <c r="AA28" i="4"/>
  <c r="F133" i="3"/>
  <c r="D133" i="3"/>
  <c r="C133" i="3"/>
  <c r="B133" i="3"/>
  <c r="F132" i="3"/>
  <c r="D132" i="3"/>
  <c r="C132" i="3"/>
  <c r="B132" i="3"/>
  <c r="F131" i="3"/>
  <c r="D131" i="3"/>
  <c r="C131" i="3"/>
  <c r="B131" i="3"/>
  <c r="F130" i="3"/>
  <c r="D130" i="3"/>
  <c r="C130" i="3"/>
  <c r="B130" i="3"/>
  <c r="F129" i="3"/>
  <c r="D129" i="3"/>
  <c r="C129" i="3"/>
  <c r="B129" i="3"/>
  <c r="F128" i="3"/>
  <c r="D128" i="3"/>
  <c r="C128" i="3"/>
  <c r="B128" i="3"/>
  <c r="F127" i="3"/>
  <c r="D127" i="3"/>
  <c r="C127" i="3"/>
  <c r="B127" i="3"/>
  <c r="F126" i="3"/>
  <c r="D126" i="3"/>
  <c r="C126" i="3"/>
  <c r="B126" i="3"/>
  <c r="F125" i="3"/>
  <c r="D125" i="3"/>
  <c r="C125" i="3"/>
  <c r="B125" i="3"/>
  <c r="F124" i="3"/>
  <c r="D124" i="3"/>
  <c r="C124" i="3"/>
  <c r="B124" i="3"/>
  <c r="F123" i="3"/>
  <c r="D123" i="3"/>
  <c r="C123" i="3"/>
  <c r="B123" i="3"/>
  <c r="F122" i="3"/>
  <c r="D122" i="3"/>
  <c r="C122" i="3"/>
  <c r="B122" i="3"/>
  <c r="F121" i="3"/>
  <c r="D121" i="3"/>
  <c r="C121" i="3"/>
  <c r="B121" i="3"/>
  <c r="F120" i="3"/>
  <c r="D120" i="3"/>
  <c r="C120" i="3"/>
  <c r="B120" i="3"/>
  <c r="F119" i="3"/>
  <c r="D119" i="3"/>
  <c r="C119" i="3"/>
  <c r="B119" i="3"/>
  <c r="F118" i="3"/>
  <c r="D118" i="3"/>
  <c r="C118" i="3"/>
  <c r="B118" i="3"/>
  <c r="F117" i="3"/>
  <c r="C117" i="3"/>
  <c r="B117" i="3"/>
  <c r="F105" i="3"/>
  <c r="D105" i="3"/>
  <c r="C105" i="3"/>
  <c r="B105" i="3"/>
  <c r="F104" i="3"/>
  <c r="D104" i="3"/>
  <c r="C104" i="3"/>
  <c r="B104" i="3"/>
  <c r="F103" i="3"/>
  <c r="D103" i="3"/>
  <c r="C103" i="3"/>
  <c r="B103" i="3"/>
  <c r="F102" i="3"/>
  <c r="D102" i="3"/>
  <c r="C102" i="3"/>
  <c r="B102" i="3"/>
  <c r="F101" i="3"/>
  <c r="D101" i="3"/>
  <c r="C101" i="3"/>
  <c r="B101" i="3"/>
  <c r="F100" i="3"/>
  <c r="D100" i="3"/>
  <c r="C100" i="3"/>
  <c r="B100" i="3"/>
  <c r="F99" i="3"/>
  <c r="D99" i="3"/>
  <c r="C99" i="3"/>
  <c r="B99" i="3"/>
  <c r="F98" i="3"/>
  <c r="D98" i="3"/>
  <c r="C98" i="3"/>
  <c r="B98" i="3"/>
  <c r="F97" i="3"/>
  <c r="D97" i="3"/>
  <c r="C97" i="3"/>
  <c r="B97" i="3"/>
  <c r="F96" i="3"/>
  <c r="D96" i="3"/>
  <c r="C96" i="3"/>
  <c r="B96" i="3"/>
  <c r="F95" i="3"/>
  <c r="D95" i="3"/>
  <c r="C95" i="3"/>
  <c r="B95" i="3"/>
  <c r="F94" i="3"/>
  <c r="D94" i="3"/>
  <c r="C94" i="3"/>
  <c r="B94" i="3"/>
  <c r="F93" i="3"/>
  <c r="D93" i="3"/>
  <c r="C93" i="3"/>
  <c r="B93" i="3"/>
  <c r="F92" i="3"/>
  <c r="D92" i="3"/>
  <c r="C92" i="3"/>
  <c r="B92" i="3"/>
  <c r="F91" i="3"/>
  <c r="D91" i="3"/>
  <c r="C91" i="3"/>
  <c r="B91" i="3"/>
  <c r="F90" i="3"/>
  <c r="D90" i="3"/>
  <c r="C90" i="3"/>
  <c r="B90" i="3"/>
  <c r="F89" i="3"/>
  <c r="C89" i="3"/>
  <c r="B89" i="3"/>
  <c r="F81" i="3"/>
  <c r="D81" i="3"/>
  <c r="C81" i="3"/>
  <c r="B81" i="3"/>
  <c r="F80" i="3"/>
  <c r="D80" i="3"/>
  <c r="C80" i="3"/>
  <c r="B80" i="3"/>
  <c r="F79" i="3"/>
  <c r="D79" i="3"/>
  <c r="C79" i="3"/>
  <c r="B79" i="3"/>
  <c r="F78" i="3"/>
  <c r="D78" i="3"/>
  <c r="C78" i="3"/>
  <c r="B78" i="3"/>
  <c r="F77" i="3"/>
  <c r="D77" i="3"/>
  <c r="C77" i="3"/>
  <c r="B77" i="3"/>
  <c r="F76" i="3"/>
  <c r="D76" i="3"/>
  <c r="C76" i="3"/>
  <c r="B76" i="3"/>
  <c r="F75" i="3"/>
  <c r="D75" i="3"/>
  <c r="C75" i="3"/>
  <c r="B75" i="3"/>
  <c r="F74" i="3"/>
  <c r="D74" i="3"/>
  <c r="C74" i="3"/>
  <c r="B74" i="3"/>
  <c r="F73" i="3"/>
  <c r="D73" i="3"/>
  <c r="C73" i="3"/>
  <c r="B73" i="3"/>
  <c r="F72" i="3"/>
  <c r="D72" i="3"/>
  <c r="C72" i="3"/>
  <c r="B72" i="3"/>
  <c r="F71" i="3"/>
  <c r="D71" i="3"/>
  <c r="C71" i="3"/>
  <c r="B71" i="3"/>
  <c r="F70" i="3"/>
  <c r="D70" i="3"/>
  <c r="C70" i="3"/>
  <c r="B70" i="3"/>
  <c r="F69" i="3"/>
  <c r="D69" i="3"/>
  <c r="C69" i="3"/>
  <c r="B69" i="3"/>
  <c r="F68" i="3"/>
  <c r="D68" i="3"/>
  <c r="C68" i="3"/>
  <c r="B68" i="3"/>
  <c r="F67" i="3"/>
  <c r="D67" i="3"/>
  <c r="C67" i="3"/>
  <c r="B67" i="3"/>
  <c r="F66" i="3"/>
  <c r="D66" i="3"/>
  <c r="C66" i="3"/>
  <c r="B66" i="3"/>
  <c r="F65" i="3"/>
  <c r="C65" i="3"/>
  <c r="B65" i="3"/>
  <c r="D51" i="3"/>
  <c r="R44" i="3" s="1"/>
  <c r="U44" i="3" s="1"/>
  <c r="C51" i="3"/>
  <c r="V40" i="3"/>
  <c r="S30" i="3"/>
  <c r="U32" i="3"/>
  <c r="AE30" i="3" s="1"/>
  <c r="T28" i="3"/>
  <c r="T32" i="3" s="1"/>
  <c r="S28" i="3"/>
  <c r="O52" i="2"/>
  <c r="K52" i="2"/>
  <c r="N52" i="2" s="1"/>
  <c r="K50" i="2"/>
  <c r="N50" i="2" s="1"/>
  <c r="O57" i="2"/>
  <c r="K57" i="2"/>
  <c r="N57" i="2" s="1"/>
  <c r="O59" i="2"/>
  <c r="K59" i="2"/>
  <c r="N59" i="2" s="1"/>
  <c r="L10" i="2"/>
  <c r="O10" i="2" s="1"/>
  <c r="K10" i="2"/>
  <c r="N10" i="2" s="1"/>
  <c r="L3" i="2"/>
  <c r="O3" i="2" s="1"/>
  <c r="K3" i="2"/>
  <c r="N3" i="2" s="1"/>
  <c r="L5" i="2"/>
  <c r="O5" i="2" s="1"/>
  <c r="K5" i="2"/>
  <c r="N5" i="2" s="1"/>
  <c r="L8" i="2"/>
  <c r="O8" i="2" s="1"/>
  <c r="K8" i="2"/>
  <c r="N8" i="2" s="1"/>
  <c r="L4" i="2"/>
  <c r="O4" i="2" s="1"/>
  <c r="K4" i="2"/>
  <c r="N4" i="2" s="1"/>
  <c r="L15" i="2"/>
  <c r="O15" i="2" s="1"/>
  <c r="K15" i="2"/>
  <c r="N15" i="2" s="1"/>
  <c r="L12" i="2"/>
  <c r="O12" i="2" s="1"/>
  <c r="K12" i="2"/>
  <c r="N12" i="2" s="1"/>
  <c r="L16" i="2"/>
  <c r="O16" i="2" s="1"/>
  <c r="K16" i="2"/>
  <c r="N16" i="2" s="1"/>
  <c r="L42" i="2"/>
  <c r="O42" i="2" s="1"/>
  <c r="K42" i="2"/>
  <c r="N42" i="2" s="1"/>
  <c r="L39" i="2"/>
  <c r="O39" i="2" s="1"/>
  <c r="K39" i="2"/>
  <c r="N39" i="2" s="1"/>
  <c r="L40" i="2"/>
  <c r="O40" i="2" s="1"/>
  <c r="K40" i="2"/>
  <c r="N40" i="2" s="1"/>
  <c r="L44" i="2"/>
  <c r="O44" i="2" s="1"/>
  <c r="K44" i="2"/>
  <c r="N44" i="2" s="1"/>
  <c r="L46" i="2"/>
  <c r="O46" i="2" s="1"/>
  <c r="K46" i="2"/>
  <c r="N46" i="2" s="1"/>
  <c r="L14" i="2"/>
  <c r="O14" i="2" s="1"/>
  <c r="K14" i="2"/>
  <c r="N14" i="2" s="1"/>
  <c r="L34" i="2"/>
  <c r="O34" i="2" s="1"/>
  <c r="K34" i="2"/>
  <c r="N34" i="2" s="1"/>
  <c r="L32" i="2"/>
  <c r="O32" i="2" s="1"/>
  <c r="K32" i="2"/>
  <c r="N32" i="2" s="1"/>
  <c r="L30" i="2"/>
  <c r="O30" i="2" s="1"/>
  <c r="K30" i="2"/>
  <c r="N30" i="2" s="1"/>
  <c r="L29" i="2"/>
  <c r="O29" i="2" s="1"/>
  <c r="K29" i="2"/>
  <c r="N29" i="2" s="1"/>
  <c r="L28" i="2"/>
  <c r="O28" i="2" s="1"/>
  <c r="K28" i="2"/>
  <c r="N28" i="2" s="1"/>
  <c r="L27" i="2"/>
  <c r="O27" i="2" s="1"/>
  <c r="K27" i="2"/>
  <c r="N27" i="2" s="1"/>
  <c r="L26" i="2"/>
  <c r="O26" i="2" s="1"/>
  <c r="K26" i="2"/>
  <c r="N26" i="2" s="1"/>
  <c r="L25" i="2"/>
  <c r="O25" i="2" s="1"/>
  <c r="K25" i="2"/>
  <c r="N25" i="2" s="1"/>
  <c r="L24" i="2"/>
  <c r="O24" i="2" s="1"/>
  <c r="K24" i="2"/>
  <c r="N24" i="2" s="1"/>
  <c r="L23" i="2"/>
  <c r="O23" i="2" s="1"/>
  <c r="K23" i="2"/>
  <c r="N23" i="2" s="1"/>
  <c r="L22" i="2"/>
  <c r="O22" i="2" s="1"/>
  <c r="K22" i="2"/>
  <c r="N22" i="2" s="1"/>
  <c r="L33" i="2"/>
  <c r="O33" i="2" s="1"/>
  <c r="K33" i="2"/>
  <c r="N33" i="2" s="1"/>
  <c r="L36" i="2"/>
  <c r="O36" i="2" s="1"/>
  <c r="K36" i="2"/>
  <c r="N36" i="2" s="1"/>
  <c r="L35" i="2"/>
  <c r="O35" i="2" s="1"/>
  <c r="K35" i="2"/>
  <c r="N35" i="2" s="1"/>
  <c r="L37" i="2"/>
  <c r="O37" i="2" s="1"/>
  <c r="K37" i="2"/>
  <c r="N37" i="2" s="1"/>
  <c r="L21" i="2"/>
  <c r="O21" i="2" s="1"/>
  <c r="K21" i="2"/>
  <c r="N21" i="2" s="1"/>
  <c r="L20" i="2"/>
  <c r="O20" i="2" s="1"/>
  <c r="K20" i="2"/>
  <c r="N20" i="2" s="1"/>
  <c r="L19" i="2"/>
  <c r="O19" i="2" s="1"/>
  <c r="K19" i="2"/>
  <c r="N19" i="2" s="1"/>
  <c r="L149" i="1"/>
  <c r="O149" i="1" s="1"/>
  <c r="K149" i="1"/>
  <c r="N149" i="1" s="1"/>
  <c r="L145" i="1"/>
  <c r="O145" i="1" s="1"/>
  <c r="K145" i="1"/>
  <c r="N145" i="1" s="1"/>
  <c r="L148" i="1"/>
  <c r="O148" i="1" s="1"/>
  <c r="K148" i="1"/>
  <c r="N148" i="1" s="1"/>
  <c r="L143" i="1"/>
  <c r="O143" i="1" s="1"/>
  <c r="K143" i="1"/>
  <c r="N143" i="1" s="1"/>
  <c r="L147" i="1"/>
  <c r="O147" i="1" s="1"/>
  <c r="K147" i="1"/>
  <c r="N147" i="1" s="1"/>
  <c r="L144" i="1"/>
  <c r="O144" i="1" s="1"/>
  <c r="K144" i="1"/>
  <c r="N144" i="1" s="1"/>
  <c r="L146" i="1"/>
  <c r="O146" i="1" s="1"/>
  <c r="K146" i="1"/>
  <c r="N146" i="1" s="1"/>
  <c r="K142" i="1"/>
  <c r="N142" i="1" s="1"/>
  <c r="L142" i="1"/>
  <c r="O142" i="1" s="1"/>
  <c r="L64" i="1"/>
  <c r="O64" i="1" s="1"/>
  <c r="K64" i="1"/>
  <c r="N64" i="1" s="1"/>
  <c r="J64" i="1"/>
  <c r="J20" i="28" s="1"/>
  <c r="L66" i="1"/>
  <c r="O66" i="1" s="1"/>
  <c r="K66" i="1"/>
  <c r="N66" i="1" s="1"/>
  <c r="J66" i="1"/>
  <c r="L63" i="1"/>
  <c r="O63" i="1" s="1"/>
  <c r="K63" i="1"/>
  <c r="N63" i="1" s="1"/>
  <c r="J63" i="1"/>
  <c r="J16" i="33" s="1"/>
  <c r="L65" i="1"/>
  <c r="O65" i="1" s="1"/>
  <c r="K65" i="1"/>
  <c r="N65" i="1" s="1"/>
  <c r="L18" i="1"/>
  <c r="O18" i="1" s="1"/>
  <c r="K18" i="1"/>
  <c r="N18" i="1" s="1"/>
  <c r="L15" i="1"/>
  <c r="O15" i="1" s="1"/>
  <c r="K15" i="1"/>
  <c r="N15" i="1" s="1"/>
  <c r="J15" i="1"/>
  <c r="J7" i="6" s="1"/>
  <c r="L26" i="1"/>
  <c r="O26" i="1" s="1"/>
  <c r="K26" i="1"/>
  <c r="N26" i="1" s="1"/>
  <c r="L29" i="1"/>
  <c r="O29" i="1" s="1"/>
  <c r="K29" i="1"/>
  <c r="N29" i="1" s="1"/>
  <c r="L28" i="1"/>
  <c r="O28" i="1" s="1"/>
  <c r="K28" i="1"/>
  <c r="N28" i="1" s="1"/>
  <c r="L20" i="1"/>
  <c r="O20" i="1" s="1"/>
  <c r="K20" i="1"/>
  <c r="N20" i="1" s="1"/>
  <c r="L17" i="1"/>
  <c r="O17" i="1" s="1"/>
  <c r="K17" i="1"/>
  <c r="N17" i="1" s="1"/>
  <c r="L25" i="1"/>
  <c r="O25" i="1" s="1"/>
  <c r="K25" i="1"/>
  <c r="N25" i="1" s="1"/>
  <c r="L24" i="1"/>
  <c r="O24" i="1" s="1"/>
  <c r="K24" i="1"/>
  <c r="N24" i="1" s="1"/>
  <c r="L21" i="1"/>
  <c r="O21" i="1" s="1"/>
  <c r="K21" i="1"/>
  <c r="N21" i="1" s="1"/>
  <c r="L23" i="1"/>
  <c r="O23" i="1" s="1"/>
  <c r="K23" i="1"/>
  <c r="N23" i="1" s="1"/>
  <c r="L19" i="1"/>
  <c r="O19" i="1" s="1"/>
  <c r="K19" i="1"/>
  <c r="N19" i="1" s="1"/>
  <c r="L22" i="1"/>
  <c r="O22" i="1" s="1"/>
  <c r="K22" i="1"/>
  <c r="N22" i="1" s="1"/>
  <c r="L16" i="1"/>
  <c r="O16" i="1" s="1"/>
  <c r="K16" i="1"/>
  <c r="N16" i="1" s="1"/>
  <c r="O94" i="1"/>
  <c r="K94" i="1"/>
  <c r="N94" i="1" s="1"/>
  <c r="L95" i="1"/>
  <c r="O95" i="1" s="1"/>
  <c r="K95" i="1"/>
  <c r="N95" i="1" s="1"/>
  <c r="L86" i="1"/>
  <c r="O86" i="1" s="1"/>
  <c r="K86" i="1"/>
  <c r="N86" i="1" s="1"/>
  <c r="L85" i="1"/>
  <c r="O85" i="1" s="1"/>
  <c r="K85" i="1"/>
  <c r="N85" i="1" s="1"/>
  <c r="J85" i="1"/>
  <c r="J17" i="72" s="1"/>
  <c r="L87" i="1"/>
  <c r="O87" i="1" s="1"/>
  <c r="K87" i="1"/>
  <c r="N87" i="1" s="1"/>
  <c r="L78" i="1"/>
  <c r="O78" i="1" s="1"/>
  <c r="K78" i="1"/>
  <c r="N78" i="1" s="1"/>
  <c r="L77" i="1"/>
  <c r="O77" i="1" s="1"/>
  <c r="K77" i="1"/>
  <c r="N77" i="1" s="1"/>
  <c r="L5" i="1"/>
  <c r="O5" i="1" s="1"/>
  <c r="K5" i="1"/>
  <c r="N5" i="1" s="1"/>
  <c r="L12" i="1"/>
  <c r="O12" i="1" s="1"/>
  <c r="K12" i="1"/>
  <c r="N12" i="1" s="1"/>
  <c r="L10" i="1"/>
  <c r="O10" i="1" s="1"/>
  <c r="K10" i="1"/>
  <c r="N10" i="1" s="1"/>
  <c r="L8" i="1"/>
  <c r="O8" i="1" s="1"/>
  <c r="K8" i="1"/>
  <c r="N8" i="1" s="1"/>
  <c r="L6" i="1"/>
  <c r="O6" i="1" s="1"/>
  <c r="K6" i="1"/>
  <c r="N6" i="1" s="1"/>
  <c r="L13" i="1"/>
  <c r="O13" i="1" s="1"/>
  <c r="K13" i="1"/>
  <c r="N13" i="1" s="1"/>
  <c r="L9" i="1"/>
  <c r="O9" i="1" s="1"/>
  <c r="K9" i="1"/>
  <c r="N9" i="1" s="1"/>
  <c r="L7" i="1"/>
  <c r="O7" i="1" s="1"/>
  <c r="K7" i="1"/>
  <c r="N7" i="1" s="1"/>
  <c r="O3" i="1"/>
  <c r="K3" i="1"/>
  <c r="N3" i="1" s="1"/>
  <c r="L49" i="1"/>
  <c r="O49" i="1" s="1"/>
  <c r="K49" i="1"/>
  <c r="N49" i="1" s="1"/>
  <c r="L35" i="1"/>
  <c r="O35" i="1" s="1"/>
  <c r="K35" i="1"/>
  <c r="N35" i="1" s="1"/>
  <c r="L55" i="1"/>
  <c r="O55" i="1" s="1"/>
  <c r="K55" i="1"/>
  <c r="N55" i="1" s="1"/>
  <c r="L50" i="1"/>
  <c r="O50" i="1" s="1"/>
  <c r="K50" i="1"/>
  <c r="N50" i="1" s="1"/>
  <c r="L54" i="1"/>
  <c r="O54" i="1" s="1"/>
  <c r="K54" i="1"/>
  <c r="N54" i="1" s="1"/>
  <c r="J54" i="1"/>
  <c r="L51" i="1"/>
  <c r="O51" i="1" s="1"/>
  <c r="K51" i="1"/>
  <c r="N51" i="1" s="1"/>
  <c r="L36" i="1"/>
  <c r="O36" i="1" s="1"/>
  <c r="K36" i="1"/>
  <c r="N36" i="1" s="1"/>
  <c r="J36" i="1"/>
  <c r="J12" i="47" s="1"/>
  <c r="L53" i="1"/>
  <c r="O53" i="1" s="1"/>
  <c r="K53" i="1"/>
  <c r="N53" i="1" s="1"/>
  <c r="L48" i="1"/>
  <c r="O48" i="1" s="1"/>
  <c r="K48" i="1"/>
  <c r="N48" i="1" s="1"/>
  <c r="L59" i="1"/>
  <c r="O59" i="1" s="1"/>
  <c r="K59" i="1"/>
  <c r="N59" i="1" s="1"/>
  <c r="J59" i="1"/>
  <c r="L39" i="1"/>
  <c r="O39" i="1" s="1"/>
  <c r="K39" i="1"/>
  <c r="N39" i="1" s="1"/>
  <c r="L40" i="1"/>
  <c r="O40" i="1" s="1"/>
  <c r="K40" i="1"/>
  <c r="N40" i="1" s="1"/>
  <c r="L43" i="1"/>
  <c r="O43" i="1" s="1"/>
  <c r="K43" i="1"/>
  <c r="N43" i="1" s="1"/>
  <c r="L41" i="1"/>
  <c r="O41" i="1" s="1"/>
  <c r="K41" i="1"/>
  <c r="N41" i="1" s="1"/>
  <c r="L42" i="1"/>
  <c r="O42" i="1" s="1"/>
  <c r="K42" i="1"/>
  <c r="N42" i="1" s="1"/>
  <c r="L60" i="1"/>
  <c r="O60" i="1" s="1"/>
  <c r="K60" i="1"/>
  <c r="N60" i="1" s="1"/>
  <c r="L52" i="1"/>
  <c r="O52" i="1" s="1"/>
  <c r="K52" i="1"/>
  <c r="N52" i="1" s="1"/>
  <c r="L57" i="1"/>
  <c r="O57" i="1" s="1"/>
  <c r="K57" i="1"/>
  <c r="N57" i="1" s="1"/>
  <c r="L56" i="1"/>
  <c r="O56" i="1" s="1"/>
  <c r="K56" i="1"/>
  <c r="N56" i="1" s="1"/>
  <c r="L47" i="1"/>
  <c r="O47" i="1" s="1"/>
  <c r="K47" i="1"/>
  <c r="N47" i="1" s="1"/>
  <c r="L44" i="1"/>
  <c r="O44" i="1" s="1"/>
  <c r="K44" i="1"/>
  <c r="N44" i="1" s="1"/>
  <c r="L45" i="1"/>
  <c r="O45" i="1" s="1"/>
  <c r="K45" i="1"/>
  <c r="N45" i="1" s="1"/>
  <c r="L46" i="1"/>
  <c r="O46" i="1" s="1"/>
  <c r="K46" i="1"/>
  <c r="N46" i="1" s="1"/>
  <c r="L61" i="1"/>
  <c r="O61" i="1" s="1"/>
  <c r="K61" i="1"/>
  <c r="N61" i="1" s="1"/>
  <c r="L37" i="1"/>
  <c r="O37" i="1" s="1"/>
  <c r="K37" i="1"/>
  <c r="N37" i="1" s="1"/>
  <c r="L38" i="1"/>
  <c r="O38" i="1" s="1"/>
  <c r="K38" i="1"/>
  <c r="N38" i="1" s="1"/>
  <c r="L58" i="1"/>
  <c r="O58" i="1" s="1"/>
  <c r="K58" i="1"/>
  <c r="N58" i="1" s="1"/>
  <c r="L97" i="1"/>
  <c r="O97" i="1" s="1"/>
  <c r="K97" i="1"/>
  <c r="N97" i="1" s="1"/>
  <c r="J97" i="1"/>
  <c r="L98" i="1"/>
  <c r="O98" i="1" s="1"/>
  <c r="K98" i="1"/>
  <c r="N98" i="1" s="1"/>
  <c r="J98" i="1"/>
  <c r="L99" i="1"/>
  <c r="O99" i="1" s="1"/>
  <c r="K99" i="1"/>
  <c r="N99" i="1" s="1"/>
  <c r="L100" i="1"/>
  <c r="O100" i="1" s="1"/>
  <c r="K100" i="1"/>
  <c r="N100" i="1" s="1"/>
  <c r="K101" i="1"/>
  <c r="N101" i="1" s="1"/>
  <c r="O137" i="1"/>
  <c r="K137" i="1"/>
  <c r="N137" i="1" s="1"/>
  <c r="J137" i="1"/>
  <c r="O115" i="1"/>
  <c r="K115" i="1"/>
  <c r="N115" i="1" s="1"/>
  <c r="O120" i="1"/>
  <c r="K120" i="1"/>
  <c r="N120" i="1" s="1"/>
  <c r="O116" i="1"/>
  <c r="K116" i="1"/>
  <c r="N116" i="1" s="1"/>
  <c r="O130" i="1"/>
  <c r="K130" i="1"/>
  <c r="N130" i="1" s="1"/>
  <c r="O113" i="1"/>
  <c r="K113" i="1"/>
  <c r="N113" i="1" s="1"/>
  <c r="O128" i="1"/>
  <c r="K128" i="1"/>
  <c r="N128" i="1" s="1"/>
  <c r="J128" i="1"/>
  <c r="J10" i="72" s="1"/>
  <c r="O129" i="1"/>
  <c r="K129" i="1"/>
  <c r="N129" i="1" s="1"/>
  <c r="J129" i="1"/>
  <c r="J9" i="72" s="1"/>
  <c r="O122" i="1"/>
  <c r="K122" i="1"/>
  <c r="N122" i="1" s="1"/>
  <c r="O112" i="1"/>
  <c r="K112" i="1"/>
  <c r="N112" i="1" s="1"/>
  <c r="O133" i="1"/>
  <c r="K133" i="1"/>
  <c r="N133" i="1" s="1"/>
  <c r="O140" i="1"/>
  <c r="K140" i="1"/>
  <c r="N140" i="1" s="1"/>
  <c r="O121" i="1"/>
  <c r="K121" i="1"/>
  <c r="N121" i="1" s="1"/>
  <c r="O126" i="1"/>
  <c r="K126" i="1"/>
  <c r="N126" i="1" s="1"/>
  <c r="O118" i="1"/>
  <c r="K118" i="1"/>
  <c r="N118" i="1" s="1"/>
  <c r="O131" i="1"/>
  <c r="K131" i="1"/>
  <c r="N131" i="1" s="1"/>
  <c r="O125" i="1"/>
  <c r="K125" i="1"/>
  <c r="N125" i="1" s="1"/>
  <c r="O124" i="1"/>
  <c r="K124" i="1"/>
  <c r="N124" i="1" s="1"/>
  <c r="O139" i="1"/>
  <c r="K139" i="1"/>
  <c r="N139" i="1" s="1"/>
  <c r="O135" i="1"/>
  <c r="K135" i="1"/>
  <c r="N135" i="1" s="1"/>
  <c r="K117" i="1"/>
  <c r="N117" i="1" s="1"/>
  <c r="K134" i="1"/>
  <c r="N134" i="1" s="1"/>
  <c r="K111" i="1"/>
  <c r="N111" i="1" s="1"/>
  <c r="K132" i="1"/>
  <c r="N132" i="1" s="1"/>
  <c r="S30" i="75"/>
  <c r="J53" i="75" s="1"/>
  <c r="I53" i="75" s="1"/>
  <c r="H53" i="75" s="1"/>
  <c r="AF28" i="72"/>
  <c r="E1" i="68"/>
  <c r="U28" i="65"/>
  <c r="V44" i="53"/>
  <c r="U44" i="53"/>
  <c r="W44" i="53" s="1"/>
  <c r="N1" i="52"/>
  <c r="J52" i="50"/>
  <c r="AD28" i="46"/>
  <c r="AA29" i="46" s="1"/>
  <c r="V44" i="46"/>
  <c r="U44" i="46"/>
  <c r="AD28" i="32"/>
  <c r="AD29" i="32" s="1"/>
  <c r="U44" i="30"/>
  <c r="V44" i="30"/>
  <c r="U44" i="29"/>
  <c r="V44" i="29"/>
  <c r="V44" i="28"/>
  <c r="U44" i="28"/>
  <c r="J52" i="27"/>
  <c r="J53" i="27" s="1"/>
  <c r="B81" i="27" s="1"/>
  <c r="C53" i="22"/>
  <c r="U44" i="21"/>
  <c r="W44" i="21" s="1"/>
  <c r="J51" i="21" s="1"/>
  <c r="I51" i="21" s="1"/>
  <c r="V44" i="21"/>
  <c r="AE28" i="21"/>
  <c r="AE28" i="20"/>
  <c r="U44" i="20"/>
  <c r="W44" i="20" s="1"/>
  <c r="V44" i="20"/>
  <c r="AC28" i="18"/>
  <c r="AE28" i="18" s="1"/>
  <c r="AB29" i="18" s="1"/>
  <c r="I52" i="16"/>
  <c r="AC28" i="15"/>
  <c r="AF28" i="15" s="1"/>
  <c r="AB29" i="15" s="1"/>
  <c r="AF28" i="9"/>
  <c r="AF29" i="9" s="1"/>
  <c r="U31" i="9"/>
  <c r="U44" i="9"/>
  <c r="V44" i="9"/>
  <c r="AC28" i="6"/>
  <c r="AF28" i="6"/>
  <c r="F67" i="6"/>
  <c r="AM12" i="53"/>
  <c r="AO12" i="53" s="1"/>
  <c r="AP12" i="53" s="1"/>
  <c r="AS12" i="53" s="1"/>
  <c r="AT12" i="53" s="1"/>
  <c r="AM11" i="53"/>
  <c r="AO11" i="53" s="1"/>
  <c r="AP11" i="53" s="1"/>
  <c r="AS11" i="53" s="1"/>
  <c r="AT11" i="53" s="1"/>
  <c r="AM10" i="53"/>
  <c r="AM9" i="53"/>
  <c r="AO9" i="53" s="1"/>
  <c r="AP9" i="53" s="1"/>
  <c r="AS9" i="53" s="1"/>
  <c r="AT9" i="53" s="1"/>
  <c r="AM5" i="53"/>
  <c r="AO5" i="53" s="1"/>
  <c r="AP5" i="53" s="1"/>
  <c r="AM8" i="53"/>
  <c r="AO8" i="53" s="1"/>
  <c r="AP8" i="53" s="1"/>
  <c r="AS8" i="53" s="1"/>
  <c r="AT8" i="53" s="1"/>
  <c r="AM6" i="53"/>
  <c r="AM7" i="53"/>
  <c r="AO7" i="53" s="1"/>
  <c r="AP7" i="53" s="1"/>
  <c r="AS7" i="53" s="1"/>
  <c r="AT7" i="53" s="1"/>
  <c r="E1" i="50"/>
  <c r="J15" i="92" l="1"/>
  <c r="L15" i="92" s="1"/>
  <c r="J15" i="4"/>
  <c r="E15" i="85"/>
  <c r="G15" i="85" s="1"/>
  <c r="H15" i="85" s="1"/>
  <c r="K15" i="85" s="1"/>
  <c r="L15" i="85" s="1"/>
  <c r="E9" i="85"/>
  <c r="G9" i="85" s="1"/>
  <c r="H9" i="85" s="1"/>
  <c r="K9" i="85" s="1"/>
  <c r="L9" i="85" s="1"/>
  <c r="E17" i="85"/>
  <c r="G17" i="85" s="1"/>
  <c r="H17" i="85" s="1"/>
  <c r="K17" i="85" s="1"/>
  <c r="L17" i="85" s="1"/>
  <c r="E14" i="85"/>
  <c r="G14" i="85" s="1"/>
  <c r="H14" i="85" s="1"/>
  <c r="K14" i="85" s="1"/>
  <c r="L14" i="85" s="1"/>
  <c r="E16" i="85"/>
  <c r="G16" i="85" s="1"/>
  <c r="H16" i="85" s="1"/>
  <c r="K16" i="85" s="1"/>
  <c r="L16" i="85" s="1"/>
  <c r="E6" i="85"/>
  <c r="G6" i="85" s="1"/>
  <c r="H6" i="85" s="1"/>
  <c r="K6" i="85" s="1"/>
  <c r="L6" i="85" s="1"/>
  <c r="E18" i="85"/>
  <c r="G18" i="85" s="1"/>
  <c r="H18" i="85" s="1"/>
  <c r="K18" i="85" s="1"/>
  <c r="L18" i="85" s="1"/>
  <c r="E20" i="85"/>
  <c r="G20" i="85" s="1"/>
  <c r="H20" i="85" s="1"/>
  <c r="K20" i="85" s="1"/>
  <c r="L20" i="85" s="1"/>
  <c r="T32" i="47"/>
  <c r="T32" i="46"/>
  <c r="E1" i="46" s="1"/>
  <c r="E10" i="85"/>
  <c r="G10" i="85" s="1"/>
  <c r="H10" i="85" s="1"/>
  <c r="K10" i="85" s="1"/>
  <c r="L10" i="85" s="1"/>
  <c r="E11" i="85"/>
  <c r="G11" i="85" s="1"/>
  <c r="H11" i="85" s="1"/>
  <c r="K11" i="85" s="1"/>
  <c r="L11" i="85" s="1"/>
  <c r="T32" i="5"/>
  <c r="E1" i="5" s="1"/>
  <c r="S32" i="69"/>
  <c r="U32" i="69" s="1"/>
  <c r="AE30" i="69" s="1"/>
  <c r="S32" i="43"/>
  <c r="T32" i="41"/>
  <c r="E1" i="41" s="1"/>
  <c r="T32" i="25"/>
  <c r="E1" i="25" s="1"/>
  <c r="T32" i="21"/>
  <c r="E1" i="21" s="1"/>
  <c r="S32" i="21"/>
  <c r="AO1" i="21" s="1"/>
  <c r="AM8" i="21" s="1"/>
  <c r="AO8" i="21" s="1"/>
  <c r="AP8" i="21" s="1"/>
  <c r="AS8" i="21" s="1"/>
  <c r="AT8" i="21" s="1"/>
  <c r="S32" i="17"/>
  <c r="T32" i="61"/>
  <c r="E1" i="61" s="1"/>
  <c r="S32" i="3"/>
  <c r="AM1" i="3" s="1"/>
  <c r="AO1" i="3" s="1"/>
  <c r="S32" i="25"/>
  <c r="T32" i="72"/>
  <c r="AE29" i="20"/>
  <c r="AC29" i="20"/>
  <c r="U44" i="8"/>
  <c r="W44" i="8" s="1"/>
  <c r="J51" i="8" s="1"/>
  <c r="I51" i="8" s="1"/>
  <c r="V44" i="8"/>
  <c r="V44" i="57"/>
  <c r="U44" i="57"/>
  <c r="W44" i="57" s="1"/>
  <c r="J51" i="57" s="1"/>
  <c r="I51" i="57" s="1"/>
  <c r="V44" i="43"/>
  <c r="U44" i="43"/>
  <c r="U44" i="6"/>
  <c r="V44" i="6"/>
  <c r="U44" i="18"/>
  <c r="W44" i="18" s="1"/>
  <c r="J51" i="18" s="1"/>
  <c r="V44" i="18"/>
  <c r="H51" i="20"/>
  <c r="D65" i="20"/>
  <c r="D108" i="20"/>
  <c r="D87" i="20"/>
  <c r="V44" i="32"/>
  <c r="U44" i="32"/>
  <c r="W44" i="32" s="1"/>
  <c r="J51" i="32" s="1"/>
  <c r="I51" i="32" s="1"/>
  <c r="D5" i="32" s="1"/>
  <c r="T32" i="62"/>
  <c r="E1" i="62" s="1"/>
  <c r="S32" i="70"/>
  <c r="F8" i="6"/>
  <c r="T30" i="38"/>
  <c r="T32" i="70"/>
  <c r="T32" i="26"/>
  <c r="E1" i="26" s="1"/>
  <c r="D6" i="52"/>
  <c r="W52" i="52"/>
  <c r="T30" i="40"/>
  <c r="T32" i="59"/>
  <c r="E1" i="59" s="1"/>
  <c r="T32" i="44"/>
  <c r="E1" i="44" s="1"/>
  <c r="T30" i="55"/>
  <c r="S32" i="5"/>
  <c r="J52" i="5" s="1"/>
  <c r="I52" i="5" s="1"/>
  <c r="S32" i="19"/>
  <c r="J52" i="19" s="1"/>
  <c r="I52" i="19" s="1"/>
  <c r="E66" i="84"/>
  <c r="G66" i="84" s="1"/>
  <c r="H66" i="84" s="1"/>
  <c r="E65" i="84"/>
  <c r="G65" i="84" s="1"/>
  <c r="H65" i="84" s="1"/>
  <c r="E68" i="84"/>
  <c r="G68" i="84" s="1"/>
  <c r="H68" i="84" s="1"/>
  <c r="E67" i="84"/>
  <c r="G67" i="84" s="1"/>
  <c r="H67" i="84" s="1"/>
  <c r="S32" i="57"/>
  <c r="U32" i="57" s="1"/>
  <c r="AE30" i="57" s="1"/>
  <c r="S32" i="20"/>
  <c r="S32" i="49"/>
  <c r="J52" i="49" s="1"/>
  <c r="U44" i="60"/>
  <c r="W44" i="60" s="1"/>
  <c r="V44" i="60"/>
  <c r="T30" i="24"/>
  <c r="S32" i="48"/>
  <c r="T32" i="49"/>
  <c r="E1" i="49" s="1"/>
  <c r="S32" i="72"/>
  <c r="T32" i="71"/>
  <c r="E1" i="71" s="1"/>
  <c r="S32" i="41"/>
  <c r="S32" i="62"/>
  <c r="J52" i="62" s="1"/>
  <c r="AB29" i="6"/>
  <c r="AD29" i="6"/>
  <c r="U44" i="37"/>
  <c r="V44" i="37"/>
  <c r="AC28" i="77"/>
  <c r="T32" i="7"/>
  <c r="E1" i="7" s="1"/>
  <c r="G1" i="7" s="1"/>
  <c r="I1" i="7" s="1"/>
  <c r="V44" i="15"/>
  <c r="E1" i="3"/>
  <c r="V44" i="3"/>
  <c r="AC28" i="35"/>
  <c r="AC28" i="34"/>
  <c r="J15" i="74"/>
  <c r="J24" i="75"/>
  <c r="J37" i="88"/>
  <c r="L37" i="88" s="1"/>
  <c r="U33" i="88" s="1"/>
  <c r="AB30" i="88" s="1"/>
  <c r="J37" i="66"/>
  <c r="L37" i="66" s="1"/>
  <c r="U33" i="66" s="1"/>
  <c r="J36" i="4"/>
  <c r="L36" i="4" s="1"/>
  <c r="V35" i="4" s="1"/>
  <c r="AD30" i="4" s="1"/>
  <c r="J24" i="33"/>
  <c r="J16" i="92"/>
  <c r="L16" i="92" s="1"/>
  <c r="S32" i="71"/>
  <c r="T32" i="29"/>
  <c r="S32" i="7"/>
  <c r="T30" i="51"/>
  <c r="AB30" i="51" s="1"/>
  <c r="S32" i="47"/>
  <c r="S32" i="46"/>
  <c r="J52" i="46" s="1"/>
  <c r="AO1" i="28"/>
  <c r="AM10" i="28" s="1"/>
  <c r="AO10" i="28" s="1"/>
  <c r="AP10" i="28" s="1"/>
  <c r="AS10" i="28" s="1"/>
  <c r="AT10" i="28" s="1"/>
  <c r="S32" i="18"/>
  <c r="AM1" i="18" s="1"/>
  <c r="AB29" i="32"/>
  <c r="AA29" i="32"/>
  <c r="AE29" i="21"/>
  <c r="AB29" i="21"/>
  <c r="AC29" i="21"/>
  <c r="AB29" i="20"/>
  <c r="AA29" i="20"/>
  <c r="AC29" i="18"/>
  <c r="AE29" i="18"/>
  <c r="T32" i="17"/>
  <c r="E1" i="17" s="1"/>
  <c r="AC29" i="15"/>
  <c r="AF29" i="15"/>
  <c r="AB29" i="9"/>
  <c r="AC29" i="6"/>
  <c r="AF29" i="6"/>
  <c r="S32" i="61"/>
  <c r="AA30" i="61" s="1"/>
  <c r="S32" i="59"/>
  <c r="J52" i="59" s="1"/>
  <c r="T32" i="58"/>
  <c r="S32" i="44"/>
  <c r="J52" i="44" s="1"/>
  <c r="S32" i="26"/>
  <c r="AM1" i="26" s="1"/>
  <c r="T32" i="15"/>
  <c r="E1" i="15" s="1"/>
  <c r="D52" i="15" s="1"/>
  <c r="S32" i="15"/>
  <c r="AO1" i="15" s="1"/>
  <c r="T30" i="10"/>
  <c r="AB30" i="10" s="1"/>
  <c r="AF28" i="30"/>
  <c r="AC29" i="30" s="1"/>
  <c r="AC28" i="28"/>
  <c r="AF28" i="60"/>
  <c r="AB29" i="60" s="1"/>
  <c r="V44" i="5"/>
  <c r="U44" i="5"/>
  <c r="W44" i="5" s="1"/>
  <c r="J51" i="5" s="1"/>
  <c r="I51" i="5" s="1"/>
  <c r="AE28" i="5"/>
  <c r="AA29" i="5" s="1"/>
  <c r="J11" i="4"/>
  <c r="J15" i="88"/>
  <c r="L15" i="88" s="1"/>
  <c r="S33" i="88" s="1"/>
  <c r="J9" i="71"/>
  <c r="J18" i="15"/>
  <c r="J15" i="3"/>
  <c r="J17" i="87"/>
  <c r="J10" i="19"/>
  <c r="J16" i="74"/>
  <c r="J18" i="7"/>
  <c r="J9" i="16"/>
  <c r="J11" i="27"/>
  <c r="J17" i="20"/>
  <c r="J11" i="23"/>
  <c r="J11" i="26"/>
  <c r="J10" i="29"/>
  <c r="J10" i="30"/>
  <c r="J15" i="31"/>
  <c r="J15" i="32"/>
  <c r="J15" i="33"/>
  <c r="J15" i="44"/>
  <c r="J9" i="42"/>
  <c r="J17" i="43"/>
  <c r="J15" i="45"/>
  <c r="J10" i="46"/>
  <c r="J14" i="48"/>
  <c r="J15" i="49"/>
  <c r="J8" i="51"/>
  <c r="J14" i="62"/>
  <c r="J14" i="59"/>
  <c r="J17" i="60"/>
  <c r="J10" i="64"/>
  <c r="J21" i="69"/>
  <c r="J13" i="70"/>
  <c r="J25" i="5"/>
  <c r="J22" i="33"/>
  <c r="J26" i="17"/>
  <c r="J15" i="29"/>
  <c r="J20" i="58"/>
  <c r="J16" i="87"/>
  <c r="J23" i="33"/>
  <c r="J8" i="12"/>
  <c r="T32" i="73"/>
  <c r="S32" i="37"/>
  <c r="T30" i="77"/>
  <c r="T30" i="66"/>
  <c r="T30" i="34"/>
  <c r="AB30" i="34" s="1"/>
  <c r="T30" i="23"/>
  <c r="AB30" i="23" s="1"/>
  <c r="T32" i="18"/>
  <c r="E1" i="18" s="1"/>
  <c r="C53" i="84"/>
  <c r="T34" i="22"/>
  <c r="U32" i="22"/>
  <c r="E68" i="22"/>
  <c r="D53" i="22"/>
  <c r="G68" i="22" s="1"/>
  <c r="E126" i="88"/>
  <c r="G126" i="88" s="1"/>
  <c r="H126" i="88" s="1"/>
  <c r="E120" i="88"/>
  <c r="G120" i="88" s="1"/>
  <c r="H120" i="88" s="1"/>
  <c r="E119" i="88"/>
  <c r="G119" i="88" s="1"/>
  <c r="H119" i="88" s="1"/>
  <c r="E118" i="88"/>
  <c r="G118" i="88" s="1"/>
  <c r="H118" i="88" s="1"/>
  <c r="E123" i="88"/>
  <c r="G123" i="88" s="1"/>
  <c r="H123" i="88" s="1"/>
  <c r="E128" i="88"/>
  <c r="G128" i="88" s="1"/>
  <c r="H128" i="88" s="1"/>
  <c r="E127" i="88"/>
  <c r="G127" i="88" s="1"/>
  <c r="H127" i="88" s="1"/>
  <c r="E125" i="88"/>
  <c r="G125" i="88" s="1"/>
  <c r="H125" i="88" s="1"/>
  <c r="E124" i="88"/>
  <c r="G124" i="88" s="1"/>
  <c r="H124" i="88" s="1"/>
  <c r="E122" i="88"/>
  <c r="G122" i="88" s="1"/>
  <c r="H122" i="88" s="1"/>
  <c r="E121" i="88"/>
  <c r="G121" i="88" s="1"/>
  <c r="H121" i="88" s="1"/>
  <c r="H57" i="88"/>
  <c r="W44" i="66"/>
  <c r="J51" i="66" s="1"/>
  <c r="I51" i="66" s="1"/>
  <c r="D5" i="66" s="1"/>
  <c r="C51" i="67"/>
  <c r="R44" i="62"/>
  <c r="J51" i="53"/>
  <c r="I51" i="53" s="1"/>
  <c r="V54" i="52"/>
  <c r="D8" i="52" s="1"/>
  <c r="L1" i="52"/>
  <c r="J1" i="52"/>
  <c r="W44" i="46"/>
  <c r="J51" i="46" s="1"/>
  <c r="W44" i="43"/>
  <c r="J51" i="43" s="1"/>
  <c r="I51" i="43" s="1"/>
  <c r="W44" i="37"/>
  <c r="J51" i="37" s="1"/>
  <c r="I51" i="37" s="1"/>
  <c r="W44" i="30"/>
  <c r="J51" i="30" s="1"/>
  <c r="I51" i="30" s="1"/>
  <c r="D5" i="30"/>
  <c r="W44" i="29"/>
  <c r="J51" i="29" s="1"/>
  <c r="I51" i="29" s="1"/>
  <c r="W44" i="28"/>
  <c r="J51" i="28" s="1"/>
  <c r="R44" i="26"/>
  <c r="U44" i="26" s="1"/>
  <c r="W44" i="26" s="1"/>
  <c r="J51" i="26" s="1"/>
  <c r="AE28" i="26"/>
  <c r="AE29" i="26" s="1"/>
  <c r="AE28" i="22"/>
  <c r="D65" i="22"/>
  <c r="V44" i="22"/>
  <c r="U44" i="22"/>
  <c r="W44" i="22" s="1"/>
  <c r="J51" i="22" s="1"/>
  <c r="I51" i="22" s="1"/>
  <c r="H51" i="22" s="1"/>
  <c r="D5" i="21"/>
  <c r="D65" i="21" s="1"/>
  <c r="I51" i="18"/>
  <c r="V44" i="17"/>
  <c r="U44" i="17"/>
  <c r="W44" i="17" s="1"/>
  <c r="J51" i="17" s="1"/>
  <c r="I51" i="17" s="1"/>
  <c r="W44" i="4"/>
  <c r="J49" i="4" s="1"/>
  <c r="I49" i="4" s="1"/>
  <c r="I51" i="15"/>
  <c r="D5" i="15" s="1"/>
  <c r="U31" i="11"/>
  <c r="U44" i="11"/>
  <c r="V44" i="11"/>
  <c r="AC28" i="11"/>
  <c r="W44" i="9"/>
  <c r="J51" i="9" s="1"/>
  <c r="I51" i="9" s="1"/>
  <c r="D5" i="9" s="1"/>
  <c r="W44" i="6"/>
  <c r="J51" i="6" s="1"/>
  <c r="I51" i="6" s="1"/>
  <c r="D5" i="6" s="1"/>
  <c r="W44" i="3"/>
  <c r="U31" i="4"/>
  <c r="AB28" i="4"/>
  <c r="AE28" i="4" s="1"/>
  <c r="AA29" i="4" s="1"/>
  <c r="R44" i="25"/>
  <c r="Q16" i="25"/>
  <c r="P16" i="25"/>
  <c r="T14" i="25"/>
  <c r="AE29" i="25"/>
  <c r="AB29" i="25"/>
  <c r="D66" i="16"/>
  <c r="D86" i="16"/>
  <c r="D129" i="16"/>
  <c r="G129" i="16" s="1"/>
  <c r="H129" i="16" s="1"/>
  <c r="D108" i="16"/>
  <c r="H52" i="16"/>
  <c r="E9" i="75"/>
  <c r="O138" i="1"/>
  <c r="N138" i="1"/>
  <c r="AF29" i="72"/>
  <c r="AB29" i="72"/>
  <c r="AD29" i="72"/>
  <c r="AC29" i="72"/>
  <c r="D1" i="77"/>
  <c r="G5" i="77" s="1"/>
  <c r="I1" i="83"/>
  <c r="E8" i="83" s="1"/>
  <c r="G8" i="83" s="1"/>
  <c r="H8" i="83" s="1"/>
  <c r="K8" i="83" s="1"/>
  <c r="L8" i="83" s="1"/>
  <c r="T34" i="20"/>
  <c r="E1" i="4"/>
  <c r="G1" i="4" s="1"/>
  <c r="C52" i="83"/>
  <c r="J52" i="77"/>
  <c r="I52" i="77" s="1"/>
  <c r="U28" i="64"/>
  <c r="E1" i="57"/>
  <c r="G1" i="82"/>
  <c r="D52" i="82"/>
  <c r="B70" i="82" s="1"/>
  <c r="E1" i="28"/>
  <c r="D52" i="28" s="1"/>
  <c r="J52" i="34"/>
  <c r="J53" i="34" s="1"/>
  <c r="B72" i="34" s="1"/>
  <c r="H72" i="34" s="1"/>
  <c r="AO1" i="29"/>
  <c r="AM6" i="29" s="1"/>
  <c r="AO6" i="29" s="1"/>
  <c r="AP6" i="29" s="1"/>
  <c r="AS6" i="29" s="1"/>
  <c r="AT6" i="29" s="1"/>
  <c r="J52" i="33"/>
  <c r="I52" i="33" s="1"/>
  <c r="E1" i="20"/>
  <c r="G1" i="20" s="1"/>
  <c r="I1" i="20" s="1"/>
  <c r="T28" i="65"/>
  <c r="T31" i="57"/>
  <c r="U31" i="57" s="1"/>
  <c r="U34" i="62"/>
  <c r="U30" i="58"/>
  <c r="U34" i="65"/>
  <c r="R44" i="56"/>
  <c r="R44" i="65"/>
  <c r="R44" i="67"/>
  <c r="R44" i="58"/>
  <c r="R44" i="74"/>
  <c r="T34" i="56"/>
  <c r="V44" i="75"/>
  <c r="U44" i="75"/>
  <c r="W44" i="75" s="1"/>
  <c r="J52" i="75" s="1"/>
  <c r="AE28" i="75"/>
  <c r="AB29" i="75" s="1"/>
  <c r="AD28" i="74"/>
  <c r="V44" i="73"/>
  <c r="U44" i="73"/>
  <c r="W44" i="73" s="1"/>
  <c r="J51" i="73" s="1"/>
  <c r="I51" i="73" s="1"/>
  <c r="AE28" i="73"/>
  <c r="V44" i="72"/>
  <c r="U44" i="72"/>
  <c r="W44" i="72" s="1"/>
  <c r="J51" i="72" s="1"/>
  <c r="I51" i="72" s="1"/>
  <c r="U44" i="71"/>
  <c r="W44" i="71" s="1"/>
  <c r="J51" i="71" s="1"/>
  <c r="I51" i="71" s="1"/>
  <c r="V44" i="71"/>
  <c r="AF28" i="71"/>
  <c r="AB29" i="71" s="1"/>
  <c r="V44" i="70"/>
  <c r="U44" i="70"/>
  <c r="W44" i="70" s="1"/>
  <c r="J51" i="70" s="1"/>
  <c r="I51" i="70" s="1"/>
  <c r="AF28" i="70"/>
  <c r="AB29" i="70" s="1"/>
  <c r="AB28" i="67"/>
  <c r="AE28" i="67" s="1"/>
  <c r="AE29" i="67" s="1"/>
  <c r="AC28" i="66"/>
  <c r="AC29" i="66" s="1"/>
  <c r="S40" i="66"/>
  <c r="D73" i="66"/>
  <c r="D105" i="66"/>
  <c r="D153" i="66"/>
  <c r="D88" i="66"/>
  <c r="D137" i="66"/>
  <c r="D121" i="66"/>
  <c r="D152" i="66"/>
  <c r="D120" i="66"/>
  <c r="D104" i="66"/>
  <c r="D72" i="66"/>
  <c r="D87" i="66"/>
  <c r="D136" i="66"/>
  <c r="D103" i="66"/>
  <c r="D86" i="66"/>
  <c r="D71" i="66"/>
  <c r="D119" i="66"/>
  <c r="D151" i="66"/>
  <c r="D135" i="66"/>
  <c r="D118" i="66"/>
  <c r="D102" i="66"/>
  <c r="D134" i="66"/>
  <c r="D70" i="66"/>
  <c r="D150" i="66"/>
  <c r="D85" i="66"/>
  <c r="D149" i="66"/>
  <c r="D101" i="66"/>
  <c r="D133" i="66"/>
  <c r="D117" i="66"/>
  <c r="D84" i="66"/>
  <c r="D69" i="66"/>
  <c r="D68" i="66"/>
  <c r="D148" i="66"/>
  <c r="D132" i="66"/>
  <c r="D116" i="66"/>
  <c r="D83" i="66"/>
  <c r="D100" i="66"/>
  <c r="D147" i="66"/>
  <c r="D131" i="66"/>
  <c r="D99" i="66"/>
  <c r="D115" i="66"/>
  <c r="D82" i="66"/>
  <c r="D67" i="66"/>
  <c r="D66" i="66"/>
  <c r="D98" i="66"/>
  <c r="D146" i="66"/>
  <c r="D130" i="66"/>
  <c r="D114" i="66"/>
  <c r="D81" i="66"/>
  <c r="J52" i="65"/>
  <c r="V44" i="61"/>
  <c r="U44" i="61"/>
  <c r="W44" i="61" s="1"/>
  <c r="J51" i="61" s="1"/>
  <c r="I51" i="61" s="1"/>
  <c r="AC28" i="61"/>
  <c r="AE28" i="61"/>
  <c r="AE29" i="61" s="1"/>
  <c r="AD28" i="59"/>
  <c r="U44" i="59"/>
  <c r="W44" i="59" s="1"/>
  <c r="J51" i="59" s="1"/>
  <c r="I51" i="59" s="1"/>
  <c r="V44" i="59"/>
  <c r="U29" i="58"/>
  <c r="AD28" i="58"/>
  <c r="AA29" i="58" s="1"/>
  <c r="AF28" i="57"/>
  <c r="E1" i="56"/>
  <c r="T31" i="56"/>
  <c r="U31" i="56" s="1"/>
  <c r="R44" i="48"/>
  <c r="J51" i="51"/>
  <c r="I51" i="51" s="1"/>
  <c r="D5" i="51" s="1"/>
  <c r="D124" i="51" s="1"/>
  <c r="E1" i="43"/>
  <c r="AM1" i="79"/>
  <c r="R44" i="47"/>
  <c r="AC28" i="51"/>
  <c r="AC29" i="51" s="1"/>
  <c r="AD28" i="49"/>
  <c r="U44" i="49"/>
  <c r="W44" i="49" s="1"/>
  <c r="J51" i="49" s="1"/>
  <c r="I51" i="49" s="1"/>
  <c r="V44" i="49"/>
  <c r="AA29" i="48"/>
  <c r="AB28" i="47"/>
  <c r="AD28" i="47" s="1"/>
  <c r="AD29" i="44"/>
  <c r="U44" i="44"/>
  <c r="W44" i="44" s="1"/>
  <c r="J51" i="44" s="1"/>
  <c r="I51" i="44" s="1"/>
  <c r="V44" i="44"/>
  <c r="AE28" i="41"/>
  <c r="AB29" i="41" s="1"/>
  <c r="U44" i="41"/>
  <c r="W44" i="41" s="1"/>
  <c r="J51" i="41" s="1"/>
  <c r="I51" i="41" s="1"/>
  <c r="V44" i="41"/>
  <c r="T28" i="53"/>
  <c r="T32" i="53" s="1"/>
  <c r="S28" i="53"/>
  <c r="S32" i="53" s="1"/>
  <c r="AD28" i="79"/>
  <c r="AA29" i="79" s="1"/>
  <c r="W53" i="52"/>
  <c r="AD29" i="46"/>
  <c r="AB29" i="46"/>
  <c r="I51" i="46"/>
  <c r="S28" i="67"/>
  <c r="S32" i="67" s="1"/>
  <c r="T28" i="67"/>
  <c r="T32" i="67" s="1"/>
  <c r="E1" i="67"/>
  <c r="U30" i="65"/>
  <c r="U32" i="65" s="1"/>
  <c r="T34" i="57"/>
  <c r="C51" i="48"/>
  <c r="AO10" i="53"/>
  <c r="AP10" i="53" s="1"/>
  <c r="AS10" i="53" s="1"/>
  <c r="AT10" i="53" s="1"/>
  <c r="AO6" i="53"/>
  <c r="AP6" i="53" s="1"/>
  <c r="AS6" i="53" s="1"/>
  <c r="AT6" i="53" s="1"/>
  <c r="G5" i="34"/>
  <c r="U29" i="30"/>
  <c r="I53" i="27"/>
  <c r="R44" i="33"/>
  <c r="AD28" i="33"/>
  <c r="E1" i="33"/>
  <c r="U29" i="20"/>
  <c r="U32" i="20" s="1"/>
  <c r="AD30" i="20" s="1"/>
  <c r="E1" i="8"/>
  <c r="D5" i="77"/>
  <c r="W44" i="23"/>
  <c r="J51" i="23" s="1"/>
  <c r="I51" i="23" s="1"/>
  <c r="AC28" i="23"/>
  <c r="AC29" i="23" s="1"/>
  <c r="C54" i="22"/>
  <c r="D54" i="22" s="1"/>
  <c r="AB28" i="19"/>
  <c r="AD28" i="19" s="1"/>
  <c r="U44" i="19"/>
  <c r="W44" i="19" s="1"/>
  <c r="V44" i="19"/>
  <c r="E1" i="16"/>
  <c r="I1" i="84"/>
  <c r="W44" i="10"/>
  <c r="J51" i="10" s="1"/>
  <c r="I51" i="10" s="1"/>
  <c r="D5" i="10" s="1"/>
  <c r="D1" i="10"/>
  <c r="H5" i="10" s="1"/>
  <c r="T34" i="11"/>
  <c r="R44" i="7"/>
  <c r="AB28" i="7"/>
  <c r="C51" i="7"/>
  <c r="R44" i="69"/>
  <c r="J52" i="10"/>
  <c r="J53" i="10" s="1"/>
  <c r="B71" i="10" s="1"/>
  <c r="E9" i="11"/>
  <c r="U29" i="7"/>
  <c r="U32" i="7" s="1"/>
  <c r="AD30" i="7" s="1"/>
  <c r="T34" i="73"/>
  <c r="U29" i="73"/>
  <c r="I52" i="56"/>
  <c r="I52" i="58"/>
  <c r="G9" i="75"/>
  <c r="I52" i="73"/>
  <c r="J52" i="51"/>
  <c r="D1" i="51"/>
  <c r="H5" i="51" s="1"/>
  <c r="K5" i="51" s="1"/>
  <c r="AM1" i="58"/>
  <c r="AO1" i="58"/>
  <c r="AO1" i="56"/>
  <c r="AM1" i="56"/>
  <c r="G1" i="50"/>
  <c r="I1" i="50" s="1"/>
  <c r="E15" i="50" s="1"/>
  <c r="G15" i="50" s="1"/>
  <c r="H15" i="50" s="1"/>
  <c r="K15" i="50" s="1"/>
  <c r="L15" i="50" s="1"/>
  <c r="D52" i="50"/>
  <c r="D89" i="35"/>
  <c r="D65" i="35"/>
  <c r="D76" i="35"/>
  <c r="D65" i="34"/>
  <c r="D91" i="34"/>
  <c r="D77" i="34"/>
  <c r="T30" i="35"/>
  <c r="D1" i="35"/>
  <c r="H5" i="35" s="1"/>
  <c r="K5" i="35" s="1"/>
  <c r="L5" i="35" s="1"/>
  <c r="S33" i="35" s="1"/>
  <c r="J52" i="35"/>
  <c r="E1" i="79"/>
  <c r="AO1" i="79"/>
  <c r="U32" i="36"/>
  <c r="K5" i="34"/>
  <c r="L5" i="34" s="1"/>
  <c r="I52" i="32"/>
  <c r="S30" i="78"/>
  <c r="D52" i="68"/>
  <c r="B74" i="68" s="1"/>
  <c r="G1" i="68"/>
  <c r="U30" i="79"/>
  <c r="J53" i="50"/>
  <c r="B83" i="50" s="1"/>
  <c r="I52" i="50"/>
  <c r="H52" i="50" s="1"/>
  <c r="E1" i="39"/>
  <c r="I52" i="27"/>
  <c r="E1" i="27"/>
  <c r="J53" i="16"/>
  <c r="B81" i="16" s="1"/>
  <c r="E1" i="12"/>
  <c r="AM8" i="36"/>
  <c r="AO8" i="36" s="1"/>
  <c r="AP8" i="36" s="1"/>
  <c r="AS8" i="36" s="1"/>
  <c r="AT8" i="36" s="1"/>
  <c r="AM13" i="36"/>
  <c r="AO13" i="36" s="1"/>
  <c r="AP13" i="36" s="1"/>
  <c r="AS13" i="36" s="1"/>
  <c r="AT13" i="36" s="1"/>
  <c r="AM7" i="36"/>
  <c r="AO7" i="36" s="1"/>
  <c r="AP7" i="36" s="1"/>
  <c r="AS7" i="36" s="1"/>
  <c r="AT7" i="36" s="1"/>
  <c r="AM12" i="36"/>
  <c r="AO12" i="36" s="1"/>
  <c r="AP12" i="36" s="1"/>
  <c r="AS12" i="36" s="1"/>
  <c r="AT12" i="36" s="1"/>
  <c r="AM9" i="36"/>
  <c r="AO9" i="36" s="1"/>
  <c r="AP9" i="36" s="1"/>
  <c r="AS9" i="36" s="1"/>
  <c r="AT9" i="36" s="1"/>
  <c r="AM6" i="36"/>
  <c r="AO6" i="36" s="1"/>
  <c r="AP6" i="36" s="1"/>
  <c r="AS6" i="36" s="1"/>
  <c r="AT6" i="36" s="1"/>
  <c r="AM5" i="36"/>
  <c r="AO5" i="36" s="1"/>
  <c r="AP5" i="36" s="1"/>
  <c r="AM11" i="36"/>
  <c r="AO11" i="36" s="1"/>
  <c r="AP11" i="36" s="1"/>
  <c r="AS11" i="36" s="1"/>
  <c r="AT11" i="36" s="1"/>
  <c r="AM10" i="36"/>
  <c r="AO10" i="36" s="1"/>
  <c r="AP10" i="36" s="1"/>
  <c r="AS10" i="36" s="1"/>
  <c r="AT10" i="36" s="1"/>
  <c r="AM1" i="36"/>
  <c r="AM9" i="30"/>
  <c r="AO9" i="30" s="1"/>
  <c r="AP9" i="30" s="1"/>
  <c r="AS9" i="30" s="1"/>
  <c r="AT9" i="30" s="1"/>
  <c r="AM6" i="30"/>
  <c r="AO6" i="30" s="1"/>
  <c r="AP6" i="30" s="1"/>
  <c r="AS6" i="30" s="1"/>
  <c r="AT6" i="30" s="1"/>
  <c r="AM10" i="30"/>
  <c r="AO10" i="30" s="1"/>
  <c r="AP10" i="30" s="1"/>
  <c r="AS10" i="30" s="1"/>
  <c r="AT10" i="30" s="1"/>
  <c r="AM11" i="30"/>
  <c r="AO11" i="30" s="1"/>
  <c r="AP11" i="30" s="1"/>
  <c r="AS11" i="30" s="1"/>
  <c r="AT11" i="30" s="1"/>
  <c r="AM5" i="30"/>
  <c r="AO5" i="30" s="1"/>
  <c r="AP5" i="30" s="1"/>
  <c r="AM13" i="30"/>
  <c r="AO13" i="30" s="1"/>
  <c r="AP13" i="30" s="1"/>
  <c r="AS13" i="30" s="1"/>
  <c r="AT13" i="30" s="1"/>
  <c r="AM8" i="30"/>
  <c r="AO8" i="30" s="1"/>
  <c r="AP8" i="30" s="1"/>
  <c r="AS8" i="30" s="1"/>
  <c r="AT8" i="30" s="1"/>
  <c r="AM12" i="30"/>
  <c r="AO12" i="30" s="1"/>
  <c r="AP12" i="30" s="1"/>
  <c r="AS12" i="30" s="1"/>
  <c r="AT12" i="30" s="1"/>
  <c r="AM7" i="30"/>
  <c r="AO7" i="30" s="1"/>
  <c r="AP7" i="30" s="1"/>
  <c r="AS7" i="30" s="1"/>
  <c r="AT7" i="30" s="1"/>
  <c r="J52" i="30"/>
  <c r="AM1" i="30"/>
  <c r="K5" i="23"/>
  <c r="J52" i="23"/>
  <c r="AO1" i="22"/>
  <c r="AM1" i="22"/>
  <c r="E1" i="19"/>
  <c r="G9" i="11"/>
  <c r="E28" i="11" s="1"/>
  <c r="G28" i="11" s="1"/>
  <c r="H28" i="11" s="1"/>
  <c r="K28" i="11" s="1"/>
  <c r="L28" i="11" s="1"/>
  <c r="E1" i="11"/>
  <c r="AM13" i="9"/>
  <c r="AO13" i="9" s="1"/>
  <c r="AP13" i="9" s="1"/>
  <c r="AS13" i="9" s="1"/>
  <c r="AT13" i="9" s="1"/>
  <c r="AM5" i="9"/>
  <c r="AO5" i="9" s="1"/>
  <c r="AP5" i="9" s="1"/>
  <c r="AM6" i="9"/>
  <c r="AO6" i="9" s="1"/>
  <c r="AP6" i="9" s="1"/>
  <c r="AS6" i="9" s="1"/>
  <c r="AT6" i="9" s="1"/>
  <c r="AM14" i="9"/>
  <c r="AO14" i="9" s="1"/>
  <c r="AP14" i="9" s="1"/>
  <c r="AS14" i="9" s="1"/>
  <c r="AT14" i="9" s="1"/>
  <c r="AM10" i="9"/>
  <c r="AO10" i="9" s="1"/>
  <c r="AP10" i="9" s="1"/>
  <c r="AS10" i="9" s="1"/>
  <c r="AT10" i="9" s="1"/>
  <c r="AM11" i="9"/>
  <c r="AO11" i="9" s="1"/>
  <c r="AP11" i="9" s="1"/>
  <c r="AS11" i="9" s="1"/>
  <c r="AT11" i="9" s="1"/>
  <c r="AM7" i="9"/>
  <c r="AO7" i="9" s="1"/>
  <c r="AP7" i="9" s="1"/>
  <c r="AS7" i="9" s="1"/>
  <c r="AT7" i="9" s="1"/>
  <c r="AM15" i="9"/>
  <c r="AO15" i="9" s="1"/>
  <c r="AP15" i="9" s="1"/>
  <c r="AS15" i="9" s="1"/>
  <c r="AT15" i="9" s="1"/>
  <c r="AM8" i="9"/>
  <c r="AO8" i="9" s="1"/>
  <c r="AP8" i="9" s="1"/>
  <c r="AS8" i="9" s="1"/>
  <c r="AT8" i="9" s="1"/>
  <c r="AM16" i="9"/>
  <c r="AO16" i="9" s="1"/>
  <c r="AP16" i="9" s="1"/>
  <c r="AS16" i="9" s="1"/>
  <c r="AT16" i="9" s="1"/>
  <c r="AM9" i="9"/>
  <c r="AO9" i="9" s="1"/>
  <c r="AP9" i="9" s="1"/>
  <c r="AS9" i="9" s="1"/>
  <c r="AT9" i="9" s="1"/>
  <c r="AM17" i="9"/>
  <c r="AO17" i="9" s="1"/>
  <c r="AP17" i="9" s="1"/>
  <c r="AS17" i="9" s="1"/>
  <c r="AT17" i="9" s="1"/>
  <c r="AM12" i="9"/>
  <c r="AO12" i="9" s="1"/>
  <c r="AP12" i="9" s="1"/>
  <c r="AS12" i="9" s="1"/>
  <c r="AT12" i="9" s="1"/>
  <c r="AM20" i="9"/>
  <c r="AO20" i="9" s="1"/>
  <c r="AP20" i="9" s="1"/>
  <c r="AS20" i="9" s="1"/>
  <c r="AT20" i="9" s="1"/>
  <c r="AM18" i="9"/>
  <c r="AO18" i="9" s="1"/>
  <c r="AP18" i="9" s="1"/>
  <c r="AS18" i="9" s="1"/>
  <c r="AT18" i="9" s="1"/>
  <c r="AM19" i="9"/>
  <c r="AO19" i="9" s="1"/>
  <c r="AP19" i="9" s="1"/>
  <c r="AS19" i="9" s="1"/>
  <c r="AT19" i="9" s="1"/>
  <c r="AM1" i="9"/>
  <c r="AM11" i="6"/>
  <c r="AO11" i="6" s="1"/>
  <c r="AP11" i="6" s="1"/>
  <c r="AS11" i="6" s="1"/>
  <c r="AT11" i="6" s="1"/>
  <c r="AM12" i="6"/>
  <c r="AO12" i="6" s="1"/>
  <c r="AP12" i="6" s="1"/>
  <c r="AS12" i="6" s="1"/>
  <c r="AT12" i="6" s="1"/>
  <c r="AM13" i="6"/>
  <c r="AO13" i="6" s="1"/>
  <c r="AP13" i="6" s="1"/>
  <c r="AS13" i="6" s="1"/>
  <c r="AT13" i="6" s="1"/>
  <c r="AM9" i="6"/>
  <c r="AO9" i="6" s="1"/>
  <c r="AP9" i="6" s="1"/>
  <c r="AS9" i="6" s="1"/>
  <c r="AT9" i="6" s="1"/>
  <c r="AM6" i="6"/>
  <c r="AO6" i="6" s="1"/>
  <c r="AP6" i="6" s="1"/>
  <c r="AS6" i="6" s="1"/>
  <c r="AT6" i="6" s="1"/>
  <c r="AM5" i="6"/>
  <c r="AO5" i="6" s="1"/>
  <c r="AP5" i="6" s="1"/>
  <c r="AM7" i="6"/>
  <c r="AO7" i="6" s="1"/>
  <c r="AP7" i="6" s="1"/>
  <c r="AS7" i="6" s="1"/>
  <c r="AT7" i="6" s="1"/>
  <c r="AM8" i="6"/>
  <c r="AO8" i="6" s="1"/>
  <c r="AP8" i="6" s="1"/>
  <c r="AS8" i="6" s="1"/>
  <c r="AT8" i="6" s="1"/>
  <c r="AM10" i="6"/>
  <c r="AO10" i="6" s="1"/>
  <c r="AP10" i="6" s="1"/>
  <c r="AS10" i="6" s="1"/>
  <c r="AT10" i="6" s="1"/>
  <c r="AM1" i="6"/>
  <c r="I50" i="4"/>
  <c r="D79" i="45"/>
  <c r="D104" i="45"/>
  <c r="D103" i="45"/>
  <c r="D78" i="45"/>
  <c r="D77" i="45"/>
  <c r="D102" i="45"/>
  <c r="D100" i="45"/>
  <c r="D75" i="45"/>
  <c r="D97" i="45"/>
  <c r="D72" i="45"/>
  <c r="D91" i="45"/>
  <c r="D66" i="45"/>
  <c r="E1" i="45"/>
  <c r="G1" i="45" s="1"/>
  <c r="I1" i="45" s="1"/>
  <c r="J52" i="6"/>
  <c r="E1" i="6"/>
  <c r="U29" i="6"/>
  <c r="U32" i="6" s="1"/>
  <c r="AE30" i="6" s="1"/>
  <c r="J52" i="9"/>
  <c r="E1" i="9"/>
  <c r="E1" i="74"/>
  <c r="T34" i="74"/>
  <c r="U29" i="74"/>
  <c r="AO1" i="73"/>
  <c r="AM1" i="73"/>
  <c r="J52" i="66"/>
  <c r="D1" i="66"/>
  <c r="G5" i="66" s="1"/>
  <c r="T31" i="69"/>
  <c r="U31" i="69" s="1"/>
  <c r="E1" i="69"/>
  <c r="J53" i="28" l="1"/>
  <c r="J54" i="28" s="1"/>
  <c r="I51" i="28"/>
  <c r="E15" i="4"/>
  <c r="G15" i="4" s="1"/>
  <c r="H15" i="4" s="1"/>
  <c r="K15" i="4" s="1"/>
  <c r="L15" i="4" s="1"/>
  <c r="E16" i="4"/>
  <c r="G16" i="4" s="1"/>
  <c r="H16" i="4" s="1"/>
  <c r="K16" i="4" s="1"/>
  <c r="L16" i="4" s="1"/>
  <c r="V32" i="43"/>
  <c r="AE30" i="43" s="1"/>
  <c r="AO1" i="43"/>
  <c r="T30" i="85"/>
  <c r="AC25" i="85" s="1"/>
  <c r="S30" i="85"/>
  <c r="U32" i="72"/>
  <c r="AE30" i="72" s="1"/>
  <c r="U32" i="71"/>
  <c r="AE30" i="71" s="1"/>
  <c r="AB30" i="66"/>
  <c r="V35" i="53"/>
  <c r="AA30" i="53" s="1"/>
  <c r="T33" i="88"/>
  <c r="AA30" i="88"/>
  <c r="AC30" i="88" s="1"/>
  <c r="AC25" i="88" s="1"/>
  <c r="E1" i="73"/>
  <c r="U32" i="73"/>
  <c r="AD30" i="73" s="1"/>
  <c r="U32" i="70"/>
  <c r="AE30" i="70" s="1"/>
  <c r="J52" i="48"/>
  <c r="U32" i="48"/>
  <c r="AD30" i="48" s="1"/>
  <c r="V28" i="36"/>
  <c r="V32" i="36" s="1"/>
  <c r="V35" i="36"/>
  <c r="AB30" i="36" s="1"/>
  <c r="E1" i="29"/>
  <c r="G1" i="29" s="1"/>
  <c r="I1" i="29" s="1"/>
  <c r="U32" i="29"/>
  <c r="AE30" i="29" s="1"/>
  <c r="AE29" i="73"/>
  <c r="AC29" i="73"/>
  <c r="E1" i="72"/>
  <c r="U32" i="64"/>
  <c r="T28" i="64"/>
  <c r="T32" i="64" s="1"/>
  <c r="AD29" i="33"/>
  <c r="AB29" i="33"/>
  <c r="V28" i="9"/>
  <c r="U32" i="58"/>
  <c r="AC30" i="58" s="1"/>
  <c r="J53" i="32"/>
  <c r="J54" i="32" s="1"/>
  <c r="B103" i="32" s="1"/>
  <c r="V35" i="30"/>
  <c r="AA30" i="30" s="1"/>
  <c r="V44" i="26"/>
  <c r="U32" i="17"/>
  <c r="AE30" i="17" s="1"/>
  <c r="V28" i="53"/>
  <c r="D5" i="57"/>
  <c r="H51" i="57" s="1"/>
  <c r="H52" i="32"/>
  <c r="F81" i="6"/>
  <c r="F9" i="6"/>
  <c r="F68" i="6"/>
  <c r="E66" i="83"/>
  <c r="E65" i="83"/>
  <c r="E67" i="83"/>
  <c r="E68" i="83"/>
  <c r="V35" i="9"/>
  <c r="AA30" i="9" s="1"/>
  <c r="D5" i="8"/>
  <c r="H51" i="8"/>
  <c r="V35" i="6"/>
  <c r="AA30" i="6" s="1"/>
  <c r="V28" i="6"/>
  <c r="AC29" i="77"/>
  <c r="AB29" i="77"/>
  <c r="AF28" i="3"/>
  <c r="E5" i="87"/>
  <c r="G5" i="87" s="1"/>
  <c r="H5" i="87" s="1"/>
  <c r="K5" i="87" s="1"/>
  <c r="L5" i="87" s="1"/>
  <c r="AC29" i="35"/>
  <c r="AB29" i="35"/>
  <c r="AC29" i="34"/>
  <c r="AB29" i="61"/>
  <c r="AD29" i="59"/>
  <c r="AA29" i="59"/>
  <c r="AD29" i="49"/>
  <c r="AA29" i="49"/>
  <c r="AD29" i="47"/>
  <c r="AA29" i="47"/>
  <c r="AA29" i="44"/>
  <c r="AD29" i="19"/>
  <c r="AA29" i="19"/>
  <c r="V28" i="30"/>
  <c r="AD29" i="30"/>
  <c r="AB29" i="30"/>
  <c r="AF29" i="30"/>
  <c r="AF28" i="29"/>
  <c r="AC29" i="29" s="1"/>
  <c r="AF28" i="28"/>
  <c r="AC29" i="28" s="1"/>
  <c r="AF28" i="17"/>
  <c r="AD29" i="60"/>
  <c r="AF29" i="60"/>
  <c r="AC29" i="60"/>
  <c r="AB29" i="5"/>
  <c r="AE29" i="5"/>
  <c r="U28" i="79"/>
  <c r="U32" i="79" s="1"/>
  <c r="AC30" i="79" s="1"/>
  <c r="D53" i="84"/>
  <c r="C54" i="84"/>
  <c r="J52" i="22"/>
  <c r="E1" i="22"/>
  <c r="C68" i="22"/>
  <c r="E135" i="88"/>
  <c r="G135" i="88" s="1"/>
  <c r="H135" i="88" s="1"/>
  <c r="E136" i="88"/>
  <c r="G136" i="88" s="1"/>
  <c r="H136" i="88" s="1"/>
  <c r="E138" i="88"/>
  <c r="G138" i="88" s="1"/>
  <c r="H138" i="88" s="1"/>
  <c r="E137" i="88"/>
  <c r="G137" i="88" s="1"/>
  <c r="H137" i="88" s="1"/>
  <c r="E140" i="88"/>
  <c r="G140" i="88" s="1"/>
  <c r="H140" i="88" s="1"/>
  <c r="E141" i="88"/>
  <c r="G141" i="88" s="1"/>
  <c r="H141" i="88" s="1"/>
  <c r="E142" i="88"/>
  <c r="G142" i="88" s="1"/>
  <c r="H142" i="88" s="1"/>
  <c r="E143" i="88"/>
  <c r="G143" i="88" s="1"/>
  <c r="H143" i="88" s="1"/>
  <c r="E139" i="88"/>
  <c r="G139" i="88" s="1"/>
  <c r="H139" i="88" s="1"/>
  <c r="E144" i="88"/>
  <c r="G144" i="88" s="1"/>
  <c r="H144" i="88" s="1"/>
  <c r="E145" i="88"/>
  <c r="G145" i="88" s="1"/>
  <c r="H145" i="88" s="1"/>
  <c r="H58" i="88"/>
  <c r="J51" i="60"/>
  <c r="I51" i="60" s="1"/>
  <c r="J54" i="75"/>
  <c r="I52" i="75"/>
  <c r="H52" i="75" s="1"/>
  <c r="H54" i="75" s="1"/>
  <c r="AF28" i="69"/>
  <c r="AA29" i="67"/>
  <c r="AD28" i="62"/>
  <c r="AB29" i="62" s="1"/>
  <c r="V44" i="62"/>
  <c r="U44" i="62"/>
  <c r="W44" i="62" s="1"/>
  <c r="J51" i="62" s="1"/>
  <c r="I51" i="62" s="1"/>
  <c r="D5" i="53"/>
  <c r="W54" i="52"/>
  <c r="X56" i="52" s="1"/>
  <c r="X52" i="52" s="1"/>
  <c r="D5" i="37"/>
  <c r="D65" i="37" s="1"/>
  <c r="AM1" i="37"/>
  <c r="AO1" i="37"/>
  <c r="D66" i="32"/>
  <c r="D87" i="32"/>
  <c r="H51" i="32"/>
  <c r="D80" i="30"/>
  <c r="D65" i="30"/>
  <c r="H51" i="30"/>
  <c r="D5" i="29"/>
  <c r="I51" i="26"/>
  <c r="D5" i="26" s="1"/>
  <c r="D65" i="26" s="1"/>
  <c r="AC29" i="26"/>
  <c r="AB29" i="26"/>
  <c r="D65" i="10"/>
  <c r="D100" i="10"/>
  <c r="D5" i="23"/>
  <c r="AE29" i="22"/>
  <c r="AB29" i="22"/>
  <c r="H51" i="21"/>
  <c r="D5" i="18"/>
  <c r="D5" i="17"/>
  <c r="J51" i="19"/>
  <c r="I51" i="19" s="1"/>
  <c r="J51" i="4"/>
  <c r="B76" i="4" s="1"/>
  <c r="W44" i="11"/>
  <c r="AF28" i="11"/>
  <c r="D65" i="9"/>
  <c r="D5" i="5"/>
  <c r="J51" i="3"/>
  <c r="I51" i="3" s="1"/>
  <c r="D5" i="3" s="1"/>
  <c r="D5" i="4"/>
  <c r="AE29" i="4"/>
  <c r="AC29" i="4"/>
  <c r="AB29" i="4"/>
  <c r="V44" i="25"/>
  <c r="U44" i="25"/>
  <c r="W44" i="25" s="1"/>
  <c r="J51" i="25" s="1"/>
  <c r="I51" i="25" s="1"/>
  <c r="H53" i="16"/>
  <c r="D52" i="16"/>
  <c r="G1" i="16"/>
  <c r="I1" i="16" s="1"/>
  <c r="J52" i="70"/>
  <c r="AO1" i="70"/>
  <c r="AM1" i="70"/>
  <c r="E1" i="48"/>
  <c r="E1" i="47"/>
  <c r="G1" i="41"/>
  <c r="I1" i="41" s="1"/>
  <c r="D52" i="41"/>
  <c r="E7" i="83"/>
  <c r="G7" i="83" s="1"/>
  <c r="H7" i="83" s="1"/>
  <c r="K7" i="83" s="1"/>
  <c r="L7" i="83" s="1"/>
  <c r="E9" i="83"/>
  <c r="G9" i="83" s="1"/>
  <c r="H9" i="83" s="1"/>
  <c r="K9" i="83" s="1"/>
  <c r="L9" i="83" s="1"/>
  <c r="E6" i="83"/>
  <c r="G6" i="83" s="1"/>
  <c r="H6" i="83" s="1"/>
  <c r="K6" i="83" s="1"/>
  <c r="L6" i="83" s="1"/>
  <c r="C53" i="83"/>
  <c r="D53" i="83" s="1"/>
  <c r="E7" i="50"/>
  <c r="G7" i="50" s="1"/>
  <c r="H7" i="50" s="1"/>
  <c r="K7" i="50" s="1"/>
  <c r="L7" i="50" s="1"/>
  <c r="E11" i="50"/>
  <c r="G11" i="50" s="1"/>
  <c r="H11" i="50" s="1"/>
  <c r="K11" i="50" s="1"/>
  <c r="L11" i="50" s="1"/>
  <c r="E6" i="50"/>
  <c r="G6" i="50" s="1"/>
  <c r="H6" i="50" s="1"/>
  <c r="K6" i="50" s="1"/>
  <c r="L6" i="50" s="1"/>
  <c r="E14" i="50"/>
  <c r="G14" i="50" s="1"/>
  <c r="H14" i="50" s="1"/>
  <c r="K14" i="50" s="1"/>
  <c r="L14" i="50" s="1"/>
  <c r="AO1" i="69"/>
  <c r="AM12" i="69" s="1"/>
  <c r="AO12" i="69" s="1"/>
  <c r="AP12" i="69" s="1"/>
  <c r="AS12" i="69" s="1"/>
  <c r="AT12" i="69" s="1"/>
  <c r="AM1" i="69"/>
  <c r="J52" i="69"/>
  <c r="E10" i="50"/>
  <c r="G10" i="50" s="1"/>
  <c r="H10" i="50" s="1"/>
  <c r="K10" i="50" s="1"/>
  <c r="L10" i="50" s="1"/>
  <c r="E8" i="50"/>
  <c r="G8" i="50" s="1"/>
  <c r="H8" i="50" s="1"/>
  <c r="K8" i="50" s="1"/>
  <c r="L8" i="50" s="1"/>
  <c r="J53" i="59"/>
  <c r="B82" i="59" s="1"/>
  <c r="H5" i="77"/>
  <c r="K5" i="77" s="1"/>
  <c r="AO1" i="71"/>
  <c r="T34" i="67"/>
  <c r="AM1" i="57"/>
  <c r="J52" i="57"/>
  <c r="AO1" i="57"/>
  <c r="E9" i="50"/>
  <c r="G9" i="50" s="1"/>
  <c r="H9" i="50" s="1"/>
  <c r="K9" i="50" s="1"/>
  <c r="L9" i="50" s="1"/>
  <c r="I1" i="82"/>
  <c r="E8" i="82" s="1"/>
  <c r="G8" i="82" s="1"/>
  <c r="H8" i="82" s="1"/>
  <c r="K8" i="82" s="1"/>
  <c r="L8" i="82" s="1"/>
  <c r="C52" i="82"/>
  <c r="D50" i="4"/>
  <c r="J53" i="77"/>
  <c r="B72" i="77" s="1"/>
  <c r="H72" i="77" s="1"/>
  <c r="J52" i="71"/>
  <c r="AM1" i="71"/>
  <c r="AO1" i="61"/>
  <c r="AM1" i="61"/>
  <c r="J52" i="61"/>
  <c r="E9" i="4"/>
  <c r="G9" i="4" s="1"/>
  <c r="H9" i="4" s="1"/>
  <c r="K9" i="4" s="1"/>
  <c r="L9" i="4" s="1"/>
  <c r="E11" i="4"/>
  <c r="G11" i="4" s="1"/>
  <c r="H11" i="4" s="1"/>
  <c r="K11" i="4" s="1"/>
  <c r="L11" i="4" s="1"/>
  <c r="E7" i="4"/>
  <c r="G7" i="4" s="1"/>
  <c r="H7" i="4" s="1"/>
  <c r="K7" i="4" s="1"/>
  <c r="L7" i="4" s="1"/>
  <c r="I1" i="4"/>
  <c r="C50" i="4" s="1"/>
  <c r="E10" i="4"/>
  <c r="G10" i="4" s="1"/>
  <c r="H10" i="4" s="1"/>
  <c r="K10" i="4" s="1"/>
  <c r="L10" i="4" s="1"/>
  <c r="E14" i="4"/>
  <c r="G14" i="4" s="1"/>
  <c r="H14" i="4" s="1"/>
  <c r="K14" i="4" s="1"/>
  <c r="L14" i="4" s="1"/>
  <c r="E13" i="4"/>
  <c r="G13" i="4" s="1"/>
  <c r="H13" i="4" s="1"/>
  <c r="K13" i="4" s="1"/>
  <c r="L13" i="4" s="1"/>
  <c r="E6" i="4"/>
  <c r="G6" i="4" s="1"/>
  <c r="H6" i="4" s="1"/>
  <c r="K6" i="4" s="1"/>
  <c r="L6" i="4" s="1"/>
  <c r="E8" i="4"/>
  <c r="G8" i="4" s="1"/>
  <c r="H8" i="4" s="1"/>
  <c r="K8" i="4" s="1"/>
  <c r="L8" i="4" s="1"/>
  <c r="E12" i="4"/>
  <c r="G12" i="4" s="1"/>
  <c r="H12" i="4" s="1"/>
  <c r="K12" i="4" s="1"/>
  <c r="L12" i="4" s="1"/>
  <c r="U34" i="64"/>
  <c r="E1" i="53"/>
  <c r="AM1" i="47"/>
  <c r="J52" i="47"/>
  <c r="AO1" i="47"/>
  <c r="D52" i="46"/>
  <c r="G1" i="46"/>
  <c r="I1" i="46" s="1"/>
  <c r="J53" i="46"/>
  <c r="B77" i="46" s="1"/>
  <c r="I52" i="65"/>
  <c r="G1" i="59"/>
  <c r="I1" i="59" s="1"/>
  <c r="D52" i="57"/>
  <c r="G1" i="57"/>
  <c r="I1" i="57" s="1"/>
  <c r="E17" i="50"/>
  <c r="G17" i="50" s="1"/>
  <c r="H17" i="50" s="1"/>
  <c r="K17" i="50" s="1"/>
  <c r="L17" i="50" s="1"/>
  <c r="E12" i="50"/>
  <c r="G12" i="50" s="1"/>
  <c r="H12" i="50" s="1"/>
  <c r="K12" i="50" s="1"/>
  <c r="L12" i="50" s="1"/>
  <c r="E16" i="50"/>
  <c r="G16" i="50" s="1"/>
  <c r="H16" i="50" s="1"/>
  <c r="K16" i="50" s="1"/>
  <c r="L16" i="50" s="1"/>
  <c r="E13" i="50"/>
  <c r="G13" i="50" s="1"/>
  <c r="H13" i="50" s="1"/>
  <c r="K13" i="50" s="1"/>
  <c r="L13" i="50" s="1"/>
  <c r="E1" i="40"/>
  <c r="J52" i="37"/>
  <c r="I52" i="34"/>
  <c r="E5" i="34" s="1"/>
  <c r="H52" i="34" s="1"/>
  <c r="G1" i="28"/>
  <c r="I1" i="28" s="1"/>
  <c r="AM19" i="28"/>
  <c r="AO19" i="28" s="1"/>
  <c r="AP19" i="28" s="1"/>
  <c r="AS19" i="28" s="1"/>
  <c r="AT19" i="28" s="1"/>
  <c r="E1" i="24"/>
  <c r="J52" i="20"/>
  <c r="G1" i="18"/>
  <c r="I1" i="18" s="1"/>
  <c r="E6" i="18" s="1"/>
  <c r="D52" i="18"/>
  <c r="D52" i="17"/>
  <c r="G1" i="17"/>
  <c r="I1" i="17" s="1"/>
  <c r="AM1" i="8"/>
  <c r="AO1" i="8"/>
  <c r="AM5" i="3"/>
  <c r="AO5" i="3" s="1"/>
  <c r="J52" i="3"/>
  <c r="J52" i="26"/>
  <c r="AO1" i="26"/>
  <c r="G1" i="15"/>
  <c r="I1" i="15" s="1"/>
  <c r="D52" i="7"/>
  <c r="AO1" i="18"/>
  <c r="AM8" i="18" s="1"/>
  <c r="AO8" i="18" s="1"/>
  <c r="AP8" i="18" s="1"/>
  <c r="AS8" i="18" s="1"/>
  <c r="AT8" i="18" s="1"/>
  <c r="I53" i="34"/>
  <c r="AM1" i="29"/>
  <c r="AM8" i="29"/>
  <c r="AO8" i="29" s="1"/>
  <c r="AP8" i="29" s="1"/>
  <c r="AS8" i="29" s="1"/>
  <c r="AT8" i="29" s="1"/>
  <c r="AM7" i="29"/>
  <c r="AO7" i="29" s="1"/>
  <c r="AP7" i="29" s="1"/>
  <c r="AS7" i="29" s="1"/>
  <c r="AT7" i="29" s="1"/>
  <c r="AM13" i="29"/>
  <c r="AO13" i="29" s="1"/>
  <c r="AP13" i="29" s="1"/>
  <c r="AS13" i="29" s="1"/>
  <c r="AT13" i="29" s="1"/>
  <c r="AM10" i="29"/>
  <c r="AO10" i="29" s="1"/>
  <c r="AP10" i="29" s="1"/>
  <c r="AS10" i="29" s="1"/>
  <c r="AT10" i="29" s="1"/>
  <c r="AM12" i="29"/>
  <c r="AO12" i="29" s="1"/>
  <c r="AP12" i="29" s="1"/>
  <c r="AS12" i="29" s="1"/>
  <c r="AT12" i="29" s="1"/>
  <c r="AM11" i="29"/>
  <c r="AO11" i="29" s="1"/>
  <c r="AP11" i="29" s="1"/>
  <c r="AS11" i="29" s="1"/>
  <c r="AT11" i="29" s="1"/>
  <c r="AM5" i="29"/>
  <c r="AO5" i="29" s="1"/>
  <c r="AP5" i="29" s="1"/>
  <c r="AM9" i="29"/>
  <c r="AO9" i="29" s="1"/>
  <c r="AP9" i="29" s="1"/>
  <c r="AS9" i="29" s="1"/>
  <c r="AT9" i="29" s="1"/>
  <c r="J52" i="29"/>
  <c r="AM8" i="28"/>
  <c r="AO8" i="28" s="1"/>
  <c r="AP8" i="28" s="1"/>
  <c r="AS8" i="28" s="1"/>
  <c r="AT8" i="28" s="1"/>
  <c r="AM13" i="28"/>
  <c r="AO13" i="28" s="1"/>
  <c r="AP13" i="28" s="1"/>
  <c r="AS13" i="28" s="1"/>
  <c r="AT13" i="28" s="1"/>
  <c r="AM9" i="28"/>
  <c r="AO9" i="28" s="1"/>
  <c r="AP9" i="28" s="1"/>
  <c r="AS9" i="28" s="1"/>
  <c r="AT9" i="28" s="1"/>
  <c r="AM1" i="28"/>
  <c r="AM6" i="28"/>
  <c r="AO6" i="28" s="1"/>
  <c r="AP6" i="28" s="1"/>
  <c r="AS6" i="28" s="1"/>
  <c r="AT6" i="28" s="1"/>
  <c r="J52" i="28"/>
  <c r="I52" i="28" s="1"/>
  <c r="AM14" i="28"/>
  <c r="AO14" i="28" s="1"/>
  <c r="AP14" i="28" s="1"/>
  <c r="AS14" i="28" s="1"/>
  <c r="AT14" i="28" s="1"/>
  <c r="AM7" i="28"/>
  <c r="AO7" i="28" s="1"/>
  <c r="AP7" i="28" s="1"/>
  <c r="AS7" i="28" s="1"/>
  <c r="AT7" i="28" s="1"/>
  <c r="J54" i="34"/>
  <c r="B84" i="34" s="1"/>
  <c r="H84" i="34" s="1"/>
  <c r="AM5" i="28"/>
  <c r="AO5" i="28" s="1"/>
  <c r="AP5" i="28" s="1"/>
  <c r="J52" i="18"/>
  <c r="AM17" i="28"/>
  <c r="AO17" i="28" s="1"/>
  <c r="AP17" i="28" s="1"/>
  <c r="AS17" i="28" s="1"/>
  <c r="AT17" i="28" s="1"/>
  <c r="AM12" i="28"/>
  <c r="AO12" i="28" s="1"/>
  <c r="AP12" i="28" s="1"/>
  <c r="AS12" i="28" s="1"/>
  <c r="AT12" i="28" s="1"/>
  <c r="AM11" i="28"/>
  <c r="AO11" i="28" s="1"/>
  <c r="AP11" i="28" s="1"/>
  <c r="AS11" i="28" s="1"/>
  <c r="AT11" i="28" s="1"/>
  <c r="AM18" i="28"/>
  <c r="AO18" i="28" s="1"/>
  <c r="AP18" i="28" s="1"/>
  <c r="AS18" i="28" s="1"/>
  <c r="AT18" i="28" s="1"/>
  <c r="AM15" i="28"/>
  <c r="AO15" i="28" s="1"/>
  <c r="AP15" i="28" s="1"/>
  <c r="AS15" i="28" s="1"/>
  <c r="AT15" i="28" s="1"/>
  <c r="AM1" i="21"/>
  <c r="AM16" i="28"/>
  <c r="AO16" i="28" s="1"/>
  <c r="AP16" i="28" s="1"/>
  <c r="AS16" i="28" s="1"/>
  <c r="AT16" i="28" s="1"/>
  <c r="AM7" i="21"/>
  <c r="AO7" i="21" s="1"/>
  <c r="AP7" i="21" s="1"/>
  <c r="AS7" i="21" s="1"/>
  <c r="AT7" i="21" s="1"/>
  <c r="AM5" i="21"/>
  <c r="AO5" i="21" s="1"/>
  <c r="AP5" i="21" s="1"/>
  <c r="AM10" i="21"/>
  <c r="AO10" i="21" s="1"/>
  <c r="AP10" i="21" s="1"/>
  <c r="AS10" i="21" s="1"/>
  <c r="AT10" i="21" s="1"/>
  <c r="AM9" i="21"/>
  <c r="AO9" i="21" s="1"/>
  <c r="AP9" i="21" s="1"/>
  <c r="AS9" i="21" s="1"/>
  <c r="AT9" i="21" s="1"/>
  <c r="J52" i="21"/>
  <c r="I52" i="21" s="1"/>
  <c r="H52" i="21" s="1"/>
  <c r="E5" i="21" s="1"/>
  <c r="J53" i="19"/>
  <c r="B79" i="19" s="1"/>
  <c r="J53" i="5"/>
  <c r="B90" i="5" s="1"/>
  <c r="E1" i="36"/>
  <c r="G1" i="36" s="1"/>
  <c r="E5" i="36" s="1"/>
  <c r="G5" i="36" s="1"/>
  <c r="H5" i="36" s="1"/>
  <c r="K5" i="36" s="1"/>
  <c r="L5" i="36" s="1"/>
  <c r="S35" i="36" s="1"/>
  <c r="D52" i="20"/>
  <c r="D52" i="21"/>
  <c r="G1" i="21"/>
  <c r="I1" i="21" s="1"/>
  <c r="E6" i="21" s="1"/>
  <c r="AM6" i="21"/>
  <c r="AO6" i="21" s="1"/>
  <c r="AP6" i="21" s="1"/>
  <c r="AS6" i="21" s="1"/>
  <c r="AT6" i="21" s="1"/>
  <c r="AM13" i="21"/>
  <c r="AO13" i="21" s="1"/>
  <c r="AP13" i="21" s="1"/>
  <c r="AS13" i="21" s="1"/>
  <c r="AT13" i="21" s="1"/>
  <c r="AM12" i="21"/>
  <c r="AO12" i="21" s="1"/>
  <c r="AP12" i="21" s="1"/>
  <c r="AS12" i="21" s="1"/>
  <c r="AT12" i="21" s="1"/>
  <c r="AM11" i="21"/>
  <c r="AO11" i="21" s="1"/>
  <c r="AP11" i="21" s="1"/>
  <c r="AS11" i="21" s="1"/>
  <c r="AT11" i="21" s="1"/>
  <c r="AM1" i="17"/>
  <c r="AO1" i="17"/>
  <c r="AM6" i="17" s="1"/>
  <c r="AO6" i="17" s="1"/>
  <c r="AP6" i="17" s="1"/>
  <c r="AS6" i="17" s="1"/>
  <c r="AT6" i="17" s="1"/>
  <c r="J52" i="17"/>
  <c r="J52" i="15"/>
  <c r="I52" i="15" s="1"/>
  <c r="AM12" i="15"/>
  <c r="AO12" i="15" s="1"/>
  <c r="AP12" i="15" s="1"/>
  <c r="AS12" i="15" s="1"/>
  <c r="AT12" i="15" s="1"/>
  <c r="AM9" i="15"/>
  <c r="AO9" i="15" s="1"/>
  <c r="AP9" i="15" s="1"/>
  <c r="AS9" i="15" s="1"/>
  <c r="AT9" i="15" s="1"/>
  <c r="AM6" i="15"/>
  <c r="AO6" i="15" s="1"/>
  <c r="AP6" i="15" s="1"/>
  <c r="AS6" i="15" s="1"/>
  <c r="AT6" i="15" s="1"/>
  <c r="AM11" i="15"/>
  <c r="AO11" i="15" s="1"/>
  <c r="AP11" i="15" s="1"/>
  <c r="AS11" i="15" s="1"/>
  <c r="AT11" i="15" s="1"/>
  <c r="AM5" i="15"/>
  <c r="AO5" i="15" s="1"/>
  <c r="AP5" i="15" s="1"/>
  <c r="AM10" i="15"/>
  <c r="AO10" i="15" s="1"/>
  <c r="AP10" i="15" s="1"/>
  <c r="AS10" i="15" s="1"/>
  <c r="AT10" i="15" s="1"/>
  <c r="AM8" i="15"/>
  <c r="AO8" i="15" s="1"/>
  <c r="AP8" i="15" s="1"/>
  <c r="AS8" i="15" s="1"/>
  <c r="AT8" i="15" s="1"/>
  <c r="AM1" i="15"/>
  <c r="AM7" i="15"/>
  <c r="AO7" i="15" s="1"/>
  <c r="AP7" i="15" s="1"/>
  <c r="AS7" i="15" s="1"/>
  <c r="AT7" i="15" s="1"/>
  <c r="D52" i="56"/>
  <c r="G1" i="56"/>
  <c r="I1" i="56" s="1"/>
  <c r="E17" i="56" s="1"/>
  <c r="G17" i="56" s="1"/>
  <c r="H17" i="56" s="1"/>
  <c r="K17" i="56" s="1"/>
  <c r="L17" i="56" s="1"/>
  <c r="J52" i="7"/>
  <c r="G1" i="5"/>
  <c r="I1" i="5" s="1"/>
  <c r="D52" i="5"/>
  <c r="E1" i="78"/>
  <c r="I52" i="59"/>
  <c r="D52" i="59"/>
  <c r="J52" i="72"/>
  <c r="AO1" i="72"/>
  <c r="AM1" i="72"/>
  <c r="D52" i="67"/>
  <c r="G1" i="67"/>
  <c r="I1" i="67" s="1"/>
  <c r="G1" i="62"/>
  <c r="E20" i="62" s="1"/>
  <c r="G20" i="62" s="1"/>
  <c r="H20" i="62" s="1"/>
  <c r="K20" i="62" s="1"/>
  <c r="L20" i="62" s="1"/>
  <c r="D52" i="62"/>
  <c r="D52" i="61"/>
  <c r="G1" i="61"/>
  <c r="I1" i="61" s="1"/>
  <c r="E1" i="58"/>
  <c r="AM1" i="53"/>
  <c r="J52" i="53"/>
  <c r="V44" i="56"/>
  <c r="U44" i="56"/>
  <c r="W44" i="56" s="1"/>
  <c r="J51" i="56" s="1"/>
  <c r="J53" i="56" s="1"/>
  <c r="B79" i="56" s="1"/>
  <c r="V44" i="65"/>
  <c r="U44" i="65"/>
  <c r="W44" i="65" s="1"/>
  <c r="J51" i="65" s="1"/>
  <c r="V44" i="67"/>
  <c r="U44" i="67"/>
  <c r="W44" i="67" s="1"/>
  <c r="J51" i="67" s="1"/>
  <c r="I51" i="67" s="1"/>
  <c r="V44" i="58"/>
  <c r="U44" i="58"/>
  <c r="W44" i="58" s="1"/>
  <c r="J51" i="58" s="1"/>
  <c r="V44" i="74"/>
  <c r="U44" i="74"/>
  <c r="W44" i="74" s="1"/>
  <c r="J51" i="74" s="1"/>
  <c r="AE29" i="75"/>
  <c r="AD29" i="74"/>
  <c r="AB29" i="74"/>
  <c r="D5" i="73"/>
  <c r="D5" i="72"/>
  <c r="H51" i="72" s="1"/>
  <c r="D5" i="71"/>
  <c r="D100" i="71" s="1"/>
  <c r="AD29" i="71"/>
  <c r="AF29" i="71"/>
  <c r="D5" i="70"/>
  <c r="AF29" i="70"/>
  <c r="AD29" i="70"/>
  <c r="D5" i="62"/>
  <c r="D65" i="62" s="1"/>
  <c r="D5" i="61"/>
  <c r="D65" i="61" s="1"/>
  <c r="H51" i="61"/>
  <c r="D5" i="59"/>
  <c r="AD29" i="58"/>
  <c r="AB29" i="58"/>
  <c r="AB29" i="57"/>
  <c r="AF29" i="57"/>
  <c r="AC29" i="57"/>
  <c r="AD29" i="57"/>
  <c r="AA29" i="74"/>
  <c r="AB29" i="73"/>
  <c r="AC29" i="71"/>
  <c r="AC29" i="70"/>
  <c r="AB29" i="67"/>
  <c r="AC29" i="61"/>
  <c r="AB29" i="59"/>
  <c r="J53" i="73"/>
  <c r="J53" i="62"/>
  <c r="B82" i="62" s="1"/>
  <c r="I52" i="62"/>
  <c r="V44" i="48"/>
  <c r="U44" i="48"/>
  <c r="W44" i="48" s="1"/>
  <c r="J51" i="48" s="1"/>
  <c r="I51" i="48" s="1"/>
  <c r="D105" i="51"/>
  <c r="D84" i="51"/>
  <c r="D65" i="51"/>
  <c r="V44" i="47"/>
  <c r="U44" i="47"/>
  <c r="W44" i="47" s="1"/>
  <c r="D5" i="49"/>
  <c r="AE29" i="48"/>
  <c r="AC29" i="48"/>
  <c r="D5" i="44"/>
  <c r="H51" i="44" s="1"/>
  <c r="AE29" i="41"/>
  <c r="D5" i="41"/>
  <c r="AD29" i="79"/>
  <c r="D5" i="46"/>
  <c r="D65" i="46" s="1"/>
  <c r="D5" i="43"/>
  <c r="AB29" i="79"/>
  <c r="AB29" i="49"/>
  <c r="AB29" i="48"/>
  <c r="AB29" i="47"/>
  <c r="AC29" i="41"/>
  <c r="G1" i="49"/>
  <c r="I1" i="49" s="1"/>
  <c r="D52" i="49"/>
  <c r="J53" i="44"/>
  <c r="B82" i="44" s="1"/>
  <c r="J53" i="49"/>
  <c r="B79" i="49" s="1"/>
  <c r="E1" i="42"/>
  <c r="D52" i="42" s="1"/>
  <c r="J52" i="67"/>
  <c r="T30" i="65"/>
  <c r="T32" i="65" s="1"/>
  <c r="AM1" i="43"/>
  <c r="J52" i="43"/>
  <c r="J53" i="43" s="1"/>
  <c r="B79" i="43" s="1"/>
  <c r="I52" i="49"/>
  <c r="I52" i="44"/>
  <c r="H52" i="44" s="1"/>
  <c r="G1" i="44"/>
  <c r="I1" i="44" s="1"/>
  <c r="D52" i="44"/>
  <c r="G1" i="43"/>
  <c r="I1" i="43" s="1"/>
  <c r="D52" i="43"/>
  <c r="AO1" i="41"/>
  <c r="AM1" i="41"/>
  <c r="J52" i="41"/>
  <c r="L5" i="51"/>
  <c r="I52" i="46"/>
  <c r="V44" i="33"/>
  <c r="U44" i="33"/>
  <c r="W44" i="33" s="1"/>
  <c r="J51" i="33" s="1"/>
  <c r="AA29" i="33"/>
  <c r="E1" i="32"/>
  <c r="D52" i="8"/>
  <c r="G1" i="8"/>
  <c r="I1" i="8" s="1"/>
  <c r="D52" i="33"/>
  <c r="G1" i="33"/>
  <c r="I1" i="33" s="1"/>
  <c r="G1" i="26"/>
  <c r="I1" i="26" s="1"/>
  <c r="D52" i="26"/>
  <c r="D65" i="77"/>
  <c r="D91" i="77"/>
  <c r="D77" i="77"/>
  <c r="E5" i="77"/>
  <c r="H52" i="77" s="1"/>
  <c r="C55" i="22"/>
  <c r="D55" i="22" s="1"/>
  <c r="AB29" i="19"/>
  <c r="E6" i="84"/>
  <c r="G6" i="84" s="1"/>
  <c r="H6" i="84" s="1"/>
  <c r="K6" i="84" s="1"/>
  <c r="L6" i="84" s="1"/>
  <c r="E7" i="84"/>
  <c r="G7" i="84" s="1"/>
  <c r="H7" i="84" s="1"/>
  <c r="K7" i="84" s="1"/>
  <c r="L7" i="84" s="1"/>
  <c r="E8" i="84"/>
  <c r="G8" i="84" s="1"/>
  <c r="H8" i="84" s="1"/>
  <c r="K8" i="84" s="1"/>
  <c r="L8" i="84" s="1"/>
  <c r="E9" i="84"/>
  <c r="G9" i="84" s="1"/>
  <c r="H9" i="84" s="1"/>
  <c r="K9" i="84" s="1"/>
  <c r="L9" i="84" s="1"/>
  <c r="D76" i="10"/>
  <c r="D89" i="10"/>
  <c r="K5" i="10"/>
  <c r="V44" i="7"/>
  <c r="U44" i="7"/>
  <c r="W44" i="7" s="1"/>
  <c r="J51" i="7" s="1"/>
  <c r="V44" i="69"/>
  <c r="U44" i="69"/>
  <c r="W44" i="69" s="1"/>
  <c r="J51" i="69" s="1"/>
  <c r="I51" i="69" s="1"/>
  <c r="J54" i="10"/>
  <c r="B82" i="10" s="1"/>
  <c r="I52" i="10"/>
  <c r="E5" i="10" s="1"/>
  <c r="I53" i="10"/>
  <c r="E5" i="75"/>
  <c r="G5" i="75" s="1"/>
  <c r="H5" i="75" s="1"/>
  <c r="I52" i="51"/>
  <c r="E5" i="51" s="1"/>
  <c r="J53" i="51"/>
  <c r="B79" i="51" s="1"/>
  <c r="H79" i="51" s="1"/>
  <c r="J52" i="60"/>
  <c r="AO1" i="60"/>
  <c r="AM1" i="60"/>
  <c r="E1" i="60"/>
  <c r="AM11" i="58"/>
  <c r="AO11" i="58" s="1"/>
  <c r="AP11" i="58" s="1"/>
  <c r="AS11" i="58" s="1"/>
  <c r="AT11" i="58" s="1"/>
  <c r="AM6" i="58"/>
  <c r="AO6" i="58" s="1"/>
  <c r="AP6" i="58" s="1"/>
  <c r="AS6" i="58" s="1"/>
  <c r="AT6" i="58" s="1"/>
  <c r="AM10" i="58"/>
  <c r="AO10" i="58" s="1"/>
  <c r="AP10" i="58" s="1"/>
  <c r="AS10" i="58" s="1"/>
  <c r="AT10" i="58" s="1"/>
  <c r="AM12" i="58"/>
  <c r="AO12" i="58" s="1"/>
  <c r="AP12" i="58" s="1"/>
  <c r="AS12" i="58" s="1"/>
  <c r="AT12" i="58" s="1"/>
  <c r="AM13" i="58"/>
  <c r="AO13" i="58" s="1"/>
  <c r="AP13" i="58" s="1"/>
  <c r="AS13" i="58" s="1"/>
  <c r="AT13" i="58" s="1"/>
  <c r="AM5" i="58"/>
  <c r="AO5" i="58" s="1"/>
  <c r="AP5" i="58" s="1"/>
  <c r="AM14" i="58"/>
  <c r="AO14" i="58" s="1"/>
  <c r="AP14" i="58" s="1"/>
  <c r="AS14" i="58" s="1"/>
  <c r="AT14" i="58" s="1"/>
  <c r="AM9" i="58"/>
  <c r="AO9" i="58" s="1"/>
  <c r="AP9" i="58" s="1"/>
  <c r="AS9" i="58" s="1"/>
  <c r="AT9" i="58" s="1"/>
  <c r="AM8" i="58"/>
  <c r="AO8" i="58" s="1"/>
  <c r="AP8" i="58" s="1"/>
  <c r="AS8" i="58" s="1"/>
  <c r="AT8" i="58" s="1"/>
  <c r="AM15" i="58"/>
  <c r="AO15" i="58" s="1"/>
  <c r="AP15" i="58" s="1"/>
  <c r="AS15" i="58" s="1"/>
  <c r="AT15" i="58" s="1"/>
  <c r="AM7" i="58"/>
  <c r="AO7" i="58" s="1"/>
  <c r="AP7" i="58" s="1"/>
  <c r="AS7" i="58" s="1"/>
  <c r="AT7" i="58" s="1"/>
  <c r="AM10" i="56"/>
  <c r="AO10" i="56" s="1"/>
  <c r="AP10" i="56" s="1"/>
  <c r="AS10" i="56" s="1"/>
  <c r="AT10" i="56" s="1"/>
  <c r="AM5" i="56"/>
  <c r="AO5" i="56" s="1"/>
  <c r="AP5" i="56" s="1"/>
  <c r="AM13" i="56"/>
  <c r="AO13" i="56" s="1"/>
  <c r="AP13" i="56" s="1"/>
  <c r="AS13" i="56" s="1"/>
  <c r="AT13" i="56" s="1"/>
  <c r="AM8" i="56"/>
  <c r="AO8" i="56" s="1"/>
  <c r="AP8" i="56" s="1"/>
  <c r="AS8" i="56" s="1"/>
  <c r="AT8" i="56" s="1"/>
  <c r="AM9" i="56"/>
  <c r="AO9" i="56" s="1"/>
  <c r="AP9" i="56" s="1"/>
  <c r="AS9" i="56" s="1"/>
  <c r="AT9" i="56" s="1"/>
  <c r="AM11" i="56"/>
  <c r="AO11" i="56" s="1"/>
  <c r="AP11" i="56" s="1"/>
  <c r="AS11" i="56" s="1"/>
  <c r="AT11" i="56" s="1"/>
  <c r="AM12" i="56"/>
  <c r="AO12" i="56" s="1"/>
  <c r="AP12" i="56" s="1"/>
  <c r="AS12" i="56" s="1"/>
  <c r="AT12" i="56" s="1"/>
  <c r="AM7" i="56"/>
  <c r="AO7" i="56" s="1"/>
  <c r="AP7" i="56" s="1"/>
  <c r="AS7" i="56" s="1"/>
  <c r="AT7" i="56" s="1"/>
  <c r="AM6" i="56"/>
  <c r="AO6" i="56" s="1"/>
  <c r="AP6" i="56" s="1"/>
  <c r="AS6" i="56" s="1"/>
  <c r="AT6" i="56" s="1"/>
  <c r="E19" i="50"/>
  <c r="G19" i="50" s="1"/>
  <c r="H19" i="50" s="1"/>
  <c r="K19" i="50" s="1"/>
  <c r="L19" i="50" s="1"/>
  <c r="E18" i="50"/>
  <c r="G18" i="50" s="1"/>
  <c r="H18" i="50" s="1"/>
  <c r="K18" i="50" s="1"/>
  <c r="L18" i="50" s="1"/>
  <c r="E20" i="50"/>
  <c r="G20" i="50" s="1"/>
  <c r="H20" i="50" s="1"/>
  <c r="K20" i="50" s="1"/>
  <c r="L20" i="50" s="1"/>
  <c r="E21" i="50"/>
  <c r="G21" i="50" s="1"/>
  <c r="H21" i="50" s="1"/>
  <c r="K21" i="50" s="1"/>
  <c r="L21" i="50" s="1"/>
  <c r="E5" i="50"/>
  <c r="G5" i="50" s="1"/>
  <c r="H5" i="50" s="1"/>
  <c r="K5" i="50" s="1"/>
  <c r="L5" i="50" s="1"/>
  <c r="S35" i="50" s="1"/>
  <c r="C52" i="50"/>
  <c r="J53" i="35"/>
  <c r="B71" i="35" s="1"/>
  <c r="H71" i="35" s="1"/>
  <c r="I52" i="35"/>
  <c r="E5" i="35" s="1"/>
  <c r="AA30" i="35"/>
  <c r="T33" i="35"/>
  <c r="D52" i="25"/>
  <c r="G1" i="25"/>
  <c r="I1" i="25" s="1"/>
  <c r="C52" i="25" s="1"/>
  <c r="C53" i="25" s="1"/>
  <c r="D53" i="25" s="1"/>
  <c r="J52" i="25"/>
  <c r="AM1" i="25"/>
  <c r="AO1" i="25"/>
  <c r="G1" i="79"/>
  <c r="E5" i="79" s="1"/>
  <c r="AM6" i="79"/>
  <c r="AO6" i="79" s="1"/>
  <c r="AP6" i="79" s="1"/>
  <c r="AS6" i="79" s="1"/>
  <c r="AT6" i="79" s="1"/>
  <c r="AM7" i="79"/>
  <c r="AO7" i="79" s="1"/>
  <c r="AP7" i="79" s="1"/>
  <c r="AS7" i="79" s="1"/>
  <c r="AT7" i="79" s="1"/>
  <c r="AM8" i="79"/>
  <c r="AO8" i="79" s="1"/>
  <c r="AP8" i="79" s="1"/>
  <c r="AS8" i="79" s="1"/>
  <c r="AT8" i="79" s="1"/>
  <c r="AM9" i="79"/>
  <c r="AO9" i="79" s="1"/>
  <c r="AP9" i="79" s="1"/>
  <c r="AS9" i="79" s="1"/>
  <c r="AT9" i="79" s="1"/>
  <c r="AM10" i="79"/>
  <c r="AO10" i="79" s="1"/>
  <c r="AP10" i="79" s="1"/>
  <c r="AS10" i="79" s="1"/>
  <c r="AT10" i="79" s="1"/>
  <c r="AM11" i="79"/>
  <c r="AO11" i="79" s="1"/>
  <c r="AP11" i="79" s="1"/>
  <c r="AS11" i="79" s="1"/>
  <c r="AT11" i="79" s="1"/>
  <c r="AM12" i="79"/>
  <c r="AO12" i="79" s="1"/>
  <c r="AP12" i="79" s="1"/>
  <c r="AS12" i="79" s="1"/>
  <c r="AT12" i="79" s="1"/>
  <c r="AM13" i="79"/>
  <c r="AO13" i="79" s="1"/>
  <c r="AP13" i="79" s="1"/>
  <c r="AS13" i="79" s="1"/>
  <c r="AT13" i="79" s="1"/>
  <c r="AM14" i="79"/>
  <c r="AO14" i="79" s="1"/>
  <c r="AP14" i="79" s="1"/>
  <c r="AS14" i="79" s="1"/>
  <c r="AT14" i="79" s="1"/>
  <c r="AM15" i="79"/>
  <c r="AO15" i="79" s="1"/>
  <c r="AP15" i="79" s="1"/>
  <c r="AS15" i="79" s="1"/>
  <c r="AT15" i="79" s="1"/>
  <c r="AM16" i="79"/>
  <c r="AO16" i="79" s="1"/>
  <c r="AP16" i="79" s="1"/>
  <c r="AS16" i="79" s="1"/>
  <c r="AT16" i="79" s="1"/>
  <c r="AM17" i="79"/>
  <c r="AO17" i="79" s="1"/>
  <c r="AP17" i="79" s="1"/>
  <c r="AS17" i="79" s="1"/>
  <c r="AT17" i="79" s="1"/>
  <c r="AM18" i="79"/>
  <c r="AO18" i="79" s="1"/>
  <c r="AP18" i="79" s="1"/>
  <c r="AS18" i="79" s="1"/>
  <c r="AT18" i="79" s="1"/>
  <c r="AM19" i="79"/>
  <c r="AO19" i="79" s="1"/>
  <c r="AP19" i="79" s="1"/>
  <c r="AS19" i="79" s="1"/>
  <c r="AT19" i="79" s="1"/>
  <c r="AM5" i="79"/>
  <c r="AO5" i="79" s="1"/>
  <c r="AP5" i="79" s="1"/>
  <c r="C52" i="68"/>
  <c r="I1" i="68"/>
  <c r="I53" i="50"/>
  <c r="J54" i="50"/>
  <c r="B106" i="50" s="1"/>
  <c r="H53" i="50"/>
  <c r="E65" i="50" s="1"/>
  <c r="E1" i="55"/>
  <c r="E1" i="54"/>
  <c r="T30" i="54"/>
  <c r="D52" i="39"/>
  <c r="B73" i="39" s="1"/>
  <c r="G1" i="39"/>
  <c r="E1" i="38"/>
  <c r="E1" i="31"/>
  <c r="D52" i="31" s="1"/>
  <c r="G1" i="27"/>
  <c r="I1" i="27" s="1"/>
  <c r="D52" i="27"/>
  <c r="J54" i="27"/>
  <c r="B104" i="27" s="1"/>
  <c r="J54" i="16"/>
  <c r="B101" i="16" s="1"/>
  <c r="I53" i="16"/>
  <c r="E1" i="14"/>
  <c r="T30" i="14"/>
  <c r="E1" i="13"/>
  <c r="G1" i="12"/>
  <c r="I1" i="12" s="1"/>
  <c r="D52" i="12"/>
  <c r="B74" i="12" s="1"/>
  <c r="E1" i="37"/>
  <c r="J53" i="30"/>
  <c r="B75" i="30" s="1"/>
  <c r="I52" i="30"/>
  <c r="H52" i="30" s="1"/>
  <c r="L5" i="23"/>
  <c r="S33" i="23" s="1"/>
  <c r="J53" i="23"/>
  <c r="B80" i="23" s="1"/>
  <c r="I52" i="23"/>
  <c r="E5" i="23" s="1"/>
  <c r="AM7" i="22"/>
  <c r="AO7" i="22" s="1"/>
  <c r="AP7" i="22" s="1"/>
  <c r="AS7" i="22" s="1"/>
  <c r="AT7" i="22" s="1"/>
  <c r="AM9" i="22"/>
  <c r="AO9" i="22" s="1"/>
  <c r="AP9" i="22" s="1"/>
  <c r="AS9" i="22" s="1"/>
  <c r="AT9" i="22" s="1"/>
  <c r="AM16" i="22"/>
  <c r="AO16" i="22" s="1"/>
  <c r="AP16" i="22" s="1"/>
  <c r="AS16" i="22" s="1"/>
  <c r="AT16" i="22" s="1"/>
  <c r="AM11" i="22"/>
  <c r="AO11" i="22" s="1"/>
  <c r="AP11" i="22" s="1"/>
  <c r="AS11" i="22" s="1"/>
  <c r="AT11" i="22" s="1"/>
  <c r="AM17" i="22"/>
  <c r="AO17" i="22" s="1"/>
  <c r="AP17" i="22" s="1"/>
  <c r="AS17" i="22" s="1"/>
  <c r="AT17" i="22" s="1"/>
  <c r="AM13" i="22"/>
  <c r="AO13" i="22" s="1"/>
  <c r="AP13" i="22" s="1"/>
  <c r="AS13" i="22" s="1"/>
  <c r="AT13" i="22" s="1"/>
  <c r="AM12" i="22"/>
  <c r="AO12" i="22" s="1"/>
  <c r="AP12" i="22" s="1"/>
  <c r="AS12" i="22" s="1"/>
  <c r="AT12" i="22" s="1"/>
  <c r="AM15" i="22"/>
  <c r="AO15" i="22" s="1"/>
  <c r="AP15" i="22" s="1"/>
  <c r="AS15" i="22" s="1"/>
  <c r="AT15" i="22" s="1"/>
  <c r="AM10" i="22"/>
  <c r="AO10" i="22" s="1"/>
  <c r="AP10" i="22" s="1"/>
  <c r="AS10" i="22" s="1"/>
  <c r="AT10" i="22" s="1"/>
  <c r="AM5" i="22"/>
  <c r="AO5" i="22" s="1"/>
  <c r="AP5" i="22" s="1"/>
  <c r="AM14" i="22"/>
  <c r="AO14" i="22" s="1"/>
  <c r="AP14" i="22" s="1"/>
  <c r="AS14" i="22" s="1"/>
  <c r="AT14" i="22" s="1"/>
  <c r="AM8" i="22"/>
  <c r="AO8" i="22" s="1"/>
  <c r="AP8" i="22" s="1"/>
  <c r="AS8" i="22" s="1"/>
  <c r="AT8" i="22" s="1"/>
  <c r="AM6" i="22"/>
  <c r="AO6" i="22" s="1"/>
  <c r="AP6" i="22" s="1"/>
  <c r="AS6" i="22" s="1"/>
  <c r="AT6" i="22" s="1"/>
  <c r="E13" i="20"/>
  <c r="G13" i="20" s="1"/>
  <c r="H13" i="20" s="1"/>
  <c r="K13" i="20" s="1"/>
  <c r="L13" i="20" s="1"/>
  <c r="E8" i="20"/>
  <c r="G8" i="20" s="1"/>
  <c r="H8" i="20" s="1"/>
  <c r="K8" i="20" s="1"/>
  <c r="L8" i="20" s="1"/>
  <c r="E16" i="20"/>
  <c r="G16" i="20" s="1"/>
  <c r="H16" i="20" s="1"/>
  <c r="K16" i="20" s="1"/>
  <c r="L16" i="20" s="1"/>
  <c r="E11" i="20"/>
  <c r="G11" i="20" s="1"/>
  <c r="H11" i="20" s="1"/>
  <c r="K11" i="20" s="1"/>
  <c r="L11" i="20" s="1"/>
  <c r="E19" i="20"/>
  <c r="G19" i="20" s="1"/>
  <c r="H19" i="20" s="1"/>
  <c r="K19" i="20" s="1"/>
  <c r="L19" i="20" s="1"/>
  <c r="E12" i="20"/>
  <c r="G12" i="20" s="1"/>
  <c r="H12" i="20" s="1"/>
  <c r="K12" i="20" s="1"/>
  <c r="L12" i="20" s="1"/>
  <c r="E15" i="20"/>
  <c r="G15" i="20" s="1"/>
  <c r="H15" i="20" s="1"/>
  <c r="K15" i="20" s="1"/>
  <c r="L15" i="20" s="1"/>
  <c r="E10" i="20"/>
  <c r="G10" i="20" s="1"/>
  <c r="H10" i="20" s="1"/>
  <c r="K10" i="20" s="1"/>
  <c r="L10" i="20" s="1"/>
  <c r="E18" i="20"/>
  <c r="G18" i="20" s="1"/>
  <c r="H18" i="20" s="1"/>
  <c r="K18" i="20" s="1"/>
  <c r="L18" i="20" s="1"/>
  <c r="E6" i="20"/>
  <c r="G6" i="20" s="1"/>
  <c r="H6" i="20" s="1"/>
  <c r="K6" i="20" s="1"/>
  <c r="L6" i="20" s="1"/>
  <c r="E14" i="20"/>
  <c r="G14" i="20" s="1"/>
  <c r="H14" i="20" s="1"/>
  <c r="K14" i="20" s="1"/>
  <c r="L14" i="20" s="1"/>
  <c r="E9" i="20"/>
  <c r="G9" i="20" s="1"/>
  <c r="H9" i="20" s="1"/>
  <c r="K9" i="20" s="1"/>
  <c r="L9" i="20" s="1"/>
  <c r="E17" i="20"/>
  <c r="G17" i="20" s="1"/>
  <c r="H17" i="20" s="1"/>
  <c r="K17" i="20" s="1"/>
  <c r="L17" i="20" s="1"/>
  <c r="C52" i="20"/>
  <c r="E7" i="20"/>
  <c r="G7" i="20" s="1"/>
  <c r="H7" i="20" s="1"/>
  <c r="K7" i="20" s="1"/>
  <c r="L7" i="20" s="1"/>
  <c r="D52" i="19"/>
  <c r="G1" i="19"/>
  <c r="I1" i="19" s="1"/>
  <c r="G1" i="11"/>
  <c r="E18" i="11"/>
  <c r="G18" i="11" s="1"/>
  <c r="H18" i="11" s="1"/>
  <c r="K18" i="11" s="1"/>
  <c r="L18" i="11" s="1"/>
  <c r="E26" i="11"/>
  <c r="G26" i="11" s="1"/>
  <c r="H26" i="11" s="1"/>
  <c r="K26" i="11" s="1"/>
  <c r="L26" i="11" s="1"/>
  <c r="E19" i="11"/>
  <c r="G19" i="11" s="1"/>
  <c r="H19" i="11" s="1"/>
  <c r="K19" i="11" s="1"/>
  <c r="L19" i="11" s="1"/>
  <c r="E27" i="11"/>
  <c r="G27" i="11" s="1"/>
  <c r="H27" i="11" s="1"/>
  <c r="K27" i="11" s="1"/>
  <c r="L27" i="11" s="1"/>
  <c r="E23" i="11"/>
  <c r="G23" i="11" s="1"/>
  <c r="H23" i="11" s="1"/>
  <c r="K23" i="11" s="1"/>
  <c r="L23" i="11" s="1"/>
  <c r="E20" i="11"/>
  <c r="G20" i="11" s="1"/>
  <c r="H20" i="11" s="1"/>
  <c r="K20" i="11" s="1"/>
  <c r="L20" i="11" s="1"/>
  <c r="E14" i="11"/>
  <c r="G14" i="11" s="1"/>
  <c r="H14" i="11" s="1"/>
  <c r="E21" i="11"/>
  <c r="G21" i="11" s="1"/>
  <c r="H21" i="11" s="1"/>
  <c r="K21" i="11" s="1"/>
  <c r="L21" i="11" s="1"/>
  <c r="E22" i="11"/>
  <c r="G22" i="11" s="1"/>
  <c r="H22" i="11" s="1"/>
  <c r="K22" i="11" s="1"/>
  <c r="L22" i="11" s="1"/>
  <c r="E16" i="11"/>
  <c r="G16" i="11" s="1"/>
  <c r="H16" i="11" s="1"/>
  <c r="K16" i="11" s="1"/>
  <c r="L16" i="11" s="1"/>
  <c r="E24" i="11"/>
  <c r="G24" i="11" s="1"/>
  <c r="H24" i="11" s="1"/>
  <c r="K24" i="11" s="1"/>
  <c r="L24" i="11" s="1"/>
  <c r="E17" i="11"/>
  <c r="G17" i="11" s="1"/>
  <c r="H17" i="11" s="1"/>
  <c r="K17" i="11" s="1"/>
  <c r="L17" i="11" s="1"/>
  <c r="E25" i="11"/>
  <c r="G25" i="11" s="1"/>
  <c r="H25" i="11" s="1"/>
  <c r="K25" i="11" s="1"/>
  <c r="L25" i="11" s="1"/>
  <c r="E15" i="11"/>
  <c r="G15" i="11" s="1"/>
  <c r="H15" i="11" s="1"/>
  <c r="K15" i="11" s="1"/>
  <c r="L15" i="11" s="1"/>
  <c r="E12" i="7"/>
  <c r="G12" i="7" s="1"/>
  <c r="H12" i="7" s="1"/>
  <c r="K12" i="7" s="1"/>
  <c r="L12" i="7" s="1"/>
  <c r="C52" i="7"/>
  <c r="E7" i="7"/>
  <c r="G7" i="7" s="1"/>
  <c r="H7" i="7" s="1"/>
  <c r="K7" i="7" s="1"/>
  <c r="L7" i="7" s="1"/>
  <c r="E15" i="7"/>
  <c r="G15" i="7" s="1"/>
  <c r="H15" i="7" s="1"/>
  <c r="K15" i="7" s="1"/>
  <c r="L15" i="7" s="1"/>
  <c r="E10" i="7"/>
  <c r="G10" i="7" s="1"/>
  <c r="H10" i="7" s="1"/>
  <c r="K10" i="7" s="1"/>
  <c r="L10" i="7" s="1"/>
  <c r="E18" i="7"/>
  <c r="G18" i="7" s="1"/>
  <c r="H18" i="7" s="1"/>
  <c r="K18" i="7" s="1"/>
  <c r="L18" i="7" s="1"/>
  <c r="E13" i="7"/>
  <c r="G13" i="7" s="1"/>
  <c r="H13" i="7" s="1"/>
  <c r="K13" i="7" s="1"/>
  <c r="L13" i="7" s="1"/>
  <c r="E8" i="7"/>
  <c r="G8" i="7" s="1"/>
  <c r="H8" i="7" s="1"/>
  <c r="K8" i="7" s="1"/>
  <c r="L8" i="7" s="1"/>
  <c r="E16" i="7"/>
  <c r="G16" i="7" s="1"/>
  <c r="H16" i="7" s="1"/>
  <c r="K16" i="7" s="1"/>
  <c r="L16" i="7" s="1"/>
  <c r="E11" i="7"/>
  <c r="G11" i="7" s="1"/>
  <c r="H11" i="7" s="1"/>
  <c r="K11" i="7" s="1"/>
  <c r="L11" i="7" s="1"/>
  <c r="E19" i="7"/>
  <c r="G19" i="7" s="1"/>
  <c r="H19" i="7" s="1"/>
  <c r="K19" i="7" s="1"/>
  <c r="L19" i="7" s="1"/>
  <c r="E6" i="7"/>
  <c r="G6" i="7" s="1"/>
  <c r="H6" i="7" s="1"/>
  <c r="K6" i="7" s="1"/>
  <c r="L6" i="7" s="1"/>
  <c r="E14" i="7"/>
  <c r="G14" i="7" s="1"/>
  <c r="H14" i="7" s="1"/>
  <c r="K14" i="7" s="1"/>
  <c r="L14" i="7" s="1"/>
  <c r="E9" i="7"/>
  <c r="G9" i="7" s="1"/>
  <c r="H9" i="7" s="1"/>
  <c r="K9" i="7" s="1"/>
  <c r="L9" i="7" s="1"/>
  <c r="E17" i="7"/>
  <c r="G17" i="7" s="1"/>
  <c r="H17" i="7" s="1"/>
  <c r="K17" i="7" s="1"/>
  <c r="L17" i="7" s="1"/>
  <c r="C52" i="45"/>
  <c r="C53" i="45" s="1"/>
  <c r="D53" i="45" s="1"/>
  <c r="E13" i="45"/>
  <c r="G13" i="45" s="1"/>
  <c r="H13" i="45" s="1"/>
  <c r="K13" i="45" s="1"/>
  <c r="L13" i="45" s="1"/>
  <c r="E14" i="45"/>
  <c r="G14" i="45" s="1"/>
  <c r="H14" i="45" s="1"/>
  <c r="K14" i="45" s="1"/>
  <c r="L14" i="45" s="1"/>
  <c r="E10" i="45"/>
  <c r="G10" i="45" s="1"/>
  <c r="H10" i="45" s="1"/>
  <c r="K10" i="45" s="1"/>
  <c r="L10" i="45" s="1"/>
  <c r="E18" i="45"/>
  <c r="G18" i="45" s="1"/>
  <c r="H18" i="45" s="1"/>
  <c r="K18" i="45" s="1"/>
  <c r="L18" i="45" s="1"/>
  <c r="E6" i="45"/>
  <c r="G6" i="45" s="1"/>
  <c r="H6" i="45" s="1"/>
  <c r="K6" i="45" s="1"/>
  <c r="L6" i="45" s="1"/>
  <c r="J52" i="45"/>
  <c r="I52" i="45" s="1"/>
  <c r="D52" i="45"/>
  <c r="V44" i="45" s="1"/>
  <c r="E7" i="45"/>
  <c r="G7" i="45" s="1"/>
  <c r="H7" i="45" s="1"/>
  <c r="K7" i="45" s="1"/>
  <c r="L7" i="45" s="1"/>
  <c r="E11" i="45"/>
  <c r="G11" i="45" s="1"/>
  <c r="H11" i="45" s="1"/>
  <c r="K11" i="45" s="1"/>
  <c r="L11" i="45" s="1"/>
  <c r="E20" i="45"/>
  <c r="G20" i="45" s="1"/>
  <c r="H20" i="45" s="1"/>
  <c r="K20" i="45" s="1"/>
  <c r="L20" i="45" s="1"/>
  <c r="E5" i="45"/>
  <c r="E12" i="45"/>
  <c r="G12" i="45" s="1"/>
  <c r="H12" i="45" s="1"/>
  <c r="K12" i="45" s="1"/>
  <c r="L12" i="45" s="1"/>
  <c r="E16" i="45"/>
  <c r="G16" i="45" s="1"/>
  <c r="H16" i="45" s="1"/>
  <c r="K16" i="45" s="1"/>
  <c r="L16" i="45" s="1"/>
  <c r="E19" i="45"/>
  <c r="G19" i="45" s="1"/>
  <c r="H19" i="45" s="1"/>
  <c r="K19" i="45" s="1"/>
  <c r="L19" i="45" s="1"/>
  <c r="E17" i="45"/>
  <c r="G17" i="45" s="1"/>
  <c r="H17" i="45" s="1"/>
  <c r="K17" i="45" s="1"/>
  <c r="L17" i="45" s="1"/>
  <c r="E8" i="45"/>
  <c r="G8" i="45" s="1"/>
  <c r="H8" i="45" s="1"/>
  <c r="K8" i="45" s="1"/>
  <c r="L8" i="45" s="1"/>
  <c r="E15" i="45"/>
  <c r="G15" i="45" s="1"/>
  <c r="H15" i="45" s="1"/>
  <c r="K15" i="45" s="1"/>
  <c r="L15" i="45" s="1"/>
  <c r="E9" i="45"/>
  <c r="G9" i="45" s="1"/>
  <c r="H9" i="45" s="1"/>
  <c r="K9" i="45" s="1"/>
  <c r="L9" i="45" s="1"/>
  <c r="U44" i="45"/>
  <c r="W44" i="45" s="1"/>
  <c r="J51" i="45" s="1"/>
  <c r="D52" i="3"/>
  <c r="G1" i="3"/>
  <c r="I1" i="3" s="1"/>
  <c r="J53" i="6"/>
  <c r="B73" i="6" s="1"/>
  <c r="I52" i="6"/>
  <c r="G1" i="6"/>
  <c r="I1" i="6" s="1"/>
  <c r="D52" i="6"/>
  <c r="J53" i="9"/>
  <c r="I52" i="9"/>
  <c r="H52" i="9" s="1"/>
  <c r="E65" i="9" s="1"/>
  <c r="D52" i="9"/>
  <c r="G1" i="9"/>
  <c r="I1" i="9" s="1"/>
  <c r="C52" i="9" s="1"/>
  <c r="E13" i="75"/>
  <c r="G13" i="75" s="1"/>
  <c r="H13" i="75" s="1"/>
  <c r="E15" i="75"/>
  <c r="G15" i="75" s="1"/>
  <c r="H15" i="75" s="1"/>
  <c r="K15" i="75" s="1"/>
  <c r="L15" i="75" s="1"/>
  <c r="E22" i="75"/>
  <c r="G22" i="75" s="1"/>
  <c r="H22" i="75" s="1"/>
  <c r="K22" i="75" s="1"/>
  <c r="L22" i="75" s="1"/>
  <c r="E24" i="75"/>
  <c r="G24" i="75" s="1"/>
  <c r="H24" i="75" s="1"/>
  <c r="K24" i="75" s="1"/>
  <c r="L24" i="75" s="1"/>
  <c r="E21" i="75"/>
  <c r="G21" i="75" s="1"/>
  <c r="H21" i="75" s="1"/>
  <c r="K21" i="75" s="1"/>
  <c r="L21" i="75" s="1"/>
  <c r="E20" i="75"/>
  <c r="G20" i="75" s="1"/>
  <c r="H20" i="75" s="1"/>
  <c r="K20" i="75" s="1"/>
  <c r="L20" i="75" s="1"/>
  <c r="E19" i="75"/>
  <c r="G19" i="75" s="1"/>
  <c r="H19" i="75" s="1"/>
  <c r="K19" i="75" s="1"/>
  <c r="L19" i="75" s="1"/>
  <c r="E18" i="75"/>
  <c r="G18" i="75" s="1"/>
  <c r="H18" i="75" s="1"/>
  <c r="K18" i="75" s="1"/>
  <c r="L18" i="75" s="1"/>
  <c r="E17" i="75"/>
  <c r="G17" i="75" s="1"/>
  <c r="H17" i="75" s="1"/>
  <c r="K17" i="75" s="1"/>
  <c r="L17" i="75" s="1"/>
  <c r="E16" i="75"/>
  <c r="G16" i="75" s="1"/>
  <c r="H16" i="75" s="1"/>
  <c r="K16" i="75" s="1"/>
  <c r="L16" i="75" s="1"/>
  <c r="E14" i="75"/>
  <c r="G14" i="75" s="1"/>
  <c r="H14" i="75" s="1"/>
  <c r="K14" i="75" s="1"/>
  <c r="L14" i="75" s="1"/>
  <c r="E23" i="75"/>
  <c r="G23" i="75" s="1"/>
  <c r="H23" i="75" s="1"/>
  <c r="K23" i="75" s="1"/>
  <c r="L23" i="75" s="1"/>
  <c r="G1" i="74"/>
  <c r="I1" i="74" s="1"/>
  <c r="D52" i="74"/>
  <c r="AM6" i="73"/>
  <c r="AO6" i="73" s="1"/>
  <c r="AP6" i="73" s="1"/>
  <c r="AS6" i="73" s="1"/>
  <c r="AT6" i="73" s="1"/>
  <c r="AM11" i="73"/>
  <c r="AO11" i="73" s="1"/>
  <c r="AP11" i="73" s="1"/>
  <c r="AS11" i="73" s="1"/>
  <c r="AT11" i="73" s="1"/>
  <c r="AM7" i="73"/>
  <c r="AO7" i="73" s="1"/>
  <c r="AP7" i="73" s="1"/>
  <c r="AS7" i="73" s="1"/>
  <c r="AT7" i="73" s="1"/>
  <c r="AM12" i="73"/>
  <c r="AO12" i="73" s="1"/>
  <c r="AP12" i="73" s="1"/>
  <c r="AS12" i="73" s="1"/>
  <c r="AT12" i="73" s="1"/>
  <c r="AM10" i="73"/>
  <c r="AO10" i="73" s="1"/>
  <c r="AP10" i="73" s="1"/>
  <c r="AS10" i="73" s="1"/>
  <c r="AT10" i="73" s="1"/>
  <c r="AM8" i="73"/>
  <c r="AO8" i="73" s="1"/>
  <c r="AP8" i="73" s="1"/>
  <c r="AS8" i="73" s="1"/>
  <c r="AT8" i="73" s="1"/>
  <c r="AM5" i="73"/>
  <c r="AO5" i="73" s="1"/>
  <c r="AP5" i="73" s="1"/>
  <c r="AM9" i="73"/>
  <c r="AO9" i="73" s="1"/>
  <c r="AP9" i="73" s="1"/>
  <c r="AS9" i="73" s="1"/>
  <c r="AT9" i="73" s="1"/>
  <c r="AM13" i="73"/>
  <c r="AO13" i="73" s="1"/>
  <c r="AP13" i="73" s="1"/>
  <c r="AS13" i="73" s="1"/>
  <c r="AT13" i="73" s="1"/>
  <c r="G1" i="71"/>
  <c r="I1" i="71" s="1"/>
  <c r="D52" i="71"/>
  <c r="E1" i="70"/>
  <c r="I52" i="66"/>
  <c r="J53" i="66"/>
  <c r="B75" i="66" s="1"/>
  <c r="H75" i="66" s="1"/>
  <c r="H5" i="66"/>
  <c r="K5" i="66" s="1"/>
  <c r="L5" i="66" s="1"/>
  <c r="D52" i="69"/>
  <c r="G1" i="69"/>
  <c r="I1" i="69" s="1"/>
  <c r="D5" i="28" l="1"/>
  <c r="I52" i="48"/>
  <c r="J53" i="48"/>
  <c r="E16" i="29"/>
  <c r="G16" i="29" s="1"/>
  <c r="H16" i="29" s="1"/>
  <c r="K16" i="29" s="1"/>
  <c r="L16" i="29" s="1"/>
  <c r="E15" i="29"/>
  <c r="G15" i="29" s="1"/>
  <c r="H15" i="29" s="1"/>
  <c r="K15" i="29" s="1"/>
  <c r="L15" i="29" s="1"/>
  <c r="AM13" i="43"/>
  <c r="AO13" i="43" s="1"/>
  <c r="AP13" i="43" s="1"/>
  <c r="AS13" i="43" s="1"/>
  <c r="AT13" i="43" s="1"/>
  <c r="AM16" i="43"/>
  <c r="AO16" i="43" s="1"/>
  <c r="AP16" i="43" s="1"/>
  <c r="AS16" i="43" s="1"/>
  <c r="AT16" i="43" s="1"/>
  <c r="AM10" i="43"/>
  <c r="AO10" i="43" s="1"/>
  <c r="AP10" i="43" s="1"/>
  <c r="AS10" i="43" s="1"/>
  <c r="AT10" i="43" s="1"/>
  <c r="AM17" i="43"/>
  <c r="AO17" i="43" s="1"/>
  <c r="AP17" i="43" s="1"/>
  <c r="AS17" i="43" s="1"/>
  <c r="AT17" i="43" s="1"/>
  <c r="AM9" i="43"/>
  <c r="AO9" i="43" s="1"/>
  <c r="AP9" i="43" s="1"/>
  <c r="AS9" i="43" s="1"/>
  <c r="AT9" i="43" s="1"/>
  <c r="AM11" i="43"/>
  <c r="AO11" i="43" s="1"/>
  <c r="AP11" i="43" s="1"/>
  <c r="AS11" i="43" s="1"/>
  <c r="AT11" i="43" s="1"/>
  <c r="AM15" i="43"/>
  <c r="AO15" i="43" s="1"/>
  <c r="AP15" i="43" s="1"/>
  <c r="AS15" i="43" s="1"/>
  <c r="AT15" i="43" s="1"/>
  <c r="AM8" i="43"/>
  <c r="AO8" i="43" s="1"/>
  <c r="AP8" i="43" s="1"/>
  <c r="AS8" i="43" s="1"/>
  <c r="AT8" i="43" s="1"/>
  <c r="AM12" i="43"/>
  <c r="AO12" i="43" s="1"/>
  <c r="AP12" i="43" s="1"/>
  <c r="AS12" i="43" s="1"/>
  <c r="AT12" i="43" s="1"/>
  <c r="AM7" i="43"/>
  <c r="AO7" i="43" s="1"/>
  <c r="AP7" i="43" s="1"/>
  <c r="AS7" i="43" s="1"/>
  <c r="AT7" i="43" s="1"/>
  <c r="AM14" i="43"/>
  <c r="AO14" i="43" s="1"/>
  <c r="AP14" i="43" s="1"/>
  <c r="AS14" i="43" s="1"/>
  <c r="AT14" i="43" s="1"/>
  <c r="E7" i="29"/>
  <c r="G7" i="29" s="1"/>
  <c r="H7" i="29" s="1"/>
  <c r="K7" i="29" s="1"/>
  <c r="L7" i="29" s="1"/>
  <c r="E8" i="29"/>
  <c r="G8" i="29" s="1"/>
  <c r="H8" i="29" s="1"/>
  <c r="K8" i="29" s="1"/>
  <c r="L8" i="29" s="1"/>
  <c r="E18" i="29"/>
  <c r="G18" i="29" s="1"/>
  <c r="H18" i="29" s="1"/>
  <c r="K18" i="29" s="1"/>
  <c r="L18" i="29" s="1"/>
  <c r="E10" i="29"/>
  <c r="G10" i="29" s="1"/>
  <c r="H10" i="29" s="1"/>
  <c r="K10" i="29" s="1"/>
  <c r="L10" i="29" s="1"/>
  <c r="C52" i="29"/>
  <c r="C53" i="29" s="1"/>
  <c r="D53" i="29" s="1"/>
  <c r="E17" i="29"/>
  <c r="G17" i="29" s="1"/>
  <c r="H17" i="29" s="1"/>
  <c r="K17" i="29" s="1"/>
  <c r="L17" i="29" s="1"/>
  <c r="E6" i="29"/>
  <c r="G6" i="29" s="1"/>
  <c r="H6" i="29" s="1"/>
  <c r="K6" i="29" s="1"/>
  <c r="L6" i="29" s="1"/>
  <c r="E14" i="29"/>
  <c r="G14" i="29" s="1"/>
  <c r="H14" i="29" s="1"/>
  <c r="K14" i="29" s="1"/>
  <c r="L14" i="29" s="1"/>
  <c r="E11" i="29"/>
  <c r="G11" i="29" s="1"/>
  <c r="H11" i="29" s="1"/>
  <c r="K11" i="29" s="1"/>
  <c r="L11" i="29" s="1"/>
  <c r="E13" i="29"/>
  <c r="G13" i="29" s="1"/>
  <c r="H13" i="29" s="1"/>
  <c r="K13" i="29" s="1"/>
  <c r="L13" i="29" s="1"/>
  <c r="E19" i="29"/>
  <c r="G19" i="29" s="1"/>
  <c r="H19" i="29" s="1"/>
  <c r="K19" i="29" s="1"/>
  <c r="L19" i="29" s="1"/>
  <c r="D52" i="29"/>
  <c r="V35" i="56"/>
  <c r="AA30" i="56" s="1"/>
  <c r="V28" i="79"/>
  <c r="V32" i="79" s="1"/>
  <c r="S30" i="83"/>
  <c r="AC25" i="83" s="1"/>
  <c r="S30" i="84"/>
  <c r="AC25" i="84" s="1"/>
  <c r="K13" i="75"/>
  <c r="L13" i="75" s="1"/>
  <c r="U33" i="75" s="1"/>
  <c r="AA30" i="75" s="1"/>
  <c r="U28" i="75"/>
  <c r="V35" i="73"/>
  <c r="AA30" i="73" s="1"/>
  <c r="G1" i="73"/>
  <c r="I1" i="73" s="1"/>
  <c r="D52" i="73"/>
  <c r="G1" i="72"/>
  <c r="I1" i="72" s="1"/>
  <c r="D52" i="72"/>
  <c r="V35" i="79"/>
  <c r="Z30" i="79" s="1"/>
  <c r="AA30" i="50"/>
  <c r="U35" i="36"/>
  <c r="AA30" i="36"/>
  <c r="AC30" i="36" s="1"/>
  <c r="AC25" i="36" s="1"/>
  <c r="E5" i="32"/>
  <c r="G5" i="32" s="1"/>
  <c r="H5" i="32" s="1"/>
  <c r="K5" i="32" s="1"/>
  <c r="L5" i="32" s="1"/>
  <c r="S35" i="32" s="1"/>
  <c r="AA30" i="32" s="1"/>
  <c r="H53" i="32"/>
  <c r="B82" i="32"/>
  <c r="I53" i="32"/>
  <c r="E12" i="29"/>
  <c r="G12" i="29" s="1"/>
  <c r="H12" i="29" s="1"/>
  <c r="K12" i="29" s="1"/>
  <c r="L12" i="29" s="1"/>
  <c r="E9" i="29"/>
  <c r="G9" i="29" s="1"/>
  <c r="H9" i="29" s="1"/>
  <c r="K9" i="29" s="1"/>
  <c r="L9" i="29" s="1"/>
  <c r="T33" i="23"/>
  <c r="AA30" i="23"/>
  <c r="AC30" i="23" s="1"/>
  <c r="V35" i="21"/>
  <c r="AA30" i="21" s="1"/>
  <c r="V28" i="56"/>
  <c r="T35" i="45"/>
  <c r="AB30" i="45" s="1"/>
  <c r="V28" i="22"/>
  <c r="T35" i="20"/>
  <c r="K14" i="11"/>
  <c r="L14" i="11" s="1"/>
  <c r="V35" i="11" s="1"/>
  <c r="AA30" i="11" s="1"/>
  <c r="V28" i="11"/>
  <c r="F82" i="6"/>
  <c r="F10" i="6"/>
  <c r="F69" i="6"/>
  <c r="E68" i="68"/>
  <c r="E66" i="68"/>
  <c r="E69" i="68"/>
  <c r="E70" i="68"/>
  <c r="E71" i="68"/>
  <c r="E72" i="68"/>
  <c r="E65" i="68"/>
  <c r="E67" i="68"/>
  <c r="H52" i="49"/>
  <c r="D120" i="57"/>
  <c r="D65" i="57"/>
  <c r="D93" i="57"/>
  <c r="V35" i="22"/>
  <c r="AA30" i="22" s="1"/>
  <c r="V28" i="21"/>
  <c r="V35" i="28"/>
  <c r="AA30" i="28" s="1"/>
  <c r="D115" i="8"/>
  <c r="D65" i="8"/>
  <c r="D90" i="8"/>
  <c r="E66" i="82"/>
  <c r="E67" i="82"/>
  <c r="E68" i="82"/>
  <c r="E65" i="82"/>
  <c r="H52" i="46"/>
  <c r="AB29" i="3"/>
  <c r="AE31" i="3"/>
  <c r="V35" i="29"/>
  <c r="AA30" i="29" s="1"/>
  <c r="AC29" i="17"/>
  <c r="T35" i="7"/>
  <c r="AD29" i="3"/>
  <c r="V28" i="15"/>
  <c r="V32" i="15" s="1"/>
  <c r="V35" i="15"/>
  <c r="AA30" i="15" s="1"/>
  <c r="E15" i="87"/>
  <c r="G15" i="87" s="1"/>
  <c r="H15" i="87" s="1"/>
  <c r="K15" i="87" s="1"/>
  <c r="L15" i="87" s="1"/>
  <c r="E19" i="87"/>
  <c r="G19" i="87" s="1"/>
  <c r="H19" i="87" s="1"/>
  <c r="K19" i="87" s="1"/>
  <c r="L19" i="87" s="1"/>
  <c r="E6" i="87"/>
  <c r="G6" i="87" s="1"/>
  <c r="H6" i="87" s="1"/>
  <c r="K6" i="87" s="1"/>
  <c r="L6" i="87" s="1"/>
  <c r="E18" i="87"/>
  <c r="G18" i="87" s="1"/>
  <c r="H18" i="87" s="1"/>
  <c r="K18" i="87" s="1"/>
  <c r="L18" i="87" s="1"/>
  <c r="E7" i="87"/>
  <c r="G7" i="87" s="1"/>
  <c r="H7" i="87" s="1"/>
  <c r="K7" i="87" s="1"/>
  <c r="L7" i="87" s="1"/>
  <c r="E14" i="87"/>
  <c r="G14" i="87" s="1"/>
  <c r="H14" i="87" s="1"/>
  <c r="K14" i="87" s="1"/>
  <c r="L14" i="87" s="1"/>
  <c r="E11" i="87"/>
  <c r="G11" i="87" s="1"/>
  <c r="H11" i="87" s="1"/>
  <c r="K11" i="87" s="1"/>
  <c r="L11" i="87" s="1"/>
  <c r="E16" i="87"/>
  <c r="G16" i="87" s="1"/>
  <c r="H16" i="87" s="1"/>
  <c r="K16" i="87" s="1"/>
  <c r="L16" i="87" s="1"/>
  <c r="E13" i="87"/>
  <c r="G13" i="87" s="1"/>
  <c r="H13" i="87" s="1"/>
  <c r="K13" i="87" s="1"/>
  <c r="L13" i="87" s="1"/>
  <c r="E8" i="87"/>
  <c r="G8" i="87" s="1"/>
  <c r="H8" i="87" s="1"/>
  <c r="K8" i="87" s="1"/>
  <c r="L8" i="87" s="1"/>
  <c r="E10" i="87"/>
  <c r="G10" i="87" s="1"/>
  <c r="H10" i="87" s="1"/>
  <c r="K10" i="87" s="1"/>
  <c r="L10" i="87" s="1"/>
  <c r="E17" i="87"/>
  <c r="G17" i="87" s="1"/>
  <c r="H17" i="87" s="1"/>
  <c r="K17" i="87" s="1"/>
  <c r="L17" i="87" s="1"/>
  <c r="E9" i="87"/>
  <c r="G9" i="87" s="1"/>
  <c r="H9" i="87" s="1"/>
  <c r="K9" i="87" s="1"/>
  <c r="L9" i="87" s="1"/>
  <c r="E12" i="87"/>
  <c r="G12" i="87" s="1"/>
  <c r="H12" i="87" s="1"/>
  <c r="K12" i="87" s="1"/>
  <c r="L12" i="87" s="1"/>
  <c r="AB29" i="11"/>
  <c r="E6" i="11"/>
  <c r="G6" i="11" s="1"/>
  <c r="H6" i="11" s="1"/>
  <c r="K6" i="11" s="1"/>
  <c r="E5" i="11"/>
  <c r="G5" i="11" s="1"/>
  <c r="H5" i="11" s="1"/>
  <c r="K5" i="11" s="1"/>
  <c r="L5" i="11" s="1"/>
  <c r="S35" i="11" s="1"/>
  <c r="AB30" i="11" s="1"/>
  <c r="V28" i="73"/>
  <c r="AA29" i="62"/>
  <c r="AD29" i="62"/>
  <c r="V28" i="58"/>
  <c r="V35" i="58"/>
  <c r="Z30" i="58" s="1"/>
  <c r="V28" i="29"/>
  <c r="V28" i="28"/>
  <c r="AB29" i="29"/>
  <c r="AF29" i="29"/>
  <c r="AD29" i="29"/>
  <c r="AB29" i="28"/>
  <c r="AD29" i="28"/>
  <c r="AF29" i="28"/>
  <c r="AB29" i="17"/>
  <c r="AD29" i="17"/>
  <c r="AF29" i="17"/>
  <c r="AF29" i="8"/>
  <c r="E6" i="5"/>
  <c r="G6" i="5" s="1"/>
  <c r="H6" i="5" s="1"/>
  <c r="K6" i="5" s="1"/>
  <c r="L6" i="5" s="1"/>
  <c r="E28" i="5"/>
  <c r="G28" i="5" s="1"/>
  <c r="H28" i="5" s="1"/>
  <c r="K28" i="5" s="1"/>
  <c r="L28" i="5" s="1"/>
  <c r="AF29" i="3"/>
  <c r="AC29" i="3"/>
  <c r="D54" i="84"/>
  <c r="C55" i="84"/>
  <c r="H54" i="16"/>
  <c r="E66" i="16"/>
  <c r="B133" i="88"/>
  <c r="B116" i="88"/>
  <c r="J53" i="22"/>
  <c r="G82" i="45"/>
  <c r="E82" i="45"/>
  <c r="D52" i="22"/>
  <c r="I52" i="22"/>
  <c r="H52" i="22" s="1"/>
  <c r="G1" i="22"/>
  <c r="B132" i="88"/>
  <c r="B80" i="88"/>
  <c r="B99" i="88"/>
  <c r="B62" i="88"/>
  <c r="B115" i="88"/>
  <c r="B63" i="88"/>
  <c r="B98" i="88"/>
  <c r="B79" i="88"/>
  <c r="D129" i="66"/>
  <c r="D97" i="66"/>
  <c r="D65" i="66"/>
  <c r="D145" i="66"/>
  <c r="D113" i="66"/>
  <c r="D80" i="66"/>
  <c r="E5" i="66"/>
  <c r="H52" i="66" s="1"/>
  <c r="D5" i="60"/>
  <c r="H51" i="60" s="1"/>
  <c r="J54" i="56"/>
  <c r="B99" i="56" s="1"/>
  <c r="J55" i="75"/>
  <c r="I55" i="75" s="1"/>
  <c r="I54" i="75"/>
  <c r="H55" i="75"/>
  <c r="J54" i="73"/>
  <c r="B72" i="73"/>
  <c r="H51" i="73"/>
  <c r="H51" i="71"/>
  <c r="AD29" i="69"/>
  <c r="AF29" i="69"/>
  <c r="AB29" i="69"/>
  <c r="AC29" i="69"/>
  <c r="H51" i="53"/>
  <c r="D65" i="53"/>
  <c r="X54" i="52"/>
  <c r="AB52" i="52"/>
  <c r="AA52" i="52"/>
  <c r="AC52" i="52"/>
  <c r="X53" i="52"/>
  <c r="D5" i="48"/>
  <c r="D106" i="48" s="1"/>
  <c r="H51" i="37"/>
  <c r="D65" i="29"/>
  <c r="D110" i="29"/>
  <c r="D87" i="29"/>
  <c r="H51" i="29"/>
  <c r="H51" i="26"/>
  <c r="D127" i="23"/>
  <c r="D147" i="23"/>
  <c r="D107" i="23"/>
  <c r="D85" i="23"/>
  <c r="D65" i="23"/>
  <c r="D65" i="18"/>
  <c r="D90" i="18"/>
  <c r="H51" i="18"/>
  <c r="D65" i="17"/>
  <c r="D96" i="17"/>
  <c r="H51" i="17"/>
  <c r="H51" i="19"/>
  <c r="J52" i="4"/>
  <c r="I51" i="4"/>
  <c r="AF29" i="11"/>
  <c r="AC29" i="11"/>
  <c r="H52" i="5"/>
  <c r="D65" i="5"/>
  <c r="H51" i="5"/>
  <c r="D65" i="3"/>
  <c r="D117" i="3"/>
  <c r="D89" i="3"/>
  <c r="H51" i="3"/>
  <c r="H50" i="4"/>
  <c r="D120" i="4"/>
  <c r="D101" i="4"/>
  <c r="D81" i="4"/>
  <c r="D63" i="4"/>
  <c r="H49" i="4"/>
  <c r="D5" i="25"/>
  <c r="D52" i="48"/>
  <c r="C53" i="82"/>
  <c r="D53" i="82" s="1"/>
  <c r="E17" i="16"/>
  <c r="G17" i="16" s="1"/>
  <c r="H17" i="16" s="1"/>
  <c r="K17" i="16" s="1"/>
  <c r="L17" i="16" s="1"/>
  <c r="E18" i="16"/>
  <c r="G18" i="16" s="1"/>
  <c r="H18" i="16" s="1"/>
  <c r="K18" i="16" s="1"/>
  <c r="L18" i="16" s="1"/>
  <c r="E16" i="16"/>
  <c r="G16" i="16" s="1"/>
  <c r="H16" i="16" s="1"/>
  <c r="K16" i="16" s="1"/>
  <c r="L16" i="16" s="1"/>
  <c r="G1" i="48"/>
  <c r="I1" i="48" s="1"/>
  <c r="J53" i="70"/>
  <c r="B85" i="70" s="1"/>
  <c r="I52" i="70"/>
  <c r="E18" i="62"/>
  <c r="G18" i="62" s="1"/>
  <c r="H18" i="62" s="1"/>
  <c r="K18" i="62" s="1"/>
  <c r="L18" i="62" s="1"/>
  <c r="E14" i="62"/>
  <c r="G14" i="62" s="1"/>
  <c r="H14" i="62" s="1"/>
  <c r="K14" i="62" s="1"/>
  <c r="L14" i="62" s="1"/>
  <c r="E9" i="62"/>
  <c r="G9" i="62" s="1"/>
  <c r="H9" i="62" s="1"/>
  <c r="K9" i="62" s="1"/>
  <c r="L9" i="62" s="1"/>
  <c r="E17" i="62"/>
  <c r="G17" i="62" s="1"/>
  <c r="H17" i="62" s="1"/>
  <c r="K17" i="62" s="1"/>
  <c r="L17" i="62" s="1"/>
  <c r="E7" i="62"/>
  <c r="G7" i="62" s="1"/>
  <c r="H7" i="62" s="1"/>
  <c r="K7" i="62" s="1"/>
  <c r="L7" i="62" s="1"/>
  <c r="AM11" i="70"/>
  <c r="AO11" i="70" s="1"/>
  <c r="AP11" i="70" s="1"/>
  <c r="AS11" i="70" s="1"/>
  <c r="AT11" i="70" s="1"/>
  <c r="AM6" i="70"/>
  <c r="AO6" i="70" s="1"/>
  <c r="AP6" i="70" s="1"/>
  <c r="AM12" i="70"/>
  <c r="AO12" i="70" s="1"/>
  <c r="AP12" i="70" s="1"/>
  <c r="AS12" i="70" s="1"/>
  <c r="AT12" i="70" s="1"/>
  <c r="AM10" i="70"/>
  <c r="AO10" i="70" s="1"/>
  <c r="AP10" i="70" s="1"/>
  <c r="AS10" i="70" s="1"/>
  <c r="AT10" i="70" s="1"/>
  <c r="AM9" i="70"/>
  <c r="AO9" i="70" s="1"/>
  <c r="AP9" i="70" s="1"/>
  <c r="AS9" i="70" s="1"/>
  <c r="AT9" i="70" s="1"/>
  <c r="AM8" i="70"/>
  <c r="AO8" i="70" s="1"/>
  <c r="AP8" i="70" s="1"/>
  <c r="AS8" i="70" s="1"/>
  <c r="AT8" i="70" s="1"/>
  <c r="AM7" i="70"/>
  <c r="AO7" i="70" s="1"/>
  <c r="AP7" i="70" s="1"/>
  <c r="AS7" i="70" s="1"/>
  <c r="AT7" i="70" s="1"/>
  <c r="AM5" i="70"/>
  <c r="AO5" i="70" s="1"/>
  <c r="AP5" i="70" s="1"/>
  <c r="G65" i="83"/>
  <c r="H65" i="83" s="1"/>
  <c r="G66" i="83"/>
  <c r="H66" i="83" s="1"/>
  <c r="G67" i="83"/>
  <c r="H67" i="83" s="1"/>
  <c r="G68" i="83"/>
  <c r="H68" i="83" s="1"/>
  <c r="D52" i="47"/>
  <c r="G1" i="47"/>
  <c r="I1" i="47" s="1"/>
  <c r="E6" i="41"/>
  <c r="G6" i="41" s="1"/>
  <c r="H6" i="41" s="1"/>
  <c r="K6" i="41" s="1"/>
  <c r="L6" i="41" s="1"/>
  <c r="E9" i="41"/>
  <c r="G9" i="41" s="1"/>
  <c r="H9" i="41" s="1"/>
  <c r="K9" i="41" s="1"/>
  <c r="L9" i="41" s="1"/>
  <c r="E12" i="41"/>
  <c r="G12" i="41" s="1"/>
  <c r="H12" i="41" s="1"/>
  <c r="K12" i="41" s="1"/>
  <c r="L12" i="41" s="1"/>
  <c r="E13" i="41"/>
  <c r="G13" i="41" s="1"/>
  <c r="H13" i="41" s="1"/>
  <c r="K13" i="41" s="1"/>
  <c r="L13" i="41" s="1"/>
  <c r="E11" i="41"/>
  <c r="G11" i="41" s="1"/>
  <c r="H11" i="41" s="1"/>
  <c r="K11" i="41" s="1"/>
  <c r="L11" i="41" s="1"/>
  <c r="E7" i="41"/>
  <c r="G7" i="41" s="1"/>
  <c r="H7" i="41" s="1"/>
  <c r="K7" i="41" s="1"/>
  <c r="L7" i="41" s="1"/>
  <c r="E14" i="41"/>
  <c r="G14" i="41" s="1"/>
  <c r="H14" i="41" s="1"/>
  <c r="K14" i="41" s="1"/>
  <c r="L14" i="41" s="1"/>
  <c r="E10" i="41"/>
  <c r="G10" i="41" s="1"/>
  <c r="H10" i="41" s="1"/>
  <c r="K10" i="41" s="1"/>
  <c r="L10" i="41" s="1"/>
  <c r="E8" i="41"/>
  <c r="G8" i="41" s="1"/>
  <c r="H8" i="41" s="1"/>
  <c r="K8" i="41" s="1"/>
  <c r="L8" i="41" s="1"/>
  <c r="C52" i="41"/>
  <c r="E16" i="62"/>
  <c r="G16" i="62" s="1"/>
  <c r="H16" i="62" s="1"/>
  <c r="K16" i="62" s="1"/>
  <c r="L16" i="62" s="1"/>
  <c r="E15" i="62"/>
  <c r="G15" i="62" s="1"/>
  <c r="H15" i="62" s="1"/>
  <c r="K15" i="62" s="1"/>
  <c r="L15" i="62" s="1"/>
  <c r="E8" i="62"/>
  <c r="G8" i="62" s="1"/>
  <c r="H8" i="62" s="1"/>
  <c r="K8" i="62" s="1"/>
  <c r="L8" i="62" s="1"/>
  <c r="E19" i="62"/>
  <c r="G19" i="62" s="1"/>
  <c r="H19" i="62" s="1"/>
  <c r="K19" i="62" s="1"/>
  <c r="L19" i="62" s="1"/>
  <c r="I1" i="62"/>
  <c r="C52" i="62" s="1"/>
  <c r="E13" i="62"/>
  <c r="G13" i="62" s="1"/>
  <c r="H13" i="62" s="1"/>
  <c r="K13" i="62" s="1"/>
  <c r="L13" i="62" s="1"/>
  <c r="E11" i="62"/>
  <c r="G11" i="62" s="1"/>
  <c r="H11" i="62" s="1"/>
  <c r="K11" i="62" s="1"/>
  <c r="L11" i="62" s="1"/>
  <c r="E10" i="62"/>
  <c r="G10" i="62" s="1"/>
  <c r="H10" i="62" s="1"/>
  <c r="K10" i="62" s="1"/>
  <c r="L10" i="62" s="1"/>
  <c r="E12" i="62"/>
  <c r="G12" i="62" s="1"/>
  <c r="H12" i="62" s="1"/>
  <c r="K12" i="62" s="1"/>
  <c r="L12" i="62" s="1"/>
  <c r="E6" i="62"/>
  <c r="G6" i="62" s="1"/>
  <c r="H6" i="62" s="1"/>
  <c r="K6" i="62" s="1"/>
  <c r="L6" i="62" s="1"/>
  <c r="C53" i="68"/>
  <c r="C54" i="83"/>
  <c r="D54" i="83" s="1"/>
  <c r="AM6" i="69"/>
  <c r="AO6" i="69" s="1"/>
  <c r="AP6" i="69" s="1"/>
  <c r="AS6" i="69" s="1"/>
  <c r="AT6" i="69" s="1"/>
  <c r="AM5" i="69"/>
  <c r="AO5" i="69" s="1"/>
  <c r="AP5" i="69" s="1"/>
  <c r="AM11" i="69"/>
  <c r="AO11" i="69" s="1"/>
  <c r="AP11" i="69" s="1"/>
  <c r="AS11" i="69" s="1"/>
  <c r="AT11" i="69" s="1"/>
  <c r="AM8" i="69"/>
  <c r="AO8" i="69" s="1"/>
  <c r="AP8" i="69" s="1"/>
  <c r="AS8" i="69" s="1"/>
  <c r="AT8" i="69" s="1"/>
  <c r="AM7" i="69"/>
  <c r="AO7" i="69" s="1"/>
  <c r="AP7" i="69" s="1"/>
  <c r="AS7" i="69" s="1"/>
  <c r="AT7" i="69" s="1"/>
  <c r="AM9" i="69"/>
  <c r="AO9" i="69" s="1"/>
  <c r="AP9" i="69" s="1"/>
  <c r="AS9" i="69" s="1"/>
  <c r="AT9" i="69" s="1"/>
  <c r="AM10" i="69"/>
  <c r="AO10" i="69" s="1"/>
  <c r="AP10" i="69" s="1"/>
  <c r="AS10" i="69" s="1"/>
  <c r="AT10" i="69" s="1"/>
  <c r="I52" i="69"/>
  <c r="J53" i="69"/>
  <c r="B84" i="69" s="1"/>
  <c r="J53" i="61"/>
  <c r="B80" i="61" s="1"/>
  <c r="E9" i="67"/>
  <c r="G9" i="67" s="1"/>
  <c r="H9" i="67" s="1"/>
  <c r="K9" i="67" s="1"/>
  <c r="L9" i="67" s="1"/>
  <c r="E13" i="67"/>
  <c r="G13" i="67" s="1"/>
  <c r="H13" i="67" s="1"/>
  <c r="K13" i="67" s="1"/>
  <c r="L13" i="67" s="1"/>
  <c r="E15" i="67"/>
  <c r="G15" i="67" s="1"/>
  <c r="H15" i="67" s="1"/>
  <c r="K15" i="67" s="1"/>
  <c r="L15" i="67" s="1"/>
  <c r="E13" i="61"/>
  <c r="G13" i="61" s="1"/>
  <c r="H13" i="61" s="1"/>
  <c r="K13" i="61" s="1"/>
  <c r="L13" i="61" s="1"/>
  <c r="E11" i="61"/>
  <c r="G11" i="61" s="1"/>
  <c r="H11" i="61" s="1"/>
  <c r="K11" i="61" s="1"/>
  <c r="L11" i="61" s="1"/>
  <c r="E14" i="61"/>
  <c r="G14" i="61" s="1"/>
  <c r="H14" i="61" s="1"/>
  <c r="K14" i="61" s="1"/>
  <c r="L14" i="61" s="1"/>
  <c r="E18" i="61"/>
  <c r="G18" i="61" s="1"/>
  <c r="H18" i="61" s="1"/>
  <c r="K18" i="61" s="1"/>
  <c r="L18" i="61" s="1"/>
  <c r="E9" i="61"/>
  <c r="G9" i="61" s="1"/>
  <c r="H9" i="61" s="1"/>
  <c r="K9" i="61" s="1"/>
  <c r="L9" i="61" s="1"/>
  <c r="C52" i="61"/>
  <c r="E10" i="61"/>
  <c r="G10" i="61" s="1"/>
  <c r="H10" i="61" s="1"/>
  <c r="K10" i="61" s="1"/>
  <c r="L10" i="61" s="1"/>
  <c r="J53" i="72"/>
  <c r="B89" i="72" s="1"/>
  <c r="AM11" i="71"/>
  <c r="AO11" i="71" s="1"/>
  <c r="AP11" i="71" s="1"/>
  <c r="AS11" i="71" s="1"/>
  <c r="AT11" i="71" s="1"/>
  <c r="E8" i="67"/>
  <c r="G8" i="67" s="1"/>
  <c r="H8" i="67" s="1"/>
  <c r="K8" i="67" s="1"/>
  <c r="L8" i="67" s="1"/>
  <c r="E11" i="67"/>
  <c r="G11" i="67" s="1"/>
  <c r="H11" i="67" s="1"/>
  <c r="K11" i="67" s="1"/>
  <c r="L11" i="67" s="1"/>
  <c r="E6" i="67"/>
  <c r="G6" i="67" s="1"/>
  <c r="H6" i="67" s="1"/>
  <c r="K6" i="67" s="1"/>
  <c r="L6" i="67" s="1"/>
  <c r="E12" i="61"/>
  <c r="G12" i="61" s="1"/>
  <c r="H12" i="61" s="1"/>
  <c r="K12" i="61" s="1"/>
  <c r="L12" i="61" s="1"/>
  <c r="E17" i="61"/>
  <c r="G17" i="61" s="1"/>
  <c r="H17" i="61" s="1"/>
  <c r="K17" i="61" s="1"/>
  <c r="L17" i="61" s="1"/>
  <c r="E8" i="61"/>
  <c r="G8" i="61" s="1"/>
  <c r="H8" i="61" s="1"/>
  <c r="K8" i="61" s="1"/>
  <c r="L8" i="61" s="1"/>
  <c r="E7" i="61"/>
  <c r="G7" i="61" s="1"/>
  <c r="H7" i="61" s="1"/>
  <c r="K7" i="61" s="1"/>
  <c r="L7" i="61" s="1"/>
  <c r="E6" i="61"/>
  <c r="G6" i="61" s="1"/>
  <c r="H6" i="61" s="1"/>
  <c r="K6" i="61" s="1"/>
  <c r="L6" i="61" s="1"/>
  <c r="E15" i="61"/>
  <c r="G15" i="61" s="1"/>
  <c r="H15" i="61" s="1"/>
  <c r="K15" i="61" s="1"/>
  <c r="L15" i="61" s="1"/>
  <c r="I53" i="59"/>
  <c r="J54" i="59"/>
  <c r="B105" i="59" s="1"/>
  <c r="L5" i="77"/>
  <c r="S33" i="77" s="1"/>
  <c r="AM13" i="71"/>
  <c r="AO13" i="71" s="1"/>
  <c r="AP13" i="71" s="1"/>
  <c r="AS13" i="71" s="1"/>
  <c r="AT13" i="71" s="1"/>
  <c r="AM9" i="71"/>
  <c r="AO9" i="71" s="1"/>
  <c r="AP9" i="71" s="1"/>
  <c r="AS9" i="71" s="1"/>
  <c r="AT9" i="71" s="1"/>
  <c r="AM6" i="71"/>
  <c r="AO6" i="71" s="1"/>
  <c r="AP6" i="71" s="1"/>
  <c r="AS6" i="71" s="1"/>
  <c r="AT6" i="71" s="1"/>
  <c r="AM10" i="71"/>
  <c r="AO10" i="71" s="1"/>
  <c r="AP10" i="71" s="1"/>
  <c r="AS10" i="71" s="1"/>
  <c r="AT10" i="71" s="1"/>
  <c r="AM7" i="71"/>
  <c r="AO7" i="71" s="1"/>
  <c r="AP7" i="71" s="1"/>
  <c r="AS7" i="71" s="1"/>
  <c r="AT7" i="71" s="1"/>
  <c r="AM12" i="71"/>
  <c r="AO12" i="71" s="1"/>
  <c r="AP12" i="71" s="1"/>
  <c r="AS12" i="71" s="1"/>
  <c r="AT12" i="71" s="1"/>
  <c r="AM8" i="71"/>
  <c r="AO8" i="71" s="1"/>
  <c r="AP8" i="71" s="1"/>
  <c r="AS8" i="71" s="1"/>
  <c r="AT8" i="71" s="1"/>
  <c r="AM5" i="71"/>
  <c r="AO5" i="71" s="1"/>
  <c r="AP5" i="71" s="1"/>
  <c r="AM7" i="61"/>
  <c r="AM8" i="61"/>
  <c r="AM6" i="61"/>
  <c r="AM11" i="61"/>
  <c r="AM5" i="61"/>
  <c r="AM10" i="61"/>
  <c r="I52" i="61"/>
  <c r="AM9" i="61"/>
  <c r="J53" i="57"/>
  <c r="B87" i="57" s="1"/>
  <c r="I52" i="57"/>
  <c r="H52" i="57" s="1"/>
  <c r="AM6" i="57"/>
  <c r="AO6" i="57" s="1"/>
  <c r="AP6" i="57" s="1"/>
  <c r="AS6" i="57" s="1"/>
  <c r="AT6" i="57" s="1"/>
  <c r="E13" i="57"/>
  <c r="G13" i="57" s="1"/>
  <c r="H13" i="57" s="1"/>
  <c r="K13" i="57" s="1"/>
  <c r="L13" i="57" s="1"/>
  <c r="E16" i="57"/>
  <c r="G16" i="57" s="1"/>
  <c r="H16" i="57" s="1"/>
  <c r="K16" i="57" s="1"/>
  <c r="L16" i="57" s="1"/>
  <c r="E25" i="57"/>
  <c r="G25" i="57" s="1"/>
  <c r="H25" i="57" s="1"/>
  <c r="K25" i="57" s="1"/>
  <c r="L25" i="57" s="1"/>
  <c r="E23" i="57"/>
  <c r="G23" i="57" s="1"/>
  <c r="H23" i="57" s="1"/>
  <c r="K23" i="57" s="1"/>
  <c r="L23" i="57" s="1"/>
  <c r="E22" i="57"/>
  <c r="G22" i="57" s="1"/>
  <c r="H22" i="57" s="1"/>
  <c r="K22" i="57" s="1"/>
  <c r="L22" i="57" s="1"/>
  <c r="E21" i="57"/>
  <c r="G21" i="57" s="1"/>
  <c r="H21" i="57" s="1"/>
  <c r="K21" i="57" s="1"/>
  <c r="L21" i="57" s="1"/>
  <c r="E19" i="57"/>
  <c r="G19" i="57" s="1"/>
  <c r="H19" i="57" s="1"/>
  <c r="K19" i="57" s="1"/>
  <c r="L19" i="57" s="1"/>
  <c r="E17" i="57"/>
  <c r="G17" i="57" s="1"/>
  <c r="H17" i="57" s="1"/>
  <c r="K17" i="57" s="1"/>
  <c r="L17" i="57" s="1"/>
  <c r="AM18" i="57"/>
  <c r="AO18" i="57" s="1"/>
  <c r="AP18" i="57" s="1"/>
  <c r="AS18" i="57" s="1"/>
  <c r="AT18" i="57" s="1"/>
  <c r="AM8" i="57"/>
  <c r="AO8" i="57" s="1"/>
  <c r="AP8" i="57" s="1"/>
  <c r="AS8" i="57" s="1"/>
  <c r="AT8" i="57" s="1"/>
  <c r="AM7" i="57"/>
  <c r="AO7" i="57" s="1"/>
  <c r="AP7" i="57" s="1"/>
  <c r="AS7" i="57" s="1"/>
  <c r="AT7" i="57" s="1"/>
  <c r="AM11" i="57"/>
  <c r="AO11" i="57" s="1"/>
  <c r="AP11" i="57" s="1"/>
  <c r="AS11" i="57" s="1"/>
  <c r="AT11" i="57" s="1"/>
  <c r="AM5" i="57"/>
  <c r="AO5" i="57" s="1"/>
  <c r="AP5" i="57" s="1"/>
  <c r="AM9" i="57"/>
  <c r="AO9" i="57" s="1"/>
  <c r="AP9" i="57" s="1"/>
  <c r="AS9" i="57" s="1"/>
  <c r="AT9" i="57" s="1"/>
  <c r="AM16" i="57"/>
  <c r="AO16" i="57" s="1"/>
  <c r="AP16" i="57" s="1"/>
  <c r="AS16" i="57" s="1"/>
  <c r="AT16" i="57" s="1"/>
  <c r="AM12" i="57"/>
  <c r="AO12" i="57" s="1"/>
  <c r="AP12" i="57" s="1"/>
  <c r="AS12" i="57" s="1"/>
  <c r="AT12" i="57" s="1"/>
  <c r="AM19" i="57"/>
  <c r="AO19" i="57" s="1"/>
  <c r="AP19" i="57" s="1"/>
  <c r="AS19" i="57" s="1"/>
  <c r="AT19" i="57" s="1"/>
  <c r="AM17" i="57"/>
  <c r="AO17" i="57" s="1"/>
  <c r="AP17" i="57" s="1"/>
  <c r="AS17" i="57" s="1"/>
  <c r="AT17" i="57" s="1"/>
  <c r="AM14" i="57"/>
  <c r="AO14" i="57" s="1"/>
  <c r="AP14" i="57" s="1"/>
  <c r="AS14" i="57" s="1"/>
  <c r="AT14" i="57" s="1"/>
  <c r="AM13" i="57"/>
  <c r="AO13" i="57" s="1"/>
  <c r="AP13" i="57" s="1"/>
  <c r="AS13" i="57" s="1"/>
  <c r="AT13" i="57" s="1"/>
  <c r="AM10" i="57"/>
  <c r="AO10" i="57" s="1"/>
  <c r="AP10" i="57" s="1"/>
  <c r="AS10" i="57" s="1"/>
  <c r="AT10" i="57" s="1"/>
  <c r="AM15" i="57"/>
  <c r="AO15" i="57" s="1"/>
  <c r="AP15" i="57" s="1"/>
  <c r="AS15" i="57" s="1"/>
  <c r="AT15" i="57" s="1"/>
  <c r="C52" i="57"/>
  <c r="E24" i="57"/>
  <c r="G24" i="57" s="1"/>
  <c r="H24" i="57" s="1"/>
  <c r="K24" i="57" s="1"/>
  <c r="L24" i="57" s="1"/>
  <c r="E20" i="57"/>
  <c r="G20" i="57" s="1"/>
  <c r="H20" i="57" s="1"/>
  <c r="K20" i="57" s="1"/>
  <c r="L20" i="57" s="1"/>
  <c r="E18" i="57"/>
  <c r="G18" i="57" s="1"/>
  <c r="H18" i="57" s="1"/>
  <c r="K18" i="57" s="1"/>
  <c r="L18" i="57" s="1"/>
  <c r="E8" i="57"/>
  <c r="G8" i="57" s="1"/>
  <c r="H8" i="57" s="1"/>
  <c r="K8" i="57" s="1"/>
  <c r="L8" i="57" s="1"/>
  <c r="J53" i="41"/>
  <c r="B76" i="41" s="1"/>
  <c r="J53" i="71"/>
  <c r="B77" i="71" s="1"/>
  <c r="E7" i="82"/>
  <c r="G7" i="82" s="1"/>
  <c r="H7" i="82" s="1"/>
  <c r="K7" i="82" s="1"/>
  <c r="L7" i="82" s="1"/>
  <c r="E9" i="82"/>
  <c r="G9" i="82" s="1"/>
  <c r="H9" i="82" s="1"/>
  <c r="K9" i="82" s="1"/>
  <c r="L9" i="82" s="1"/>
  <c r="E6" i="82"/>
  <c r="G6" i="82" s="1"/>
  <c r="H6" i="82" s="1"/>
  <c r="K6" i="82" s="1"/>
  <c r="L6" i="82" s="1"/>
  <c r="C51" i="4"/>
  <c r="I53" i="77"/>
  <c r="J54" i="77"/>
  <c r="B84" i="77" s="1"/>
  <c r="H84" i="77" s="1"/>
  <c r="I52" i="71"/>
  <c r="AM12" i="61"/>
  <c r="E16" i="61"/>
  <c r="G16" i="61" s="1"/>
  <c r="H16" i="61" s="1"/>
  <c r="K16" i="61" s="1"/>
  <c r="L16" i="61" s="1"/>
  <c r="E15" i="59"/>
  <c r="G15" i="59" s="1"/>
  <c r="H15" i="59" s="1"/>
  <c r="K15" i="59" s="1"/>
  <c r="L15" i="59" s="1"/>
  <c r="E6" i="59"/>
  <c r="G6" i="59" s="1"/>
  <c r="H6" i="59" s="1"/>
  <c r="K6" i="59" s="1"/>
  <c r="L6" i="59" s="1"/>
  <c r="E10" i="59"/>
  <c r="G10" i="59" s="1"/>
  <c r="H10" i="59" s="1"/>
  <c r="K10" i="59" s="1"/>
  <c r="L10" i="59" s="1"/>
  <c r="E16" i="59"/>
  <c r="G16" i="59" s="1"/>
  <c r="H16" i="59" s="1"/>
  <c r="K16" i="59" s="1"/>
  <c r="L16" i="59" s="1"/>
  <c r="E20" i="59"/>
  <c r="G20" i="59" s="1"/>
  <c r="H20" i="59" s="1"/>
  <c r="K20" i="59" s="1"/>
  <c r="L20" i="59" s="1"/>
  <c r="C52" i="59"/>
  <c r="E19" i="59"/>
  <c r="G19" i="59" s="1"/>
  <c r="H19" i="59" s="1"/>
  <c r="K19" i="59" s="1"/>
  <c r="L19" i="59" s="1"/>
  <c r="E7" i="59"/>
  <c r="G7" i="59" s="1"/>
  <c r="H7" i="59" s="1"/>
  <c r="K7" i="59" s="1"/>
  <c r="L7" i="59" s="1"/>
  <c r="E17" i="59"/>
  <c r="G17" i="59" s="1"/>
  <c r="H17" i="59" s="1"/>
  <c r="K17" i="59" s="1"/>
  <c r="L17" i="59" s="1"/>
  <c r="E18" i="59"/>
  <c r="G18" i="59" s="1"/>
  <c r="H18" i="59" s="1"/>
  <c r="K18" i="59" s="1"/>
  <c r="L18" i="59" s="1"/>
  <c r="E8" i="59"/>
  <c r="G8" i="59" s="1"/>
  <c r="H8" i="59" s="1"/>
  <c r="K8" i="59" s="1"/>
  <c r="L8" i="59" s="1"/>
  <c r="J53" i="53"/>
  <c r="B72" i="53" s="1"/>
  <c r="C52" i="46"/>
  <c r="E11" i="46"/>
  <c r="G11" i="46" s="1"/>
  <c r="H11" i="46" s="1"/>
  <c r="K11" i="46" s="1"/>
  <c r="L11" i="46" s="1"/>
  <c r="E9" i="46"/>
  <c r="G9" i="46" s="1"/>
  <c r="H9" i="46" s="1"/>
  <c r="K9" i="46" s="1"/>
  <c r="L9" i="46" s="1"/>
  <c r="E14" i="46"/>
  <c r="G14" i="46" s="1"/>
  <c r="H14" i="46" s="1"/>
  <c r="K14" i="46" s="1"/>
  <c r="L14" i="46" s="1"/>
  <c r="E8" i="46"/>
  <c r="G8" i="46" s="1"/>
  <c r="H8" i="46" s="1"/>
  <c r="K8" i="46" s="1"/>
  <c r="L8" i="46" s="1"/>
  <c r="E15" i="46"/>
  <c r="G15" i="46" s="1"/>
  <c r="H15" i="46" s="1"/>
  <c r="K15" i="46" s="1"/>
  <c r="L15" i="46" s="1"/>
  <c r="E7" i="46"/>
  <c r="G7" i="46" s="1"/>
  <c r="H7" i="46" s="1"/>
  <c r="K7" i="46" s="1"/>
  <c r="L7" i="46" s="1"/>
  <c r="E10" i="46"/>
  <c r="G10" i="46" s="1"/>
  <c r="H10" i="46" s="1"/>
  <c r="K10" i="46" s="1"/>
  <c r="L10" i="46" s="1"/>
  <c r="E6" i="46"/>
  <c r="G6" i="46" s="1"/>
  <c r="H6" i="46" s="1"/>
  <c r="K6" i="46" s="1"/>
  <c r="L6" i="46" s="1"/>
  <c r="E12" i="46"/>
  <c r="G12" i="46" s="1"/>
  <c r="H12" i="46" s="1"/>
  <c r="K12" i="46" s="1"/>
  <c r="L12" i="46" s="1"/>
  <c r="E13" i="46"/>
  <c r="G13" i="46" s="1"/>
  <c r="H13" i="46" s="1"/>
  <c r="K13" i="46" s="1"/>
  <c r="L13" i="46" s="1"/>
  <c r="J54" i="46"/>
  <c r="G1" i="24"/>
  <c r="E10" i="67"/>
  <c r="G10" i="67" s="1"/>
  <c r="H10" i="67" s="1"/>
  <c r="K10" i="67" s="1"/>
  <c r="L10" i="67" s="1"/>
  <c r="E12" i="67"/>
  <c r="G12" i="67" s="1"/>
  <c r="H12" i="67" s="1"/>
  <c r="K12" i="67" s="1"/>
  <c r="L12" i="67" s="1"/>
  <c r="E15" i="57"/>
  <c r="G15" i="57" s="1"/>
  <c r="H15" i="57" s="1"/>
  <c r="K15" i="57" s="1"/>
  <c r="L15" i="57" s="1"/>
  <c r="G1" i="53"/>
  <c r="I1" i="53" s="1"/>
  <c r="D52" i="53"/>
  <c r="AM13" i="47"/>
  <c r="AO13" i="47" s="1"/>
  <c r="AP13" i="47" s="1"/>
  <c r="AS13" i="47" s="1"/>
  <c r="AT13" i="47" s="1"/>
  <c r="AM5" i="47"/>
  <c r="AO5" i="47" s="1"/>
  <c r="AP5" i="47" s="1"/>
  <c r="AM17" i="47"/>
  <c r="AO17" i="47" s="1"/>
  <c r="AP17" i="47" s="1"/>
  <c r="AS17" i="47" s="1"/>
  <c r="AT17" i="47" s="1"/>
  <c r="I52" i="47"/>
  <c r="AM12" i="47"/>
  <c r="AO12" i="47" s="1"/>
  <c r="AP12" i="47" s="1"/>
  <c r="AS12" i="47" s="1"/>
  <c r="AT12" i="47" s="1"/>
  <c r="AM9" i="47"/>
  <c r="AO9" i="47" s="1"/>
  <c r="AP9" i="47" s="1"/>
  <c r="AS9" i="47" s="1"/>
  <c r="AT9" i="47" s="1"/>
  <c r="AM8" i="47"/>
  <c r="AO8" i="47" s="1"/>
  <c r="AP8" i="47" s="1"/>
  <c r="AS8" i="47" s="1"/>
  <c r="AT8" i="47" s="1"/>
  <c r="AM7" i="47"/>
  <c r="AO7" i="47" s="1"/>
  <c r="AP7" i="47" s="1"/>
  <c r="AS7" i="47" s="1"/>
  <c r="AT7" i="47" s="1"/>
  <c r="AM6" i="47"/>
  <c r="AO6" i="47" s="1"/>
  <c r="AP6" i="47" s="1"/>
  <c r="AM14" i="47"/>
  <c r="AO14" i="47" s="1"/>
  <c r="AP14" i="47" s="1"/>
  <c r="AS14" i="47" s="1"/>
  <c r="AT14" i="47" s="1"/>
  <c r="AM10" i="47"/>
  <c r="AO10" i="47" s="1"/>
  <c r="AP10" i="47" s="1"/>
  <c r="AS10" i="47" s="1"/>
  <c r="AT10" i="47" s="1"/>
  <c r="AM15" i="47"/>
  <c r="AO15" i="47" s="1"/>
  <c r="AP15" i="47" s="1"/>
  <c r="AS15" i="47" s="1"/>
  <c r="AT15" i="47" s="1"/>
  <c r="AM11" i="47"/>
  <c r="AO11" i="47" s="1"/>
  <c r="AP11" i="47" s="1"/>
  <c r="AS11" i="47" s="1"/>
  <c r="AT11" i="47" s="1"/>
  <c r="AM16" i="47"/>
  <c r="AO16" i="47" s="1"/>
  <c r="AP16" i="47" s="1"/>
  <c r="AS16" i="47" s="1"/>
  <c r="AT16" i="47" s="1"/>
  <c r="I53" i="46"/>
  <c r="J55" i="34"/>
  <c r="B98" i="34" s="1"/>
  <c r="H98" i="34" s="1"/>
  <c r="D52" i="24"/>
  <c r="B74" i="24" s="1"/>
  <c r="J53" i="20"/>
  <c r="B81" i="20" s="1"/>
  <c r="AM13" i="18"/>
  <c r="AO13" i="18" s="1"/>
  <c r="AP13" i="18" s="1"/>
  <c r="AS13" i="18" s="1"/>
  <c r="AT13" i="18" s="1"/>
  <c r="AM10" i="18"/>
  <c r="AO10" i="18" s="1"/>
  <c r="AP10" i="18" s="1"/>
  <c r="AS10" i="18" s="1"/>
  <c r="AT10" i="18" s="1"/>
  <c r="AM16" i="18"/>
  <c r="AO16" i="18" s="1"/>
  <c r="AP16" i="18" s="1"/>
  <c r="AS16" i="18" s="1"/>
  <c r="AT16" i="18" s="1"/>
  <c r="E15" i="17"/>
  <c r="G15" i="17" s="1"/>
  <c r="H15" i="17" s="1"/>
  <c r="K15" i="17" s="1"/>
  <c r="L15" i="17" s="1"/>
  <c r="E19" i="17"/>
  <c r="G19" i="17" s="1"/>
  <c r="H19" i="17" s="1"/>
  <c r="K19" i="17" s="1"/>
  <c r="L19" i="17" s="1"/>
  <c r="E8" i="17"/>
  <c r="G8" i="17" s="1"/>
  <c r="H8" i="17" s="1"/>
  <c r="K8" i="17" s="1"/>
  <c r="L8" i="17" s="1"/>
  <c r="E13" i="17"/>
  <c r="G13" i="17" s="1"/>
  <c r="H13" i="17" s="1"/>
  <c r="K13" i="17" s="1"/>
  <c r="L13" i="17" s="1"/>
  <c r="E24" i="17"/>
  <c r="G24" i="17" s="1"/>
  <c r="H24" i="17" s="1"/>
  <c r="K24" i="17" s="1"/>
  <c r="L24" i="17" s="1"/>
  <c r="E7" i="17"/>
  <c r="G7" i="17" s="1"/>
  <c r="H7" i="17" s="1"/>
  <c r="K7" i="17" s="1"/>
  <c r="L7" i="17" s="1"/>
  <c r="E27" i="17"/>
  <c r="G27" i="17" s="1"/>
  <c r="H27" i="17" s="1"/>
  <c r="K27" i="17" s="1"/>
  <c r="L27" i="17" s="1"/>
  <c r="E18" i="17"/>
  <c r="G18" i="17" s="1"/>
  <c r="H18" i="17" s="1"/>
  <c r="K18" i="17" s="1"/>
  <c r="L18" i="17" s="1"/>
  <c r="E6" i="17"/>
  <c r="G6" i="17" s="1"/>
  <c r="H6" i="17" s="1"/>
  <c r="K6" i="17" s="1"/>
  <c r="L6" i="17" s="1"/>
  <c r="E28" i="17"/>
  <c r="G28" i="17" s="1"/>
  <c r="H28" i="17" s="1"/>
  <c r="K28" i="17" s="1"/>
  <c r="L28" i="17" s="1"/>
  <c r="E23" i="17"/>
  <c r="G23" i="17" s="1"/>
  <c r="H23" i="17" s="1"/>
  <c r="K23" i="17" s="1"/>
  <c r="L23" i="17" s="1"/>
  <c r="E25" i="17"/>
  <c r="G25" i="17" s="1"/>
  <c r="H25" i="17" s="1"/>
  <c r="K25" i="17" s="1"/>
  <c r="L25" i="17" s="1"/>
  <c r="E11" i="17"/>
  <c r="G11" i="17" s="1"/>
  <c r="H11" i="17" s="1"/>
  <c r="K11" i="17" s="1"/>
  <c r="L11" i="17" s="1"/>
  <c r="C52" i="15"/>
  <c r="E21" i="15"/>
  <c r="G21" i="15" s="1"/>
  <c r="H21" i="15" s="1"/>
  <c r="K21" i="15" s="1"/>
  <c r="L21" i="15" s="1"/>
  <c r="E7" i="15"/>
  <c r="G7" i="15" s="1"/>
  <c r="H7" i="15" s="1"/>
  <c r="K7" i="15" s="1"/>
  <c r="L7" i="15" s="1"/>
  <c r="E6" i="15"/>
  <c r="G6" i="15" s="1"/>
  <c r="H6" i="15" s="1"/>
  <c r="K6" i="15" s="1"/>
  <c r="L6" i="15" s="1"/>
  <c r="E25" i="15"/>
  <c r="G25" i="15" s="1"/>
  <c r="H25" i="15" s="1"/>
  <c r="K25" i="15" s="1"/>
  <c r="L25" i="15" s="1"/>
  <c r="E28" i="15"/>
  <c r="G28" i="15" s="1"/>
  <c r="H28" i="15" s="1"/>
  <c r="K28" i="15" s="1"/>
  <c r="L28" i="15" s="1"/>
  <c r="E18" i="15"/>
  <c r="G18" i="15" s="1"/>
  <c r="H18" i="15" s="1"/>
  <c r="K18" i="15" s="1"/>
  <c r="L18" i="15" s="1"/>
  <c r="E15" i="15"/>
  <c r="G15" i="15" s="1"/>
  <c r="H15" i="15" s="1"/>
  <c r="K15" i="15" s="1"/>
  <c r="L15" i="15" s="1"/>
  <c r="E29" i="15"/>
  <c r="G29" i="15" s="1"/>
  <c r="H29" i="15" s="1"/>
  <c r="K29" i="15" s="1"/>
  <c r="L29" i="15" s="1"/>
  <c r="E12" i="15"/>
  <c r="G12" i="15" s="1"/>
  <c r="H12" i="15" s="1"/>
  <c r="K12" i="15" s="1"/>
  <c r="L12" i="15" s="1"/>
  <c r="E10" i="15"/>
  <c r="G10" i="15" s="1"/>
  <c r="H10" i="15" s="1"/>
  <c r="K10" i="15" s="1"/>
  <c r="L10" i="15" s="1"/>
  <c r="E23" i="15"/>
  <c r="G23" i="15" s="1"/>
  <c r="H23" i="15" s="1"/>
  <c r="K23" i="15" s="1"/>
  <c r="L23" i="15" s="1"/>
  <c r="E14" i="15"/>
  <c r="G14" i="15" s="1"/>
  <c r="H14" i="15" s="1"/>
  <c r="K14" i="15" s="1"/>
  <c r="L14" i="15" s="1"/>
  <c r="E22" i="15"/>
  <c r="G22" i="15" s="1"/>
  <c r="H22" i="15" s="1"/>
  <c r="K22" i="15" s="1"/>
  <c r="L22" i="15" s="1"/>
  <c r="E17" i="15"/>
  <c r="G17" i="15" s="1"/>
  <c r="H17" i="15" s="1"/>
  <c r="K17" i="15" s="1"/>
  <c r="L17" i="15" s="1"/>
  <c r="E9" i="15"/>
  <c r="G9" i="15" s="1"/>
  <c r="H9" i="15" s="1"/>
  <c r="K9" i="15" s="1"/>
  <c r="L9" i="15" s="1"/>
  <c r="E26" i="15"/>
  <c r="G26" i="15" s="1"/>
  <c r="H26" i="15" s="1"/>
  <c r="K26" i="15" s="1"/>
  <c r="L26" i="15" s="1"/>
  <c r="E13" i="15"/>
  <c r="G13" i="15" s="1"/>
  <c r="H13" i="15" s="1"/>
  <c r="K13" i="15" s="1"/>
  <c r="L13" i="15" s="1"/>
  <c r="E20" i="15"/>
  <c r="G20" i="15" s="1"/>
  <c r="H20" i="15" s="1"/>
  <c r="K20" i="15" s="1"/>
  <c r="L20" i="15" s="1"/>
  <c r="J53" i="8"/>
  <c r="B85" i="8" s="1"/>
  <c r="E7" i="67"/>
  <c r="G7" i="67" s="1"/>
  <c r="H7" i="67" s="1"/>
  <c r="K7" i="67" s="1"/>
  <c r="L7" i="67" s="1"/>
  <c r="C52" i="67"/>
  <c r="D52" i="65"/>
  <c r="E1" i="65"/>
  <c r="G1" i="65" s="1"/>
  <c r="E12" i="59"/>
  <c r="G12" i="59" s="1"/>
  <c r="H12" i="59" s="1"/>
  <c r="K12" i="59" s="1"/>
  <c r="L12" i="59" s="1"/>
  <c r="E14" i="59"/>
  <c r="G14" i="59" s="1"/>
  <c r="H14" i="59" s="1"/>
  <c r="K14" i="59" s="1"/>
  <c r="L14" i="59" s="1"/>
  <c r="E13" i="59"/>
  <c r="G13" i="59" s="1"/>
  <c r="H13" i="59" s="1"/>
  <c r="K13" i="59" s="1"/>
  <c r="L13" i="59" s="1"/>
  <c r="E11" i="59"/>
  <c r="G11" i="59" s="1"/>
  <c r="H11" i="59" s="1"/>
  <c r="K11" i="59" s="1"/>
  <c r="L11" i="59" s="1"/>
  <c r="E9" i="59"/>
  <c r="G9" i="59" s="1"/>
  <c r="H9" i="59" s="1"/>
  <c r="K9" i="59" s="1"/>
  <c r="L9" i="59" s="1"/>
  <c r="E12" i="57"/>
  <c r="G12" i="57" s="1"/>
  <c r="H12" i="57" s="1"/>
  <c r="K12" i="57" s="1"/>
  <c r="L12" i="57" s="1"/>
  <c r="E10" i="57"/>
  <c r="G10" i="57" s="1"/>
  <c r="H10" i="57" s="1"/>
  <c r="K10" i="57" s="1"/>
  <c r="L10" i="57" s="1"/>
  <c r="E11" i="57"/>
  <c r="G11" i="57" s="1"/>
  <c r="H11" i="57" s="1"/>
  <c r="K11" i="57" s="1"/>
  <c r="L11" i="57" s="1"/>
  <c r="E7" i="57"/>
  <c r="G7" i="57" s="1"/>
  <c r="H7" i="57" s="1"/>
  <c r="K7" i="57" s="1"/>
  <c r="L7" i="57" s="1"/>
  <c r="E6" i="57"/>
  <c r="G6" i="57" s="1"/>
  <c r="H6" i="57" s="1"/>
  <c r="K6" i="57" s="1"/>
  <c r="L6" i="57" s="1"/>
  <c r="E9" i="57"/>
  <c r="G9" i="57" s="1"/>
  <c r="H9" i="57" s="1"/>
  <c r="K9" i="57" s="1"/>
  <c r="L9" i="57" s="1"/>
  <c r="E14" i="57"/>
  <c r="G14" i="57" s="1"/>
  <c r="H14" i="57" s="1"/>
  <c r="K14" i="57" s="1"/>
  <c r="L14" i="57" s="1"/>
  <c r="E15" i="56"/>
  <c r="G15" i="56" s="1"/>
  <c r="H15" i="56" s="1"/>
  <c r="K15" i="56" s="1"/>
  <c r="L15" i="56" s="1"/>
  <c r="E16" i="56"/>
  <c r="G16" i="56" s="1"/>
  <c r="H16" i="56" s="1"/>
  <c r="K16" i="56" s="1"/>
  <c r="L16" i="56" s="1"/>
  <c r="E13" i="56"/>
  <c r="G13" i="56" s="1"/>
  <c r="H13" i="56" s="1"/>
  <c r="K13" i="56" s="1"/>
  <c r="L13" i="56" s="1"/>
  <c r="E11" i="56"/>
  <c r="G11" i="56" s="1"/>
  <c r="H11" i="56" s="1"/>
  <c r="K11" i="56" s="1"/>
  <c r="L11" i="56" s="1"/>
  <c r="E8" i="56"/>
  <c r="G8" i="56" s="1"/>
  <c r="H8" i="56" s="1"/>
  <c r="K8" i="56" s="1"/>
  <c r="L8" i="56" s="1"/>
  <c r="E6" i="56"/>
  <c r="G6" i="56" s="1"/>
  <c r="H6" i="56" s="1"/>
  <c r="K6" i="56" s="1"/>
  <c r="L6" i="56" s="1"/>
  <c r="E14" i="56"/>
  <c r="G14" i="56" s="1"/>
  <c r="H14" i="56" s="1"/>
  <c r="K14" i="56" s="1"/>
  <c r="L14" i="56" s="1"/>
  <c r="E12" i="56"/>
  <c r="G12" i="56" s="1"/>
  <c r="H12" i="56" s="1"/>
  <c r="K12" i="56" s="1"/>
  <c r="L12" i="56" s="1"/>
  <c r="C52" i="56"/>
  <c r="E10" i="56"/>
  <c r="G10" i="56" s="1"/>
  <c r="H10" i="56" s="1"/>
  <c r="K10" i="56" s="1"/>
  <c r="L10" i="56" s="1"/>
  <c r="E9" i="56"/>
  <c r="G9" i="56" s="1"/>
  <c r="H9" i="56" s="1"/>
  <c r="K9" i="56" s="1"/>
  <c r="L9" i="56" s="1"/>
  <c r="E7" i="56"/>
  <c r="G7" i="56" s="1"/>
  <c r="H7" i="56" s="1"/>
  <c r="K7" i="56" s="1"/>
  <c r="L7" i="56" s="1"/>
  <c r="H53" i="44"/>
  <c r="I53" i="44"/>
  <c r="E6" i="44"/>
  <c r="G6" i="44" s="1"/>
  <c r="H6" i="44" s="1"/>
  <c r="K6" i="44" s="1"/>
  <c r="L6" i="44" s="1"/>
  <c r="E8" i="44"/>
  <c r="G8" i="44" s="1"/>
  <c r="H8" i="44" s="1"/>
  <c r="K8" i="44" s="1"/>
  <c r="L8" i="44" s="1"/>
  <c r="E16" i="44"/>
  <c r="G16" i="44" s="1"/>
  <c r="H16" i="44" s="1"/>
  <c r="K16" i="44" s="1"/>
  <c r="L16" i="44" s="1"/>
  <c r="E19" i="44"/>
  <c r="G19" i="44" s="1"/>
  <c r="H19" i="44" s="1"/>
  <c r="K19" i="44" s="1"/>
  <c r="L19" i="44" s="1"/>
  <c r="E20" i="44"/>
  <c r="G20" i="44" s="1"/>
  <c r="H20" i="44" s="1"/>
  <c r="K20" i="44" s="1"/>
  <c r="L20" i="44" s="1"/>
  <c r="E18" i="44"/>
  <c r="G18" i="44" s="1"/>
  <c r="H18" i="44" s="1"/>
  <c r="K18" i="44" s="1"/>
  <c r="L18" i="44" s="1"/>
  <c r="G1" i="42"/>
  <c r="I1" i="42" s="1"/>
  <c r="C52" i="42" s="1"/>
  <c r="I52" i="41"/>
  <c r="H52" i="41" s="1"/>
  <c r="H53" i="34"/>
  <c r="E10" i="34"/>
  <c r="G10" i="34" s="1"/>
  <c r="H10" i="34" s="1"/>
  <c r="K10" i="34" s="1"/>
  <c r="L10" i="34" s="1"/>
  <c r="E9" i="34"/>
  <c r="G9" i="34" s="1"/>
  <c r="H9" i="34" s="1"/>
  <c r="K9" i="34" s="1"/>
  <c r="L9" i="34" s="1"/>
  <c r="E7" i="34"/>
  <c r="G7" i="34" s="1"/>
  <c r="H7" i="34" s="1"/>
  <c r="K7" i="34" s="1"/>
  <c r="L7" i="34" s="1"/>
  <c r="E6" i="34"/>
  <c r="G6" i="34" s="1"/>
  <c r="H6" i="34" s="1"/>
  <c r="K6" i="34" s="1"/>
  <c r="L6" i="34" s="1"/>
  <c r="H1" i="34"/>
  <c r="E8" i="34"/>
  <c r="G8" i="34" s="1"/>
  <c r="H8" i="34" s="1"/>
  <c r="K8" i="34" s="1"/>
  <c r="L8" i="34" s="1"/>
  <c r="J53" i="26"/>
  <c r="B81" i="26" s="1"/>
  <c r="I52" i="20"/>
  <c r="H52" i="20" s="1"/>
  <c r="E19" i="15"/>
  <c r="G19" i="15" s="1"/>
  <c r="H19" i="15" s="1"/>
  <c r="K19" i="15" s="1"/>
  <c r="L19" i="15" s="1"/>
  <c r="E27" i="15"/>
  <c r="G27" i="15" s="1"/>
  <c r="H27" i="15" s="1"/>
  <c r="K27" i="15" s="1"/>
  <c r="L27" i="15" s="1"/>
  <c r="E11" i="15"/>
  <c r="G11" i="15" s="1"/>
  <c r="H11" i="15" s="1"/>
  <c r="K11" i="15" s="1"/>
  <c r="L11" i="15" s="1"/>
  <c r="G1" i="40"/>
  <c r="D52" i="40"/>
  <c r="B75" i="40" s="1"/>
  <c r="I52" i="37"/>
  <c r="H52" i="37" s="1"/>
  <c r="AM7" i="37"/>
  <c r="AO7" i="37" s="1"/>
  <c r="AP7" i="37" s="1"/>
  <c r="AS7" i="37" s="1"/>
  <c r="AT7" i="37" s="1"/>
  <c r="AM8" i="37"/>
  <c r="AO8" i="37" s="1"/>
  <c r="AP8" i="37" s="1"/>
  <c r="AS8" i="37" s="1"/>
  <c r="AT8" i="37" s="1"/>
  <c r="AM12" i="37"/>
  <c r="AO12" i="37" s="1"/>
  <c r="AP12" i="37" s="1"/>
  <c r="AS12" i="37" s="1"/>
  <c r="AT12" i="37" s="1"/>
  <c r="J53" i="37"/>
  <c r="B74" i="37" s="1"/>
  <c r="AM11" i="37"/>
  <c r="AO11" i="37" s="1"/>
  <c r="AP11" i="37" s="1"/>
  <c r="AS11" i="37" s="1"/>
  <c r="AT11" i="37" s="1"/>
  <c r="AM5" i="37"/>
  <c r="AO5" i="37" s="1"/>
  <c r="AP5" i="37" s="1"/>
  <c r="AM6" i="37"/>
  <c r="AO6" i="37" s="1"/>
  <c r="AP6" i="37" s="1"/>
  <c r="AS6" i="37" s="1"/>
  <c r="AT6" i="37" s="1"/>
  <c r="AM10" i="37"/>
  <c r="AO10" i="37" s="1"/>
  <c r="AP10" i="37" s="1"/>
  <c r="AS10" i="37" s="1"/>
  <c r="AT10" i="37" s="1"/>
  <c r="AM9" i="37"/>
  <c r="AO9" i="37" s="1"/>
  <c r="AP9" i="37" s="1"/>
  <c r="AS9" i="37" s="1"/>
  <c r="AT9" i="37" s="1"/>
  <c r="AM13" i="37"/>
  <c r="AO13" i="37" s="1"/>
  <c r="AP13" i="37" s="1"/>
  <c r="AS13" i="37" s="1"/>
  <c r="AT13" i="37" s="1"/>
  <c r="I52" i="29"/>
  <c r="H52" i="29" s="1"/>
  <c r="J53" i="29"/>
  <c r="B81" i="29" s="1"/>
  <c r="E21" i="28"/>
  <c r="G21" i="28" s="1"/>
  <c r="H21" i="28" s="1"/>
  <c r="K21" i="28" s="1"/>
  <c r="L21" i="28" s="1"/>
  <c r="E13" i="28"/>
  <c r="G13" i="28" s="1"/>
  <c r="H13" i="28" s="1"/>
  <c r="K13" i="28" s="1"/>
  <c r="L13" i="28" s="1"/>
  <c r="E9" i="28"/>
  <c r="G9" i="28" s="1"/>
  <c r="H9" i="28" s="1"/>
  <c r="K9" i="28" s="1"/>
  <c r="L9" i="28" s="1"/>
  <c r="E6" i="28"/>
  <c r="G6" i="28" s="1"/>
  <c r="H6" i="28" s="1"/>
  <c r="K6" i="28" s="1"/>
  <c r="L6" i="28" s="1"/>
  <c r="E14" i="28"/>
  <c r="G14" i="28" s="1"/>
  <c r="H14" i="28" s="1"/>
  <c r="K14" i="28" s="1"/>
  <c r="L14" i="28" s="1"/>
  <c r="C52" i="28"/>
  <c r="C53" i="28" s="1"/>
  <c r="D53" i="28" s="1"/>
  <c r="E11" i="28"/>
  <c r="G11" i="28" s="1"/>
  <c r="H11" i="28" s="1"/>
  <c r="K11" i="28" s="1"/>
  <c r="L11" i="28" s="1"/>
  <c r="E8" i="28"/>
  <c r="G8" i="28" s="1"/>
  <c r="H8" i="28" s="1"/>
  <c r="K8" i="28" s="1"/>
  <c r="L8" i="28" s="1"/>
  <c r="E10" i="28"/>
  <c r="G10" i="28" s="1"/>
  <c r="H10" i="28" s="1"/>
  <c r="K10" i="28" s="1"/>
  <c r="L10" i="28" s="1"/>
  <c r="E18" i="28"/>
  <c r="G18" i="28" s="1"/>
  <c r="H18" i="28" s="1"/>
  <c r="K18" i="28" s="1"/>
  <c r="L18" i="28" s="1"/>
  <c r="E7" i="28"/>
  <c r="G7" i="28" s="1"/>
  <c r="H7" i="28" s="1"/>
  <c r="K7" i="28" s="1"/>
  <c r="L7" i="28" s="1"/>
  <c r="E15" i="28"/>
  <c r="G15" i="28" s="1"/>
  <c r="H15" i="28" s="1"/>
  <c r="K15" i="28" s="1"/>
  <c r="L15" i="28" s="1"/>
  <c r="E23" i="28"/>
  <c r="G23" i="28" s="1"/>
  <c r="H23" i="28" s="1"/>
  <c r="K23" i="28" s="1"/>
  <c r="L23" i="28" s="1"/>
  <c r="E12" i="28"/>
  <c r="G12" i="28" s="1"/>
  <c r="H12" i="28" s="1"/>
  <c r="K12" i="28" s="1"/>
  <c r="L12" i="28" s="1"/>
  <c r="E20" i="28"/>
  <c r="G20" i="28" s="1"/>
  <c r="H20" i="28" s="1"/>
  <c r="K20" i="28" s="1"/>
  <c r="L20" i="28" s="1"/>
  <c r="E17" i="28"/>
  <c r="G17" i="28" s="1"/>
  <c r="H17" i="28" s="1"/>
  <c r="K17" i="28" s="1"/>
  <c r="L17" i="28" s="1"/>
  <c r="E22" i="28"/>
  <c r="G22" i="28" s="1"/>
  <c r="H22" i="28" s="1"/>
  <c r="K22" i="28" s="1"/>
  <c r="L22" i="28" s="1"/>
  <c r="E16" i="28"/>
  <c r="G16" i="28" s="1"/>
  <c r="H16" i="28" s="1"/>
  <c r="K16" i="28" s="1"/>
  <c r="L16" i="28" s="1"/>
  <c r="E19" i="28"/>
  <c r="G19" i="28" s="1"/>
  <c r="H19" i="28" s="1"/>
  <c r="K19" i="28" s="1"/>
  <c r="L19" i="28" s="1"/>
  <c r="E24" i="28"/>
  <c r="G24" i="28" s="1"/>
  <c r="H24" i="28" s="1"/>
  <c r="K24" i="28" s="1"/>
  <c r="L24" i="28" s="1"/>
  <c r="I52" i="26"/>
  <c r="H52" i="26" s="1"/>
  <c r="AM5" i="26"/>
  <c r="AO5" i="26" s="1"/>
  <c r="AP5" i="26" s="1"/>
  <c r="AM12" i="26"/>
  <c r="AO12" i="26" s="1"/>
  <c r="AP12" i="26" s="1"/>
  <c r="AS12" i="26" s="1"/>
  <c r="AT12" i="26" s="1"/>
  <c r="AM11" i="26"/>
  <c r="AO11" i="26" s="1"/>
  <c r="AP11" i="26" s="1"/>
  <c r="AS11" i="26" s="1"/>
  <c r="AT11" i="26" s="1"/>
  <c r="AM7" i="26"/>
  <c r="AO7" i="26" s="1"/>
  <c r="AP7" i="26" s="1"/>
  <c r="AS7" i="26" s="1"/>
  <c r="AT7" i="26" s="1"/>
  <c r="AM9" i="26"/>
  <c r="AO9" i="26" s="1"/>
  <c r="AP9" i="26" s="1"/>
  <c r="AS9" i="26" s="1"/>
  <c r="AT9" i="26" s="1"/>
  <c r="AM8" i="26"/>
  <c r="AO8" i="26" s="1"/>
  <c r="AP8" i="26" s="1"/>
  <c r="AS8" i="26" s="1"/>
  <c r="AT8" i="26" s="1"/>
  <c r="AM10" i="26"/>
  <c r="AO10" i="26" s="1"/>
  <c r="AP10" i="26" s="1"/>
  <c r="AS10" i="26" s="1"/>
  <c r="AT10" i="26" s="1"/>
  <c r="AM6" i="26"/>
  <c r="AO6" i="26" s="1"/>
  <c r="AP6" i="26" s="1"/>
  <c r="AS6" i="26" s="1"/>
  <c r="AT6" i="26" s="1"/>
  <c r="E11" i="18"/>
  <c r="G11" i="18" s="1"/>
  <c r="H11" i="18" s="1"/>
  <c r="K11" i="18" s="1"/>
  <c r="L11" i="18" s="1"/>
  <c r="E7" i="18"/>
  <c r="G7" i="18" s="1"/>
  <c r="H7" i="18" s="1"/>
  <c r="K7" i="18" s="1"/>
  <c r="L7" i="18" s="1"/>
  <c r="J53" i="18"/>
  <c r="B82" i="18" s="1"/>
  <c r="E8" i="18"/>
  <c r="G8" i="18" s="1"/>
  <c r="H8" i="18" s="1"/>
  <c r="K8" i="18" s="1"/>
  <c r="L8" i="18" s="1"/>
  <c r="E16" i="18"/>
  <c r="G16" i="18" s="1"/>
  <c r="H16" i="18" s="1"/>
  <c r="K16" i="18" s="1"/>
  <c r="L16" i="18" s="1"/>
  <c r="E18" i="18"/>
  <c r="G18" i="18" s="1"/>
  <c r="H18" i="18" s="1"/>
  <c r="K18" i="18" s="1"/>
  <c r="L18" i="18" s="1"/>
  <c r="E13" i="18"/>
  <c r="G13" i="18" s="1"/>
  <c r="H13" i="18" s="1"/>
  <c r="K13" i="18" s="1"/>
  <c r="L13" i="18" s="1"/>
  <c r="E19" i="18"/>
  <c r="G19" i="18" s="1"/>
  <c r="H19" i="18" s="1"/>
  <c r="K19" i="18" s="1"/>
  <c r="L19" i="18" s="1"/>
  <c r="G6" i="18"/>
  <c r="H6" i="18" s="1"/>
  <c r="K6" i="18" s="1"/>
  <c r="L6" i="18" s="1"/>
  <c r="E14" i="18"/>
  <c r="G14" i="18" s="1"/>
  <c r="H14" i="18" s="1"/>
  <c r="K14" i="18" s="1"/>
  <c r="L14" i="18" s="1"/>
  <c r="E9" i="18"/>
  <c r="G9" i="18" s="1"/>
  <c r="H9" i="18" s="1"/>
  <c r="K9" i="18" s="1"/>
  <c r="L9" i="18" s="1"/>
  <c r="E17" i="18"/>
  <c r="G17" i="18" s="1"/>
  <c r="H17" i="18" s="1"/>
  <c r="K17" i="18" s="1"/>
  <c r="L17" i="18" s="1"/>
  <c r="E12" i="18"/>
  <c r="G12" i="18" s="1"/>
  <c r="H12" i="18" s="1"/>
  <c r="K12" i="18" s="1"/>
  <c r="L12" i="18" s="1"/>
  <c r="E20" i="18"/>
  <c r="G20" i="18" s="1"/>
  <c r="H20" i="18" s="1"/>
  <c r="K20" i="18" s="1"/>
  <c r="L20" i="18" s="1"/>
  <c r="E10" i="18"/>
  <c r="G10" i="18" s="1"/>
  <c r="H10" i="18" s="1"/>
  <c r="K10" i="18" s="1"/>
  <c r="L10" i="18" s="1"/>
  <c r="C52" i="18"/>
  <c r="E15" i="18"/>
  <c r="G15" i="18" s="1"/>
  <c r="H15" i="18" s="1"/>
  <c r="K15" i="18" s="1"/>
  <c r="L15" i="18" s="1"/>
  <c r="I52" i="18"/>
  <c r="H52" i="18" s="1"/>
  <c r="E5" i="18" s="1"/>
  <c r="E20" i="17"/>
  <c r="G20" i="17" s="1"/>
  <c r="H20" i="17" s="1"/>
  <c r="K20" i="17" s="1"/>
  <c r="L20" i="17" s="1"/>
  <c r="E9" i="17"/>
  <c r="G9" i="17" s="1"/>
  <c r="H9" i="17" s="1"/>
  <c r="K9" i="17" s="1"/>
  <c r="L9" i="17" s="1"/>
  <c r="E17" i="17"/>
  <c r="G17" i="17" s="1"/>
  <c r="H17" i="17" s="1"/>
  <c r="K17" i="17" s="1"/>
  <c r="L17" i="17" s="1"/>
  <c r="E16" i="17"/>
  <c r="G16" i="17" s="1"/>
  <c r="H16" i="17" s="1"/>
  <c r="K16" i="17" s="1"/>
  <c r="L16" i="17" s="1"/>
  <c r="E21" i="17"/>
  <c r="G21" i="17" s="1"/>
  <c r="H21" i="17" s="1"/>
  <c r="K21" i="17" s="1"/>
  <c r="L21" i="17" s="1"/>
  <c r="E14" i="17"/>
  <c r="G14" i="17" s="1"/>
  <c r="H14" i="17" s="1"/>
  <c r="K14" i="17" s="1"/>
  <c r="L14" i="17" s="1"/>
  <c r="E12" i="17"/>
  <c r="G12" i="17" s="1"/>
  <c r="H12" i="17" s="1"/>
  <c r="K12" i="17" s="1"/>
  <c r="L12" i="17" s="1"/>
  <c r="E10" i="17"/>
  <c r="G10" i="17" s="1"/>
  <c r="H10" i="17" s="1"/>
  <c r="K10" i="17" s="1"/>
  <c r="L10" i="17" s="1"/>
  <c r="AM10" i="17"/>
  <c r="AO10" i="17" s="1"/>
  <c r="AP10" i="17" s="1"/>
  <c r="AS10" i="17" s="1"/>
  <c r="AT10" i="17" s="1"/>
  <c r="E22" i="17"/>
  <c r="G22" i="17" s="1"/>
  <c r="H22" i="17" s="1"/>
  <c r="K22" i="17" s="1"/>
  <c r="L22" i="17" s="1"/>
  <c r="E26" i="17"/>
  <c r="G26" i="17" s="1"/>
  <c r="H26" i="17" s="1"/>
  <c r="K26" i="17" s="1"/>
  <c r="L26" i="17" s="1"/>
  <c r="C52" i="17"/>
  <c r="J53" i="17"/>
  <c r="AM13" i="17"/>
  <c r="AO13" i="17" s="1"/>
  <c r="AP13" i="17" s="1"/>
  <c r="AS13" i="17" s="1"/>
  <c r="AT13" i="17" s="1"/>
  <c r="I53" i="19"/>
  <c r="E24" i="15"/>
  <c r="G24" i="15" s="1"/>
  <c r="H24" i="15" s="1"/>
  <c r="K24" i="15" s="1"/>
  <c r="L24" i="15" s="1"/>
  <c r="E16" i="15"/>
  <c r="G16" i="15" s="1"/>
  <c r="H16" i="15" s="1"/>
  <c r="K16" i="15" s="1"/>
  <c r="L16" i="15" s="1"/>
  <c r="E8" i="15"/>
  <c r="G8" i="15" s="1"/>
  <c r="H8" i="15" s="1"/>
  <c r="K8" i="15" s="1"/>
  <c r="L8" i="15" s="1"/>
  <c r="AM11" i="8"/>
  <c r="AO11" i="8" s="1"/>
  <c r="AP11" i="8" s="1"/>
  <c r="AS11" i="8" s="1"/>
  <c r="AT11" i="8" s="1"/>
  <c r="AM6" i="8"/>
  <c r="AO6" i="8" s="1"/>
  <c r="AP6" i="8" s="1"/>
  <c r="AS6" i="8" s="1"/>
  <c r="AT6" i="8" s="1"/>
  <c r="AM9" i="8"/>
  <c r="AO9" i="8" s="1"/>
  <c r="AP9" i="8" s="1"/>
  <c r="AS9" i="8" s="1"/>
  <c r="AT9" i="8" s="1"/>
  <c r="AM10" i="8"/>
  <c r="AO10" i="8" s="1"/>
  <c r="AP10" i="8" s="1"/>
  <c r="AS10" i="8" s="1"/>
  <c r="AT10" i="8" s="1"/>
  <c r="AM8" i="8"/>
  <c r="AO8" i="8" s="1"/>
  <c r="AP8" i="8" s="1"/>
  <c r="AS8" i="8" s="1"/>
  <c r="AT8" i="8" s="1"/>
  <c r="H52" i="8"/>
  <c r="AM7" i="8"/>
  <c r="AO7" i="8" s="1"/>
  <c r="AP7" i="8" s="1"/>
  <c r="AS7" i="8" s="1"/>
  <c r="AT7" i="8" s="1"/>
  <c r="AM12" i="8"/>
  <c r="AO12" i="8" s="1"/>
  <c r="AP12" i="8" s="1"/>
  <c r="AS12" i="8" s="1"/>
  <c r="AT12" i="8" s="1"/>
  <c r="AM5" i="8"/>
  <c r="AO5" i="8" s="1"/>
  <c r="AP5" i="8" s="1"/>
  <c r="J54" i="5"/>
  <c r="I53" i="5"/>
  <c r="AM8" i="3"/>
  <c r="AO8" i="3" s="1"/>
  <c r="AP8" i="3" s="1"/>
  <c r="AS8" i="3" s="1"/>
  <c r="AT8" i="3" s="1"/>
  <c r="AM10" i="3"/>
  <c r="AO10" i="3" s="1"/>
  <c r="AP10" i="3" s="1"/>
  <c r="AS10" i="3" s="1"/>
  <c r="AT10" i="3" s="1"/>
  <c r="I52" i="3"/>
  <c r="H52" i="3" s="1"/>
  <c r="AM6" i="3"/>
  <c r="AO6" i="3" s="1"/>
  <c r="AP6" i="3" s="1"/>
  <c r="AS6" i="3" s="1"/>
  <c r="AT6" i="3" s="1"/>
  <c r="AM13" i="3"/>
  <c r="AO13" i="3" s="1"/>
  <c r="AP13" i="3" s="1"/>
  <c r="AS13" i="3" s="1"/>
  <c r="AT13" i="3" s="1"/>
  <c r="AM12" i="3"/>
  <c r="AO12" i="3" s="1"/>
  <c r="AP12" i="3" s="1"/>
  <c r="AS12" i="3" s="1"/>
  <c r="AT12" i="3" s="1"/>
  <c r="AM11" i="3"/>
  <c r="AO11" i="3" s="1"/>
  <c r="AP11" i="3" s="1"/>
  <c r="AS11" i="3" s="1"/>
  <c r="AT11" i="3" s="1"/>
  <c r="AM9" i="3"/>
  <c r="AO9" i="3" s="1"/>
  <c r="AP9" i="3" s="1"/>
  <c r="AS9" i="3" s="1"/>
  <c r="AT9" i="3" s="1"/>
  <c r="AM7" i="3"/>
  <c r="AO7" i="3" s="1"/>
  <c r="AP7" i="3" s="1"/>
  <c r="AS7" i="3" s="1"/>
  <c r="AT7" i="3" s="1"/>
  <c r="AP5" i="3"/>
  <c r="J53" i="3"/>
  <c r="B84" i="3" s="1"/>
  <c r="I54" i="34"/>
  <c r="AM6" i="18"/>
  <c r="AO6" i="18" s="1"/>
  <c r="AP6" i="18" s="1"/>
  <c r="AS6" i="18" s="1"/>
  <c r="AT6" i="18" s="1"/>
  <c r="AM17" i="18"/>
  <c r="AO17" i="18" s="1"/>
  <c r="AP17" i="18" s="1"/>
  <c r="AS17" i="18" s="1"/>
  <c r="AT17" i="18" s="1"/>
  <c r="AM12" i="18"/>
  <c r="AO12" i="18" s="1"/>
  <c r="AP12" i="18" s="1"/>
  <c r="AS12" i="18" s="1"/>
  <c r="AT12" i="18" s="1"/>
  <c r="AM7" i="18"/>
  <c r="AO7" i="18" s="1"/>
  <c r="AP7" i="18" s="1"/>
  <c r="AS7" i="18" s="1"/>
  <c r="AT7" i="18" s="1"/>
  <c r="AM15" i="18"/>
  <c r="AO15" i="18" s="1"/>
  <c r="AP15" i="18" s="1"/>
  <c r="AS15" i="18" s="1"/>
  <c r="AT15" i="18" s="1"/>
  <c r="AM18" i="18"/>
  <c r="AO18" i="18" s="1"/>
  <c r="AP18" i="18" s="1"/>
  <c r="AS18" i="18" s="1"/>
  <c r="AT18" i="18" s="1"/>
  <c r="AM11" i="18"/>
  <c r="AO11" i="18" s="1"/>
  <c r="AP11" i="18" s="1"/>
  <c r="AS11" i="18" s="1"/>
  <c r="AT11" i="18" s="1"/>
  <c r="AM14" i="18"/>
  <c r="AO14" i="18" s="1"/>
  <c r="AP14" i="18" s="1"/>
  <c r="AS14" i="18" s="1"/>
  <c r="AT14" i="18" s="1"/>
  <c r="AM5" i="18"/>
  <c r="AO5" i="18" s="1"/>
  <c r="AP5" i="18" s="1"/>
  <c r="AM19" i="18"/>
  <c r="AO19" i="18" s="1"/>
  <c r="AP19" i="18" s="1"/>
  <c r="AS19" i="18" s="1"/>
  <c r="AT19" i="18" s="1"/>
  <c r="AM9" i="18"/>
  <c r="AO9" i="18" s="1"/>
  <c r="AP9" i="18" s="1"/>
  <c r="AS9" i="18" s="1"/>
  <c r="AT9" i="18" s="1"/>
  <c r="J54" i="19"/>
  <c r="B101" i="19" s="1"/>
  <c r="E27" i="5"/>
  <c r="G27" i="5" s="1"/>
  <c r="H27" i="5" s="1"/>
  <c r="K27" i="5" s="1"/>
  <c r="L27" i="5" s="1"/>
  <c r="J53" i="21"/>
  <c r="B82" i="21" s="1"/>
  <c r="AM5" i="17"/>
  <c r="AO5" i="17" s="1"/>
  <c r="AP5" i="17" s="1"/>
  <c r="AM9" i="17"/>
  <c r="AO9" i="17" s="1"/>
  <c r="AP9" i="17" s="1"/>
  <c r="AS9" i="17" s="1"/>
  <c r="AT9" i="17" s="1"/>
  <c r="AM14" i="17"/>
  <c r="AO14" i="17" s="1"/>
  <c r="AP14" i="17" s="1"/>
  <c r="AS14" i="17" s="1"/>
  <c r="AT14" i="17" s="1"/>
  <c r="AM7" i="17"/>
  <c r="AO7" i="17" s="1"/>
  <c r="AP7" i="17" s="1"/>
  <c r="AS7" i="17" s="1"/>
  <c r="AT7" i="17" s="1"/>
  <c r="AM8" i="17"/>
  <c r="AO8" i="17" s="1"/>
  <c r="AP8" i="17" s="1"/>
  <c r="AS8" i="17" s="1"/>
  <c r="AT8" i="17" s="1"/>
  <c r="J53" i="15"/>
  <c r="G6" i="21"/>
  <c r="H6" i="21" s="1"/>
  <c r="K6" i="21" s="1"/>
  <c r="L6" i="21" s="1"/>
  <c r="C52" i="21"/>
  <c r="E12" i="21"/>
  <c r="G12" i="21" s="1"/>
  <c r="H12" i="21" s="1"/>
  <c r="K12" i="21" s="1"/>
  <c r="L12" i="21" s="1"/>
  <c r="E9" i="21"/>
  <c r="G9" i="21" s="1"/>
  <c r="H9" i="21" s="1"/>
  <c r="K9" i="21" s="1"/>
  <c r="L9" i="21" s="1"/>
  <c r="E16" i="21"/>
  <c r="G16" i="21" s="1"/>
  <c r="H16" i="21" s="1"/>
  <c r="K16" i="21" s="1"/>
  <c r="L16" i="21" s="1"/>
  <c r="E19" i="21"/>
  <c r="G19" i="21" s="1"/>
  <c r="E7" i="21"/>
  <c r="G7" i="21" s="1"/>
  <c r="H7" i="21" s="1"/>
  <c r="K7" i="21" s="1"/>
  <c r="L7" i="21" s="1"/>
  <c r="E11" i="21"/>
  <c r="G11" i="21" s="1"/>
  <c r="H11" i="21" s="1"/>
  <c r="K11" i="21" s="1"/>
  <c r="L11" i="21" s="1"/>
  <c r="E17" i="21"/>
  <c r="G17" i="21" s="1"/>
  <c r="H17" i="21" s="1"/>
  <c r="K17" i="21" s="1"/>
  <c r="L17" i="21" s="1"/>
  <c r="E13" i="21"/>
  <c r="G13" i="21" s="1"/>
  <c r="H13" i="21" s="1"/>
  <c r="K13" i="21" s="1"/>
  <c r="L13" i="21" s="1"/>
  <c r="E10" i="21"/>
  <c r="G10" i="21" s="1"/>
  <c r="H10" i="21" s="1"/>
  <c r="K10" i="21" s="1"/>
  <c r="L10" i="21" s="1"/>
  <c r="E15" i="21"/>
  <c r="G15" i="21" s="1"/>
  <c r="H15" i="21" s="1"/>
  <c r="K15" i="21" s="1"/>
  <c r="L15" i="21" s="1"/>
  <c r="E18" i="21"/>
  <c r="G18" i="21" s="1"/>
  <c r="E20" i="21"/>
  <c r="G20" i="21" s="1"/>
  <c r="E14" i="21"/>
  <c r="G14" i="21" s="1"/>
  <c r="H14" i="21" s="1"/>
  <c r="K14" i="21" s="1"/>
  <c r="L14" i="21" s="1"/>
  <c r="E8" i="21"/>
  <c r="G8" i="21" s="1"/>
  <c r="H8" i="21" s="1"/>
  <c r="K8" i="21" s="1"/>
  <c r="L8" i="21" s="1"/>
  <c r="AM11" i="17"/>
  <c r="AO11" i="17" s="1"/>
  <c r="AP11" i="17" s="1"/>
  <c r="AS11" i="17" s="1"/>
  <c r="AT11" i="17" s="1"/>
  <c r="AM15" i="17"/>
  <c r="AO15" i="17" s="1"/>
  <c r="AP15" i="17" s="1"/>
  <c r="AS15" i="17" s="1"/>
  <c r="AT15" i="17" s="1"/>
  <c r="AM16" i="17"/>
  <c r="AO16" i="17" s="1"/>
  <c r="AP16" i="17" s="1"/>
  <c r="AS16" i="17" s="1"/>
  <c r="AT16" i="17" s="1"/>
  <c r="I52" i="17"/>
  <c r="H52" i="17" s="1"/>
  <c r="H53" i="17" s="1"/>
  <c r="E65" i="17" s="1"/>
  <c r="G65" i="17" s="1"/>
  <c r="H65" i="17" s="1"/>
  <c r="AM12" i="17"/>
  <c r="AO12" i="17" s="1"/>
  <c r="AP12" i="17" s="1"/>
  <c r="AS12" i="17" s="1"/>
  <c r="AT12" i="17" s="1"/>
  <c r="E14" i="16"/>
  <c r="G14" i="16" s="1"/>
  <c r="H14" i="16" s="1"/>
  <c r="K14" i="16" s="1"/>
  <c r="L14" i="16" s="1"/>
  <c r="E13" i="16"/>
  <c r="G13" i="16" s="1"/>
  <c r="H13" i="16" s="1"/>
  <c r="K13" i="16" s="1"/>
  <c r="L13" i="16" s="1"/>
  <c r="E8" i="16"/>
  <c r="G8" i="16" s="1"/>
  <c r="H8" i="16" s="1"/>
  <c r="K8" i="16" s="1"/>
  <c r="L8" i="16" s="1"/>
  <c r="E11" i="16"/>
  <c r="G11" i="16" s="1"/>
  <c r="H11" i="16" s="1"/>
  <c r="K11" i="16" s="1"/>
  <c r="L11" i="16" s="1"/>
  <c r="E9" i="16"/>
  <c r="G9" i="16" s="1"/>
  <c r="H9" i="16" s="1"/>
  <c r="K9" i="16" s="1"/>
  <c r="L9" i="16" s="1"/>
  <c r="E12" i="16"/>
  <c r="G12" i="16" s="1"/>
  <c r="H12" i="16" s="1"/>
  <c r="K12" i="16" s="1"/>
  <c r="L12" i="16" s="1"/>
  <c r="E6" i="16"/>
  <c r="G6" i="16" s="1"/>
  <c r="H6" i="16" s="1"/>
  <c r="K6" i="16" s="1"/>
  <c r="L6" i="16" s="1"/>
  <c r="AB29" i="56"/>
  <c r="AE29" i="56"/>
  <c r="AC29" i="56"/>
  <c r="I52" i="7"/>
  <c r="E23" i="5"/>
  <c r="G23" i="5" s="1"/>
  <c r="H23" i="5" s="1"/>
  <c r="K23" i="5" s="1"/>
  <c r="L23" i="5" s="1"/>
  <c r="E12" i="5"/>
  <c r="G12" i="5" s="1"/>
  <c r="H12" i="5" s="1"/>
  <c r="K12" i="5" s="1"/>
  <c r="L12" i="5" s="1"/>
  <c r="E20" i="5"/>
  <c r="G20" i="5" s="1"/>
  <c r="H20" i="5" s="1"/>
  <c r="K20" i="5" s="1"/>
  <c r="L20" i="5" s="1"/>
  <c r="E17" i="5"/>
  <c r="G17" i="5" s="1"/>
  <c r="H17" i="5" s="1"/>
  <c r="K17" i="5" s="1"/>
  <c r="L17" i="5" s="1"/>
  <c r="E26" i="5"/>
  <c r="G26" i="5" s="1"/>
  <c r="H26" i="5" s="1"/>
  <c r="K26" i="5" s="1"/>
  <c r="L26" i="5" s="1"/>
  <c r="E15" i="5"/>
  <c r="G15" i="5" s="1"/>
  <c r="H15" i="5" s="1"/>
  <c r="K15" i="5" s="1"/>
  <c r="L15" i="5" s="1"/>
  <c r="E25" i="5"/>
  <c r="G25" i="5" s="1"/>
  <c r="H25" i="5" s="1"/>
  <c r="K25" i="5" s="1"/>
  <c r="L25" i="5" s="1"/>
  <c r="E16" i="5"/>
  <c r="G16" i="5" s="1"/>
  <c r="H16" i="5" s="1"/>
  <c r="K16" i="5" s="1"/>
  <c r="L16" i="5" s="1"/>
  <c r="E10" i="5"/>
  <c r="G10" i="5" s="1"/>
  <c r="H10" i="5" s="1"/>
  <c r="K10" i="5" s="1"/>
  <c r="L10" i="5" s="1"/>
  <c r="E11" i="5"/>
  <c r="G11" i="5" s="1"/>
  <c r="H11" i="5" s="1"/>
  <c r="K11" i="5" s="1"/>
  <c r="L11" i="5" s="1"/>
  <c r="E7" i="5"/>
  <c r="G7" i="5" s="1"/>
  <c r="H7" i="5" s="1"/>
  <c r="K7" i="5" s="1"/>
  <c r="L7" i="5" s="1"/>
  <c r="E8" i="5"/>
  <c r="G8" i="5" s="1"/>
  <c r="H8" i="5" s="1"/>
  <c r="K8" i="5" s="1"/>
  <c r="L8" i="5" s="1"/>
  <c r="E9" i="5"/>
  <c r="G9" i="5" s="1"/>
  <c r="H9" i="5" s="1"/>
  <c r="K9" i="5" s="1"/>
  <c r="L9" i="5" s="1"/>
  <c r="E24" i="5"/>
  <c r="G24" i="5" s="1"/>
  <c r="H24" i="5" s="1"/>
  <c r="K24" i="5" s="1"/>
  <c r="L24" i="5" s="1"/>
  <c r="E13" i="5"/>
  <c r="G13" i="5" s="1"/>
  <c r="H13" i="5" s="1"/>
  <c r="K13" i="5" s="1"/>
  <c r="L13" i="5" s="1"/>
  <c r="E18" i="5"/>
  <c r="G18" i="5" s="1"/>
  <c r="H18" i="5" s="1"/>
  <c r="K18" i="5" s="1"/>
  <c r="L18" i="5" s="1"/>
  <c r="C52" i="5"/>
  <c r="C53" i="5" s="1"/>
  <c r="E21" i="5"/>
  <c r="G21" i="5" s="1"/>
  <c r="H21" i="5" s="1"/>
  <c r="K21" i="5" s="1"/>
  <c r="L21" i="5" s="1"/>
  <c r="E22" i="5"/>
  <c r="G22" i="5" s="1"/>
  <c r="H22" i="5" s="1"/>
  <c r="K22" i="5" s="1"/>
  <c r="L22" i="5" s="1"/>
  <c r="E19" i="5"/>
  <c r="G19" i="5" s="1"/>
  <c r="H19" i="5" s="1"/>
  <c r="K19" i="5" s="1"/>
  <c r="L19" i="5" s="1"/>
  <c r="E14" i="5"/>
  <c r="G14" i="5" s="1"/>
  <c r="H14" i="5" s="1"/>
  <c r="K14" i="5" s="1"/>
  <c r="L14" i="5" s="1"/>
  <c r="E14" i="67"/>
  <c r="G14" i="67" s="1"/>
  <c r="H14" i="67" s="1"/>
  <c r="K14" i="67" s="1"/>
  <c r="L14" i="67" s="1"/>
  <c r="AM8" i="72"/>
  <c r="AO8" i="72" s="1"/>
  <c r="AP8" i="72" s="1"/>
  <c r="AS8" i="72" s="1"/>
  <c r="AT8" i="72" s="1"/>
  <c r="AM14" i="72"/>
  <c r="AO14" i="72" s="1"/>
  <c r="AP14" i="72" s="1"/>
  <c r="AS14" i="72" s="1"/>
  <c r="AT14" i="72" s="1"/>
  <c r="AM10" i="72"/>
  <c r="AO10" i="72" s="1"/>
  <c r="AP10" i="72" s="1"/>
  <c r="AS10" i="72" s="1"/>
  <c r="AT10" i="72" s="1"/>
  <c r="AM12" i="72"/>
  <c r="AO12" i="72" s="1"/>
  <c r="AP12" i="72" s="1"/>
  <c r="AS12" i="72" s="1"/>
  <c r="AT12" i="72" s="1"/>
  <c r="AM11" i="72"/>
  <c r="AO11" i="72" s="1"/>
  <c r="AP11" i="72" s="1"/>
  <c r="AS11" i="72" s="1"/>
  <c r="AT11" i="72" s="1"/>
  <c r="AM9" i="72"/>
  <c r="AO9" i="72" s="1"/>
  <c r="AP9" i="72" s="1"/>
  <c r="AS9" i="72" s="1"/>
  <c r="AT9" i="72" s="1"/>
  <c r="AM6" i="72"/>
  <c r="AO6" i="72" s="1"/>
  <c r="AP6" i="72" s="1"/>
  <c r="AS6" i="72" s="1"/>
  <c r="AT6" i="72" s="1"/>
  <c r="AM18" i="72"/>
  <c r="AO18" i="72" s="1"/>
  <c r="AP18" i="72" s="1"/>
  <c r="AS18" i="72" s="1"/>
  <c r="AT18" i="72" s="1"/>
  <c r="AM16" i="72"/>
  <c r="AO16" i="72" s="1"/>
  <c r="AP16" i="72" s="1"/>
  <c r="AS16" i="72" s="1"/>
  <c r="AT16" i="72" s="1"/>
  <c r="AM15" i="72"/>
  <c r="AO15" i="72" s="1"/>
  <c r="AP15" i="72" s="1"/>
  <c r="AS15" i="72" s="1"/>
  <c r="AT15" i="72" s="1"/>
  <c r="AM5" i="72"/>
  <c r="AO5" i="72" s="1"/>
  <c r="AP5" i="72" s="1"/>
  <c r="AM19" i="72"/>
  <c r="AO19" i="72" s="1"/>
  <c r="AP19" i="72" s="1"/>
  <c r="AS19" i="72" s="1"/>
  <c r="AT19" i="72" s="1"/>
  <c r="AM17" i="72"/>
  <c r="AO17" i="72" s="1"/>
  <c r="AP17" i="72" s="1"/>
  <c r="AS17" i="72" s="1"/>
  <c r="AT17" i="72" s="1"/>
  <c r="AM7" i="72"/>
  <c r="AO7" i="72" s="1"/>
  <c r="AP7" i="72" s="1"/>
  <c r="AS7" i="72" s="1"/>
  <c r="AT7" i="72" s="1"/>
  <c r="AM13" i="72"/>
  <c r="AO13" i="72" s="1"/>
  <c r="AP13" i="72" s="1"/>
  <c r="AS13" i="72" s="1"/>
  <c r="AT13" i="72" s="1"/>
  <c r="I52" i="72"/>
  <c r="G1" i="58"/>
  <c r="I1" i="58" s="1"/>
  <c r="D52" i="58"/>
  <c r="E9" i="44"/>
  <c r="G9" i="44" s="1"/>
  <c r="H9" i="44" s="1"/>
  <c r="K9" i="44" s="1"/>
  <c r="L9" i="44" s="1"/>
  <c r="E7" i="44"/>
  <c r="G7" i="44" s="1"/>
  <c r="H7" i="44" s="1"/>
  <c r="K7" i="44" s="1"/>
  <c r="L7" i="44" s="1"/>
  <c r="C52" i="44"/>
  <c r="E10" i="44"/>
  <c r="G10" i="44" s="1"/>
  <c r="H10" i="44" s="1"/>
  <c r="K10" i="44" s="1"/>
  <c r="L10" i="44" s="1"/>
  <c r="E5" i="44"/>
  <c r="G5" i="44" s="1"/>
  <c r="H5" i="44" s="1"/>
  <c r="K5" i="44" s="1"/>
  <c r="L5" i="44" s="1"/>
  <c r="S35" i="44" s="1"/>
  <c r="E11" i="44"/>
  <c r="G11" i="44" s="1"/>
  <c r="H11" i="44" s="1"/>
  <c r="K11" i="44" s="1"/>
  <c r="L11" i="44" s="1"/>
  <c r="E12" i="44"/>
  <c r="G12" i="44" s="1"/>
  <c r="H12" i="44" s="1"/>
  <c r="K12" i="44" s="1"/>
  <c r="L12" i="44" s="1"/>
  <c r="E14" i="44"/>
  <c r="G14" i="44" s="1"/>
  <c r="H14" i="44" s="1"/>
  <c r="K14" i="44" s="1"/>
  <c r="L14" i="44" s="1"/>
  <c r="E17" i="44"/>
  <c r="G17" i="44" s="1"/>
  <c r="H17" i="44" s="1"/>
  <c r="K17" i="44" s="1"/>
  <c r="L17" i="44" s="1"/>
  <c r="E15" i="44"/>
  <c r="G15" i="44" s="1"/>
  <c r="H15" i="44" s="1"/>
  <c r="K15" i="44" s="1"/>
  <c r="L15" i="44" s="1"/>
  <c r="I52" i="53"/>
  <c r="H52" i="53" s="1"/>
  <c r="I51" i="56"/>
  <c r="J53" i="65"/>
  <c r="I51" i="65"/>
  <c r="D5" i="65" s="1"/>
  <c r="D5" i="67"/>
  <c r="H51" i="67"/>
  <c r="J53" i="58"/>
  <c r="B83" i="58" s="1"/>
  <c r="I51" i="58"/>
  <c r="J53" i="74"/>
  <c r="B83" i="74" s="1"/>
  <c r="I51" i="74"/>
  <c r="H52" i="73"/>
  <c r="D65" i="73"/>
  <c r="D94" i="72"/>
  <c r="D65" i="72"/>
  <c r="D65" i="71"/>
  <c r="D82" i="71"/>
  <c r="D90" i="70"/>
  <c r="D65" i="70"/>
  <c r="D116" i="70"/>
  <c r="H52" i="59"/>
  <c r="D88" i="59"/>
  <c r="D65" i="59"/>
  <c r="H52" i="62"/>
  <c r="I53" i="73"/>
  <c r="I53" i="62"/>
  <c r="J54" i="62"/>
  <c r="H51" i="70"/>
  <c r="H51" i="62"/>
  <c r="H51" i="59"/>
  <c r="J51" i="47"/>
  <c r="X44" i="47"/>
  <c r="D85" i="49"/>
  <c r="D65" i="49"/>
  <c r="D90" i="44"/>
  <c r="D65" i="44"/>
  <c r="D81" i="41"/>
  <c r="D65" i="41"/>
  <c r="D84" i="43"/>
  <c r="D65" i="43"/>
  <c r="I53" i="49"/>
  <c r="E7" i="49"/>
  <c r="G7" i="49" s="1"/>
  <c r="H7" i="49" s="1"/>
  <c r="K7" i="49" s="1"/>
  <c r="L7" i="49" s="1"/>
  <c r="E13" i="49"/>
  <c r="G13" i="49" s="1"/>
  <c r="H13" i="49" s="1"/>
  <c r="K13" i="49" s="1"/>
  <c r="L13" i="49" s="1"/>
  <c r="E8" i="49"/>
  <c r="G8" i="49" s="1"/>
  <c r="H8" i="49" s="1"/>
  <c r="K8" i="49" s="1"/>
  <c r="L8" i="49" s="1"/>
  <c r="E9" i="49"/>
  <c r="G9" i="49" s="1"/>
  <c r="H9" i="49" s="1"/>
  <c r="K9" i="49" s="1"/>
  <c r="L9" i="49" s="1"/>
  <c r="E11" i="49"/>
  <c r="G11" i="49" s="1"/>
  <c r="H11" i="49" s="1"/>
  <c r="K11" i="49" s="1"/>
  <c r="L11" i="49" s="1"/>
  <c r="E6" i="49"/>
  <c r="G6" i="49" s="1"/>
  <c r="H6" i="49" s="1"/>
  <c r="K6" i="49" s="1"/>
  <c r="L6" i="49" s="1"/>
  <c r="E12" i="49"/>
  <c r="G12" i="49" s="1"/>
  <c r="H12" i="49" s="1"/>
  <c r="K12" i="49" s="1"/>
  <c r="L12" i="49" s="1"/>
  <c r="E15" i="49"/>
  <c r="G15" i="49" s="1"/>
  <c r="H15" i="49" s="1"/>
  <c r="K15" i="49" s="1"/>
  <c r="L15" i="49" s="1"/>
  <c r="E17" i="49"/>
  <c r="G17" i="49" s="1"/>
  <c r="H17" i="49" s="1"/>
  <c r="K17" i="49" s="1"/>
  <c r="L17" i="49" s="1"/>
  <c r="E10" i="49"/>
  <c r="G10" i="49" s="1"/>
  <c r="H10" i="49" s="1"/>
  <c r="K10" i="49" s="1"/>
  <c r="L10" i="49" s="1"/>
  <c r="E16" i="49"/>
  <c r="G16" i="49" s="1"/>
  <c r="H16" i="49" s="1"/>
  <c r="K16" i="49" s="1"/>
  <c r="L16" i="49" s="1"/>
  <c r="E14" i="49"/>
  <c r="G14" i="49" s="1"/>
  <c r="H14" i="49" s="1"/>
  <c r="K14" i="49" s="1"/>
  <c r="L14" i="49" s="1"/>
  <c r="C52" i="49"/>
  <c r="J54" i="49"/>
  <c r="B99" i="49" s="1"/>
  <c r="E13" i="44"/>
  <c r="G13" i="44" s="1"/>
  <c r="H13" i="44" s="1"/>
  <c r="K13" i="44" s="1"/>
  <c r="L13" i="44" s="1"/>
  <c r="J54" i="44"/>
  <c r="H51" i="49"/>
  <c r="H51" i="41"/>
  <c r="H51" i="46"/>
  <c r="H51" i="43"/>
  <c r="I52" i="67"/>
  <c r="H52" i="67" s="1"/>
  <c r="J53" i="67"/>
  <c r="AM5" i="43"/>
  <c r="AO5" i="43" s="1"/>
  <c r="AP5" i="43" s="1"/>
  <c r="AM6" i="43"/>
  <c r="AO6" i="43" s="1"/>
  <c r="AP6" i="43" s="1"/>
  <c r="AS6" i="43" s="1"/>
  <c r="AT6" i="43" s="1"/>
  <c r="I52" i="43"/>
  <c r="H52" i="43" s="1"/>
  <c r="J54" i="43"/>
  <c r="I53" i="43"/>
  <c r="D87" i="48"/>
  <c r="D65" i="48"/>
  <c r="H51" i="48"/>
  <c r="E5" i="49"/>
  <c r="G5" i="49" s="1"/>
  <c r="H5" i="49" s="1"/>
  <c r="K5" i="49" s="1"/>
  <c r="L5" i="49" s="1"/>
  <c r="S35" i="49" s="1"/>
  <c r="H53" i="49"/>
  <c r="E16" i="43"/>
  <c r="G16" i="43" s="1"/>
  <c r="H16" i="43" s="1"/>
  <c r="K16" i="43" s="1"/>
  <c r="L16" i="43" s="1"/>
  <c r="E9" i="43"/>
  <c r="G9" i="43" s="1"/>
  <c r="H9" i="43" s="1"/>
  <c r="K9" i="43" s="1"/>
  <c r="L9" i="43" s="1"/>
  <c r="E13" i="43"/>
  <c r="G13" i="43" s="1"/>
  <c r="H13" i="43" s="1"/>
  <c r="K13" i="43" s="1"/>
  <c r="L13" i="43" s="1"/>
  <c r="E11" i="43"/>
  <c r="G11" i="43" s="1"/>
  <c r="H11" i="43" s="1"/>
  <c r="K11" i="43" s="1"/>
  <c r="L11" i="43" s="1"/>
  <c r="E14" i="43"/>
  <c r="G14" i="43" s="1"/>
  <c r="H14" i="43" s="1"/>
  <c r="K14" i="43" s="1"/>
  <c r="L14" i="43" s="1"/>
  <c r="C52" i="43"/>
  <c r="E7" i="43"/>
  <c r="G7" i="43" s="1"/>
  <c r="H7" i="43" s="1"/>
  <c r="K7" i="43" s="1"/>
  <c r="L7" i="43" s="1"/>
  <c r="E8" i="43"/>
  <c r="G8" i="43" s="1"/>
  <c r="H8" i="43" s="1"/>
  <c r="K8" i="43" s="1"/>
  <c r="L8" i="43" s="1"/>
  <c r="U35" i="43" s="1"/>
  <c r="AD30" i="43" s="1"/>
  <c r="E6" i="43"/>
  <c r="G6" i="43" s="1"/>
  <c r="H6" i="43" s="1"/>
  <c r="K6" i="43" s="1"/>
  <c r="L6" i="43" s="1"/>
  <c r="E10" i="43"/>
  <c r="G10" i="43" s="1"/>
  <c r="H10" i="43" s="1"/>
  <c r="K10" i="43" s="1"/>
  <c r="L10" i="43" s="1"/>
  <c r="E12" i="43"/>
  <c r="G12" i="43" s="1"/>
  <c r="H12" i="43" s="1"/>
  <c r="K12" i="43" s="1"/>
  <c r="L12" i="43" s="1"/>
  <c r="E15" i="43"/>
  <c r="G15" i="43" s="1"/>
  <c r="H15" i="43" s="1"/>
  <c r="K15" i="43" s="1"/>
  <c r="L15" i="43" s="1"/>
  <c r="E17" i="43"/>
  <c r="G17" i="43" s="1"/>
  <c r="H17" i="43" s="1"/>
  <c r="K17" i="43" s="1"/>
  <c r="L17" i="43" s="1"/>
  <c r="AM7" i="41"/>
  <c r="AO7" i="41" s="1"/>
  <c r="AP7" i="41" s="1"/>
  <c r="AS7" i="41" s="1"/>
  <c r="AT7" i="41" s="1"/>
  <c r="AM5" i="41"/>
  <c r="AO5" i="41" s="1"/>
  <c r="AP5" i="41" s="1"/>
  <c r="AM6" i="41"/>
  <c r="AO6" i="41" s="1"/>
  <c r="AP6" i="41" s="1"/>
  <c r="AS6" i="41" s="1"/>
  <c r="AT6" i="41" s="1"/>
  <c r="AM8" i="41"/>
  <c r="AO8" i="41" s="1"/>
  <c r="AP8" i="41" s="1"/>
  <c r="AS8" i="41" s="1"/>
  <c r="AT8" i="41" s="1"/>
  <c r="AM9" i="41"/>
  <c r="AO9" i="41" s="1"/>
  <c r="AP9" i="41" s="1"/>
  <c r="AS9" i="41" s="1"/>
  <c r="AT9" i="41" s="1"/>
  <c r="AM10" i="41"/>
  <c r="AO10" i="41" s="1"/>
  <c r="AP10" i="41" s="1"/>
  <c r="AS10" i="41" s="1"/>
  <c r="AT10" i="41" s="1"/>
  <c r="AM12" i="41"/>
  <c r="AO12" i="41" s="1"/>
  <c r="AP12" i="41" s="1"/>
  <c r="AS12" i="41" s="1"/>
  <c r="AT12" i="41" s="1"/>
  <c r="AM11" i="41"/>
  <c r="AO11" i="41" s="1"/>
  <c r="AP11" i="41" s="1"/>
  <c r="AS11" i="41" s="1"/>
  <c r="AT11" i="41" s="1"/>
  <c r="J54" i="30"/>
  <c r="B90" i="30" s="1"/>
  <c r="H54" i="50"/>
  <c r="E88" i="50" s="1"/>
  <c r="J53" i="33"/>
  <c r="B87" i="33" s="1"/>
  <c r="I51" i="33"/>
  <c r="G1" i="32"/>
  <c r="E6" i="32" s="1"/>
  <c r="D52" i="32"/>
  <c r="C52" i="8"/>
  <c r="C53" i="8" s="1"/>
  <c r="E22" i="8"/>
  <c r="G22" i="8" s="1"/>
  <c r="H22" i="8" s="1"/>
  <c r="K22" i="8" s="1"/>
  <c r="L22" i="8" s="1"/>
  <c r="E20" i="8"/>
  <c r="G20" i="8" s="1"/>
  <c r="H20" i="8" s="1"/>
  <c r="K20" i="8" s="1"/>
  <c r="L20" i="8" s="1"/>
  <c r="E19" i="8"/>
  <c r="G19" i="8" s="1"/>
  <c r="H19" i="8" s="1"/>
  <c r="K19" i="8" s="1"/>
  <c r="L19" i="8" s="1"/>
  <c r="E17" i="8"/>
  <c r="G17" i="8" s="1"/>
  <c r="H17" i="8" s="1"/>
  <c r="K17" i="8" s="1"/>
  <c r="L17" i="8" s="1"/>
  <c r="E13" i="8"/>
  <c r="G13" i="8" s="1"/>
  <c r="H13" i="8" s="1"/>
  <c r="K13" i="8" s="1"/>
  <c r="L13" i="8" s="1"/>
  <c r="E12" i="8"/>
  <c r="G12" i="8" s="1"/>
  <c r="H12" i="8" s="1"/>
  <c r="K12" i="8" s="1"/>
  <c r="L12" i="8" s="1"/>
  <c r="E10" i="8"/>
  <c r="G10" i="8" s="1"/>
  <c r="H10" i="8" s="1"/>
  <c r="K10" i="8" s="1"/>
  <c r="L10" i="8" s="1"/>
  <c r="E9" i="8"/>
  <c r="G9" i="8" s="1"/>
  <c r="H9" i="8" s="1"/>
  <c r="K9" i="8" s="1"/>
  <c r="L9" i="8" s="1"/>
  <c r="E6" i="8"/>
  <c r="G6" i="8" s="1"/>
  <c r="H6" i="8" s="1"/>
  <c r="K6" i="8" s="1"/>
  <c r="L6" i="8" s="1"/>
  <c r="E21" i="8"/>
  <c r="G21" i="8" s="1"/>
  <c r="H21" i="8" s="1"/>
  <c r="K21" i="8" s="1"/>
  <c r="L21" i="8" s="1"/>
  <c r="E16" i="8"/>
  <c r="G16" i="8" s="1"/>
  <c r="H16" i="8" s="1"/>
  <c r="K16" i="8" s="1"/>
  <c r="L16" i="8" s="1"/>
  <c r="E23" i="8"/>
  <c r="G23" i="8" s="1"/>
  <c r="H23" i="8" s="1"/>
  <c r="K23" i="8" s="1"/>
  <c r="L23" i="8" s="1"/>
  <c r="E18" i="8"/>
  <c r="G18" i="8" s="1"/>
  <c r="H18" i="8" s="1"/>
  <c r="K18" i="8" s="1"/>
  <c r="L18" i="8" s="1"/>
  <c r="E15" i="8"/>
  <c r="G15" i="8" s="1"/>
  <c r="H15" i="8" s="1"/>
  <c r="K15" i="8" s="1"/>
  <c r="L15" i="8" s="1"/>
  <c r="E14" i="8"/>
  <c r="G14" i="8" s="1"/>
  <c r="H14" i="8" s="1"/>
  <c r="K14" i="8" s="1"/>
  <c r="L14" i="8" s="1"/>
  <c r="E11" i="8"/>
  <c r="G11" i="8" s="1"/>
  <c r="H11" i="8" s="1"/>
  <c r="K11" i="8" s="1"/>
  <c r="L11" i="8" s="1"/>
  <c r="E8" i="8"/>
  <c r="G8" i="8" s="1"/>
  <c r="H8" i="8" s="1"/>
  <c r="K8" i="8" s="1"/>
  <c r="L8" i="8" s="1"/>
  <c r="E7" i="8"/>
  <c r="G7" i="8" s="1"/>
  <c r="H7" i="8" s="1"/>
  <c r="K7" i="8" s="1"/>
  <c r="L7" i="8" s="1"/>
  <c r="E21" i="33"/>
  <c r="G21" i="33" s="1"/>
  <c r="H21" i="33" s="1"/>
  <c r="K21" i="33" s="1"/>
  <c r="L21" i="33" s="1"/>
  <c r="E20" i="33"/>
  <c r="G20" i="33" s="1"/>
  <c r="H20" i="33" s="1"/>
  <c r="K20" i="33" s="1"/>
  <c r="L20" i="33" s="1"/>
  <c r="E22" i="33"/>
  <c r="G22" i="33" s="1"/>
  <c r="H22" i="33" s="1"/>
  <c r="K22" i="33" s="1"/>
  <c r="L22" i="33" s="1"/>
  <c r="E9" i="33"/>
  <c r="G9" i="33" s="1"/>
  <c r="H9" i="33" s="1"/>
  <c r="K9" i="33" s="1"/>
  <c r="L9" i="33" s="1"/>
  <c r="E25" i="33"/>
  <c r="G25" i="33" s="1"/>
  <c r="H25" i="33" s="1"/>
  <c r="K25" i="33" s="1"/>
  <c r="L25" i="33" s="1"/>
  <c r="E8" i="33"/>
  <c r="G8" i="33" s="1"/>
  <c r="H8" i="33" s="1"/>
  <c r="K8" i="33" s="1"/>
  <c r="L8" i="33" s="1"/>
  <c r="C52" i="33"/>
  <c r="E23" i="33"/>
  <c r="G23" i="33" s="1"/>
  <c r="H23" i="33" s="1"/>
  <c r="K23" i="33" s="1"/>
  <c r="L23" i="33" s="1"/>
  <c r="E10" i="33"/>
  <c r="G10" i="33" s="1"/>
  <c r="H10" i="33" s="1"/>
  <c r="K10" i="33" s="1"/>
  <c r="L10" i="33" s="1"/>
  <c r="E17" i="33"/>
  <c r="G17" i="33" s="1"/>
  <c r="H17" i="33" s="1"/>
  <c r="K17" i="33" s="1"/>
  <c r="L17" i="33" s="1"/>
  <c r="E18" i="33"/>
  <c r="G18" i="33" s="1"/>
  <c r="H18" i="33" s="1"/>
  <c r="K18" i="33" s="1"/>
  <c r="L18" i="33" s="1"/>
  <c r="E6" i="33"/>
  <c r="G6" i="33" s="1"/>
  <c r="H6" i="33" s="1"/>
  <c r="K6" i="33" s="1"/>
  <c r="L6" i="33" s="1"/>
  <c r="E14" i="33"/>
  <c r="G14" i="33" s="1"/>
  <c r="H14" i="33" s="1"/>
  <c r="K14" i="33" s="1"/>
  <c r="L14" i="33" s="1"/>
  <c r="E19" i="33"/>
  <c r="G19" i="33" s="1"/>
  <c r="H19" i="33" s="1"/>
  <c r="K19" i="33" s="1"/>
  <c r="L19" i="33" s="1"/>
  <c r="E11" i="33"/>
  <c r="G11" i="33" s="1"/>
  <c r="H11" i="33" s="1"/>
  <c r="K11" i="33" s="1"/>
  <c r="L11" i="33" s="1"/>
  <c r="E15" i="33"/>
  <c r="G15" i="33" s="1"/>
  <c r="H15" i="33" s="1"/>
  <c r="K15" i="33" s="1"/>
  <c r="L15" i="33" s="1"/>
  <c r="E16" i="33"/>
  <c r="G16" i="33" s="1"/>
  <c r="H16" i="33" s="1"/>
  <c r="K16" i="33" s="1"/>
  <c r="L16" i="33" s="1"/>
  <c r="E12" i="33"/>
  <c r="G12" i="33" s="1"/>
  <c r="H12" i="33" s="1"/>
  <c r="K12" i="33" s="1"/>
  <c r="L12" i="33" s="1"/>
  <c r="E7" i="33"/>
  <c r="G7" i="33" s="1"/>
  <c r="H7" i="33" s="1"/>
  <c r="K7" i="33" s="1"/>
  <c r="L7" i="33" s="1"/>
  <c r="E13" i="33"/>
  <c r="G13" i="33" s="1"/>
  <c r="H13" i="33" s="1"/>
  <c r="K13" i="33" s="1"/>
  <c r="L13" i="33" s="1"/>
  <c r="E24" i="33"/>
  <c r="G24" i="33" s="1"/>
  <c r="H24" i="33" s="1"/>
  <c r="K24" i="33" s="1"/>
  <c r="L24" i="33" s="1"/>
  <c r="E8" i="26"/>
  <c r="G8" i="26" s="1"/>
  <c r="H8" i="26" s="1"/>
  <c r="K8" i="26" s="1"/>
  <c r="L8" i="26" s="1"/>
  <c r="E15" i="26"/>
  <c r="G15" i="26" s="1"/>
  <c r="H15" i="26" s="1"/>
  <c r="K15" i="26" s="1"/>
  <c r="L15" i="26" s="1"/>
  <c r="E19" i="26"/>
  <c r="G19" i="26" s="1"/>
  <c r="H19" i="26" s="1"/>
  <c r="K19" i="26" s="1"/>
  <c r="L19" i="26" s="1"/>
  <c r="E16" i="26"/>
  <c r="G16" i="26" s="1"/>
  <c r="H16" i="26" s="1"/>
  <c r="K16" i="26" s="1"/>
  <c r="L16" i="26" s="1"/>
  <c r="E7" i="26"/>
  <c r="G7" i="26" s="1"/>
  <c r="H7" i="26" s="1"/>
  <c r="K7" i="26" s="1"/>
  <c r="L7" i="26" s="1"/>
  <c r="E6" i="26"/>
  <c r="G6" i="26" s="1"/>
  <c r="H6" i="26" s="1"/>
  <c r="K6" i="26" s="1"/>
  <c r="L6" i="26" s="1"/>
  <c r="C52" i="26"/>
  <c r="C53" i="26" s="1"/>
  <c r="D53" i="26" s="1"/>
  <c r="E12" i="26"/>
  <c r="G12" i="26" s="1"/>
  <c r="H12" i="26" s="1"/>
  <c r="K12" i="26" s="1"/>
  <c r="L12" i="26" s="1"/>
  <c r="E14" i="26"/>
  <c r="G14" i="26" s="1"/>
  <c r="H14" i="26" s="1"/>
  <c r="K14" i="26" s="1"/>
  <c r="L14" i="26" s="1"/>
  <c r="E17" i="26"/>
  <c r="G17" i="26" s="1"/>
  <c r="H17" i="26" s="1"/>
  <c r="K17" i="26" s="1"/>
  <c r="L17" i="26" s="1"/>
  <c r="E9" i="26"/>
  <c r="G9" i="26" s="1"/>
  <c r="H9" i="26" s="1"/>
  <c r="K9" i="26" s="1"/>
  <c r="L9" i="26" s="1"/>
  <c r="E11" i="26"/>
  <c r="G11" i="26" s="1"/>
  <c r="H11" i="26" s="1"/>
  <c r="K11" i="26" s="1"/>
  <c r="L11" i="26" s="1"/>
  <c r="E13" i="26"/>
  <c r="G13" i="26" s="1"/>
  <c r="H13" i="26" s="1"/>
  <c r="K13" i="26" s="1"/>
  <c r="L13" i="26" s="1"/>
  <c r="E18" i="26"/>
  <c r="G18" i="26" s="1"/>
  <c r="H18" i="26" s="1"/>
  <c r="K18" i="26" s="1"/>
  <c r="L18" i="26" s="1"/>
  <c r="E10" i="26"/>
  <c r="G10" i="26" s="1"/>
  <c r="H10" i="26" s="1"/>
  <c r="K10" i="26" s="1"/>
  <c r="L10" i="26" s="1"/>
  <c r="J54" i="23"/>
  <c r="B100" i="23" s="1"/>
  <c r="E10" i="16"/>
  <c r="G10" i="16" s="1"/>
  <c r="H10" i="16" s="1"/>
  <c r="K10" i="16" s="1"/>
  <c r="L10" i="16" s="1"/>
  <c r="H53" i="77"/>
  <c r="E65" i="77" s="1"/>
  <c r="E6" i="77"/>
  <c r="G6" i="77" s="1"/>
  <c r="H6" i="77" s="1"/>
  <c r="K6" i="77" s="1"/>
  <c r="L6" i="77" s="1"/>
  <c r="E8" i="77"/>
  <c r="G8" i="77" s="1"/>
  <c r="H8" i="77" s="1"/>
  <c r="K8" i="77" s="1"/>
  <c r="L8" i="77" s="1"/>
  <c r="E10" i="77"/>
  <c r="G10" i="77" s="1"/>
  <c r="H10" i="77" s="1"/>
  <c r="K10" i="77" s="1"/>
  <c r="L10" i="77" s="1"/>
  <c r="H1" i="77"/>
  <c r="E7" i="77"/>
  <c r="G7" i="77" s="1"/>
  <c r="H7" i="77" s="1"/>
  <c r="K7" i="77" s="1"/>
  <c r="L7" i="77" s="1"/>
  <c r="E9" i="77"/>
  <c r="G9" i="77" s="1"/>
  <c r="H9" i="77" s="1"/>
  <c r="K9" i="77" s="1"/>
  <c r="L9" i="77" s="1"/>
  <c r="C52" i="16"/>
  <c r="E5" i="16"/>
  <c r="G5" i="16" s="1"/>
  <c r="H5" i="16" s="1"/>
  <c r="K5" i="16" s="1"/>
  <c r="L5" i="16" s="1"/>
  <c r="S35" i="16" s="1"/>
  <c r="E7" i="16"/>
  <c r="G7" i="16" s="1"/>
  <c r="H7" i="16" s="1"/>
  <c r="K7" i="16" s="1"/>
  <c r="L7" i="16" s="1"/>
  <c r="G5" i="10"/>
  <c r="I54" i="10"/>
  <c r="L5" i="10"/>
  <c r="J55" i="10"/>
  <c r="B95" i="10" s="1"/>
  <c r="H52" i="10"/>
  <c r="J53" i="7"/>
  <c r="B81" i="7" s="1"/>
  <c r="I51" i="7"/>
  <c r="D5" i="69"/>
  <c r="J54" i="9"/>
  <c r="K5" i="75"/>
  <c r="L5" i="75" s="1"/>
  <c r="AM10" i="25"/>
  <c r="AO10" i="25" s="1"/>
  <c r="AP10" i="25" s="1"/>
  <c r="AS10" i="25" s="1"/>
  <c r="AT10" i="25" s="1"/>
  <c r="AM12" i="25"/>
  <c r="AO12" i="25" s="1"/>
  <c r="AP12" i="25" s="1"/>
  <c r="AS12" i="25" s="1"/>
  <c r="AT12" i="25" s="1"/>
  <c r="AM5" i="25"/>
  <c r="AO5" i="25" s="1"/>
  <c r="AP5" i="25" s="1"/>
  <c r="AM11" i="25"/>
  <c r="AO11" i="25" s="1"/>
  <c r="AP11" i="25" s="1"/>
  <c r="AS11" i="25" s="1"/>
  <c r="AT11" i="25" s="1"/>
  <c r="AM15" i="25"/>
  <c r="AO15" i="25" s="1"/>
  <c r="AP15" i="25" s="1"/>
  <c r="AS15" i="25" s="1"/>
  <c r="AT15" i="25" s="1"/>
  <c r="E8" i="25"/>
  <c r="G8" i="25" s="1"/>
  <c r="H8" i="25" s="1"/>
  <c r="K8" i="25" s="1"/>
  <c r="L8" i="25" s="1"/>
  <c r="E7" i="25"/>
  <c r="G7" i="25" s="1"/>
  <c r="H7" i="25" s="1"/>
  <c r="K7" i="25" s="1"/>
  <c r="L7" i="25" s="1"/>
  <c r="E6" i="25"/>
  <c r="G6" i="25" s="1"/>
  <c r="H6" i="25" s="1"/>
  <c r="K6" i="25" s="1"/>
  <c r="L6" i="25" s="1"/>
  <c r="G5" i="51"/>
  <c r="H52" i="51"/>
  <c r="I53" i="51"/>
  <c r="J54" i="51"/>
  <c r="B98" i="51" s="1"/>
  <c r="H98" i="51" s="1"/>
  <c r="I52" i="60"/>
  <c r="J53" i="60"/>
  <c r="B79" i="60" s="1"/>
  <c r="AM8" i="60"/>
  <c r="AO8" i="60" s="1"/>
  <c r="AP8" i="60" s="1"/>
  <c r="AS8" i="60" s="1"/>
  <c r="AT8" i="60" s="1"/>
  <c r="AM7" i="60"/>
  <c r="AO7" i="60" s="1"/>
  <c r="AP7" i="60" s="1"/>
  <c r="AS7" i="60" s="1"/>
  <c r="AT7" i="60" s="1"/>
  <c r="AM5" i="60"/>
  <c r="AO5" i="60" s="1"/>
  <c r="AP5" i="60" s="1"/>
  <c r="AM12" i="60"/>
  <c r="AO12" i="60" s="1"/>
  <c r="AP12" i="60" s="1"/>
  <c r="AS12" i="60" s="1"/>
  <c r="AT12" i="60" s="1"/>
  <c r="AM11" i="60"/>
  <c r="AO11" i="60" s="1"/>
  <c r="AP11" i="60" s="1"/>
  <c r="AS11" i="60" s="1"/>
  <c r="AT11" i="60" s="1"/>
  <c r="AM10" i="60"/>
  <c r="AO10" i="60" s="1"/>
  <c r="AP10" i="60" s="1"/>
  <c r="AS10" i="60" s="1"/>
  <c r="AT10" i="60" s="1"/>
  <c r="AM13" i="60"/>
  <c r="AO13" i="60" s="1"/>
  <c r="AP13" i="60" s="1"/>
  <c r="AS13" i="60" s="1"/>
  <c r="AT13" i="60" s="1"/>
  <c r="AM6" i="60"/>
  <c r="AO6" i="60" s="1"/>
  <c r="AP6" i="60" s="1"/>
  <c r="AS6" i="60" s="1"/>
  <c r="AT6" i="60" s="1"/>
  <c r="AM9" i="60"/>
  <c r="AO9" i="60" s="1"/>
  <c r="AP9" i="60" s="1"/>
  <c r="AS9" i="60" s="1"/>
  <c r="AT9" i="60" s="1"/>
  <c r="AM14" i="60"/>
  <c r="AO14" i="60" s="1"/>
  <c r="AP14" i="60" s="1"/>
  <c r="AS14" i="60" s="1"/>
  <c r="AT14" i="60" s="1"/>
  <c r="G1" i="60"/>
  <c r="I1" i="60" s="1"/>
  <c r="D52" i="60"/>
  <c r="C53" i="50"/>
  <c r="J54" i="35"/>
  <c r="B81" i="35" s="1"/>
  <c r="H81" i="35" s="1"/>
  <c r="I53" i="35"/>
  <c r="G5" i="35"/>
  <c r="H52" i="35"/>
  <c r="I52" i="25"/>
  <c r="J53" i="25"/>
  <c r="AM13" i="25"/>
  <c r="AO13" i="25" s="1"/>
  <c r="AP13" i="25" s="1"/>
  <c r="AS13" i="25" s="1"/>
  <c r="AT13" i="25" s="1"/>
  <c r="AM16" i="25"/>
  <c r="AO16" i="25" s="1"/>
  <c r="AP16" i="25" s="1"/>
  <c r="AS16" i="25" s="1"/>
  <c r="AT16" i="25" s="1"/>
  <c r="AM8" i="25"/>
  <c r="AO8" i="25" s="1"/>
  <c r="AP8" i="25" s="1"/>
  <c r="AS8" i="25" s="1"/>
  <c r="AT8" i="25" s="1"/>
  <c r="AM9" i="25"/>
  <c r="AO9" i="25" s="1"/>
  <c r="AP9" i="25" s="1"/>
  <c r="AS9" i="25" s="1"/>
  <c r="AT9" i="25" s="1"/>
  <c r="AM7" i="25"/>
  <c r="AO7" i="25" s="1"/>
  <c r="AP7" i="25" s="1"/>
  <c r="AS7" i="25" s="1"/>
  <c r="AT7" i="25" s="1"/>
  <c r="AM6" i="25"/>
  <c r="AO6" i="25" s="1"/>
  <c r="AP6" i="25" s="1"/>
  <c r="AS6" i="25" s="1"/>
  <c r="AT6" i="25" s="1"/>
  <c r="AM14" i="25"/>
  <c r="AO14" i="25" s="1"/>
  <c r="AP14" i="25" s="1"/>
  <c r="AS14" i="25" s="1"/>
  <c r="AT14" i="25" s="1"/>
  <c r="E8" i="79"/>
  <c r="G8" i="79" s="1"/>
  <c r="H8" i="79" s="1"/>
  <c r="K8" i="79" s="1"/>
  <c r="L8" i="79" s="1"/>
  <c r="E7" i="79"/>
  <c r="G7" i="79" s="1"/>
  <c r="H7" i="79" s="1"/>
  <c r="K7" i="79" s="1"/>
  <c r="L7" i="79" s="1"/>
  <c r="E9" i="79"/>
  <c r="G9" i="79" s="1"/>
  <c r="H9" i="79" s="1"/>
  <c r="K9" i="79" s="1"/>
  <c r="L9" i="79" s="1"/>
  <c r="E6" i="79"/>
  <c r="G6" i="79" s="1"/>
  <c r="H6" i="79" s="1"/>
  <c r="K6" i="79" s="1"/>
  <c r="L6" i="79" s="1"/>
  <c r="G5" i="79"/>
  <c r="H5" i="79" s="1"/>
  <c r="K5" i="79" s="1"/>
  <c r="L5" i="79" s="1"/>
  <c r="S35" i="79" s="1"/>
  <c r="I1" i="79"/>
  <c r="I54" i="32"/>
  <c r="J55" i="32"/>
  <c r="I55" i="32" s="1"/>
  <c r="D52" i="78"/>
  <c r="B76" i="78" s="1"/>
  <c r="G1" i="78"/>
  <c r="E6" i="68"/>
  <c r="G6" i="68" s="1"/>
  <c r="H6" i="68" s="1"/>
  <c r="K6" i="68" s="1"/>
  <c r="L6" i="68" s="1"/>
  <c r="E8" i="68"/>
  <c r="G8" i="68" s="1"/>
  <c r="H8" i="68" s="1"/>
  <c r="K8" i="68" s="1"/>
  <c r="L8" i="68" s="1"/>
  <c r="E13" i="68"/>
  <c r="G13" i="68" s="1"/>
  <c r="H13" i="68" s="1"/>
  <c r="K13" i="68" s="1"/>
  <c r="L13" i="68" s="1"/>
  <c r="E11" i="68"/>
  <c r="G11" i="68" s="1"/>
  <c r="H11" i="68" s="1"/>
  <c r="K11" i="68" s="1"/>
  <c r="L11" i="68" s="1"/>
  <c r="E9" i="68"/>
  <c r="G9" i="68" s="1"/>
  <c r="H9" i="68" s="1"/>
  <c r="K9" i="68" s="1"/>
  <c r="L9" i="68" s="1"/>
  <c r="E10" i="68"/>
  <c r="G10" i="68" s="1"/>
  <c r="H10" i="68" s="1"/>
  <c r="K10" i="68" s="1"/>
  <c r="L10" i="68" s="1"/>
  <c r="E12" i="68"/>
  <c r="G12" i="68" s="1"/>
  <c r="H12" i="68" s="1"/>
  <c r="K12" i="68" s="1"/>
  <c r="L12" i="68" s="1"/>
  <c r="E7" i="68"/>
  <c r="G7" i="68" s="1"/>
  <c r="H7" i="68" s="1"/>
  <c r="K7" i="68" s="1"/>
  <c r="L7" i="68" s="1"/>
  <c r="I54" i="50"/>
  <c r="J55" i="50"/>
  <c r="D52" i="55"/>
  <c r="B76" i="55" s="1"/>
  <c r="G1" i="55"/>
  <c r="G1" i="54"/>
  <c r="D52" i="54"/>
  <c r="B73" i="54" s="1"/>
  <c r="AA53" i="52"/>
  <c r="AB53" i="52"/>
  <c r="AC53" i="52"/>
  <c r="AA54" i="52"/>
  <c r="AC54" i="52"/>
  <c r="AB54" i="52"/>
  <c r="C52" i="39"/>
  <c r="I1" i="39"/>
  <c r="D52" i="38"/>
  <c r="B73" i="38" s="1"/>
  <c r="G1" i="38"/>
  <c r="G1" i="31"/>
  <c r="E19" i="27"/>
  <c r="G19" i="27" s="1"/>
  <c r="H19" i="27" s="1"/>
  <c r="K19" i="27" s="1"/>
  <c r="L19" i="27" s="1"/>
  <c r="E15" i="27"/>
  <c r="G15" i="27" s="1"/>
  <c r="H15" i="27" s="1"/>
  <c r="K15" i="27" s="1"/>
  <c r="L15" i="27" s="1"/>
  <c r="E14" i="27"/>
  <c r="G14" i="27" s="1"/>
  <c r="H14" i="27" s="1"/>
  <c r="K14" i="27" s="1"/>
  <c r="L14" i="27" s="1"/>
  <c r="E18" i="27"/>
  <c r="G18" i="27" s="1"/>
  <c r="H18" i="27" s="1"/>
  <c r="K18" i="27" s="1"/>
  <c r="L18" i="27" s="1"/>
  <c r="E17" i="27"/>
  <c r="G17" i="27" s="1"/>
  <c r="H17" i="27" s="1"/>
  <c r="K17" i="27" s="1"/>
  <c r="L17" i="27" s="1"/>
  <c r="E13" i="27"/>
  <c r="G13" i="27" s="1"/>
  <c r="H13" i="27" s="1"/>
  <c r="K13" i="27" s="1"/>
  <c r="L13" i="27" s="1"/>
  <c r="E11" i="27"/>
  <c r="G11" i="27" s="1"/>
  <c r="H11" i="27" s="1"/>
  <c r="K11" i="27" s="1"/>
  <c r="L11" i="27" s="1"/>
  <c r="E10" i="27"/>
  <c r="G10" i="27" s="1"/>
  <c r="H10" i="27" s="1"/>
  <c r="K10" i="27" s="1"/>
  <c r="L10" i="27" s="1"/>
  <c r="E8" i="27"/>
  <c r="G8" i="27" s="1"/>
  <c r="H8" i="27" s="1"/>
  <c r="K8" i="27" s="1"/>
  <c r="L8" i="27" s="1"/>
  <c r="E5" i="27"/>
  <c r="G5" i="27" s="1"/>
  <c r="H5" i="27" s="1"/>
  <c r="K5" i="27" s="1"/>
  <c r="L5" i="27" s="1"/>
  <c r="S35" i="27" s="1"/>
  <c r="AA30" i="27" s="1"/>
  <c r="C52" i="27"/>
  <c r="C53" i="27" s="1"/>
  <c r="E12" i="27"/>
  <c r="G12" i="27" s="1"/>
  <c r="H12" i="27" s="1"/>
  <c r="K12" i="27" s="1"/>
  <c r="L12" i="27" s="1"/>
  <c r="E16" i="27"/>
  <c r="G16" i="27" s="1"/>
  <c r="H16" i="27" s="1"/>
  <c r="K16" i="27" s="1"/>
  <c r="L16" i="27" s="1"/>
  <c r="E9" i="27"/>
  <c r="G9" i="27" s="1"/>
  <c r="H9" i="27" s="1"/>
  <c r="K9" i="27" s="1"/>
  <c r="L9" i="27" s="1"/>
  <c r="E7" i="27"/>
  <c r="G7" i="27" s="1"/>
  <c r="H7" i="27" s="1"/>
  <c r="K7" i="27" s="1"/>
  <c r="L7" i="27" s="1"/>
  <c r="E6" i="27"/>
  <c r="G6" i="27" s="1"/>
  <c r="H6" i="27" s="1"/>
  <c r="K6" i="27" s="1"/>
  <c r="L6" i="27" s="1"/>
  <c r="I54" i="27"/>
  <c r="J55" i="27"/>
  <c r="I55" i="27" s="1"/>
  <c r="J55" i="16"/>
  <c r="I54" i="16"/>
  <c r="D52" i="14"/>
  <c r="B73" i="14" s="1"/>
  <c r="G1" i="14"/>
  <c r="G1" i="13"/>
  <c r="D52" i="13"/>
  <c r="B75" i="13" s="1"/>
  <c r="E8" i="12"/>
  <c r="G8" i="12" s="1"/>
  <c r="H8" i="12" s="1"/>
  <c r="K8" i="12" s="1"/>
  <c r="L8" i="12" s="1"/>
  <c r="E13" i="12"/>
  <c r="G13" i="12" s="1"/>
  <c r="H13" i="12" s="1"/>
  <c r="K13" i="12" s="1"/>
  <c r="L13" i="12" s="1"/>
  <c r="E11" i="12"/>
  <c r="G11" i="12" s="1"/>
  <c r="H11" i="12" s="1"/>
  <c r="K11" i="12" s="1"/>
  <c r="L11" i="12" s="1"/>
  <c r="E6" i="12"/>
  <c r="G6" i="12" s="1"/>
  <c r="H6" i="12" s="1"/>
  <c r="K6" i="12" s="1"/>
  <c r="L6" i="12" s="1"/>
  <c r="C52" i="12"/>
  <c r="E9" i="12"/>
  <c r="G9" i="12" s="1"/>
  <c r="H9" i="12" s="1"/>
  <c r="K9" i="12" s="1"/>
  <c r="L9" i="12" s="1"/>
  <c r="E12" i="12"/>
  <c r="G12" i="12" s="1"/>
  <c r="H12" i="12" s="1"/>
  <c r="K12" i="12" s="1"/>
  <c r="L12" i="12" s="1"/>
  <c r="E7" i="12"/>
  <c r="G7" i="12" s="1"/>
  <c r="H7" i="12" s="1"/>
  <c r="K7" i="12" s="1"/>
  <c r="L7" i="12" s="1"/>
  <c r="E10" i="12"/>
  <c r="G10" i="12" s="1"/>
  <c r="H10" i="12" s="1"/>
  <c r="K10" i="12" s="1"/>
  <c r="L10" i="12" s="1"/>
  <c r="D52" i="37"/>
  <c r="G1" i="37"/>
  <c r="I1" i="37" s="1"/>
  <c r="H53" i="30"/>
  <c r="E65" i="30" s="1"/>
  <c r="E5" i="30"/>
  <c r="G5" i="30" s="1"/>
  <c r="H5" i="30" s="1"/>
  <c r="K5" i="30" s="1"/>
  <c r="L5" i="30" s="1"/>
  <c r="S35" i="30" s="1"/>
  <c r="I53" i="30"/>
  <c r="I53" i="23"/>
  <c r="H52" i="23"/>
  <c r="G5" i="23"/>
  <c r="G5" i="21"/>
  <c r="H5" i="21" s="1"/>
  <c r="K5" i="21" s="1"/>
  <c r="L5" i="21" s="1"/>
  <c r="S35" i="21" s="1"/>
  <c r="H53" i="21"/>
  <c r="E65" i="21" s="1"/>
  <c r="G65" i="21" s="1"/>
  <c r="H65" i="21" s="1"/>
  <c r="C53" i="20"/>
  <c r="D53" i="20" s="1"/>
  <c r="E14" i="19"/>
  <c r="G14" i="19" s="1"/>
  <c r="H14" i="19" s="1"/>
  <c r="K14" i="19" s="1"/>
  <c r="L14" i="19" s="1"/>
  <c r="E13" i="19"/>
  <c r="G13" i="19" s="1"/>
  <c r="H13" i="19" s="1"/>
  <c r="K13" i="19" s="1"/>
  <c r="L13" i="19" s="1"/>
  <c r="E6" i="19"/>
  <c r="G6" i="19" s="1"/>
  <c r="H6" i="19" s="1"/>
  <c r="K6" i="19" s="1"/>
  <c r="L6" i="19" s="1"/>
  <c r="E9" i="19"/>
  <c r="G9" i="19" s="1"/>
  <c r="H9" i="19" s="1"/>
  <c r="K9" i="19" s="1"/>
  <c r="L9" i="19" s="1"/>
  <c r="E16" i="19"/>
  <c r="G16" i="19" s="1"/>
  <c r="H16" i="19" s="1"/>
  <c r="K16" i="19" s="1"/>
  <c r="L16" i="19" s="1"/>
  <c r="C52" i="19"/>
  <c r="E15" i="19"/>
  <c r="G15" i="19" s="1"/>
  <c r="H15" i="19" s="1"/>
  <c r="K15" i="19" s="1"/>
  <c r="L15" i="19" s="1"/>
  <c r="E8" i="19"/>
  <c r="G8" i="19" s="1"/>
  <c r="H8" i="19" s="1"/>
  <c r="K8" i="19" s="1"/>
  <c r="L8" i="19" s="1"/>
  <c r="E7" i="19"/>
  <c r="G7" i="19" s="1"/>
  <c r="H7" i="19" s="1"/>
  <c r="K7" i="19" s="1"/>
  <c r="L7" i="19" s="1"/>
  <c r="E12" i="19"/>
  <c r="G12" i="19" s="1"/>
  <c r="H12" i="19" s="1"/>
  <c r="K12" i="19" s="1"/>
  <c r="L12" i="19" s="1"/>
  <c r="E10" i="19"/>
  <c r="G10" i="19" s="1"/>
  <c r="H10" i="19" s="1"/>
  <c r="K10" i="19" s="1"/>
  <c r="L10" i="19" s="1"/>
  <c r="E17" i="19"/>
  <c r="G17" i="19" s="1"/>
  <c r="H17" i="19" s="1"/>
  <c r="K17" i="19" s="1"/>
  <c r="L17" i="19" s="1"/>
  <c r="E11" i="19"/>
  <c r="G11" i="19" s="1"/>
  <c r="H11" i="19" s="1"/>
  <c r="K11" i="19" s="1"/>
  <c r="L11" i="19" s="1"/>
  <c r="C53" i="7"/>
  <c r="I51" i="45"/>
  <c r="D5" i="45" s="1"/>
  <c r="J53" i="45"/>
  <c r="B82" i="45" s="1"/>
  <c r="E17" i="3"/>
  <c r="G17" i="3" s="1"/>
  <c r="H17" i="3" s="1"/>
  <c r="K17" i="3" s="1"/>
  <c r="L17" i="3" s="1"/>
  <c r="E22" i="3"/>
  <c r="G22" i="3" s="1"/>
  <c r="H22" i="3" s="1"/>
  <c r="K22" i="3" s="1"/>
  <c r="L22" i="3" s="1"/>
  <c r="E20" i="3"/>
  <c r="G20" i="3" s="1"/>
  <c r="H20" i="3" s="1"/>
  <c r="K20" i="3" s="1"/>
  <c r="L20" i="3" s="1"/>
  <c r="E16" i="3"/>
  <c r="G16" i="3" s="1"/>
  <c r="H16" i="3" s="1"/>
  <c r="K16" i="3" s="1"/>
  <c r="L16" i="3" s="1"/>
  <c r="E14" i="3"/>
  <c r="G14" i="3" s="1"/>
  <c r="H14" i="3" s="1"/>
  <c r="K14" i="3" s="1"/>
  <c r="L14" i="3" s="1"/>
  <c r="E12" i="3"/>
  <c r="G12" i="3" s="1"/>
  <c r="H12" i="3" s="1"/>
  <c r="K12" i="3" s="1"/>
  <c r="L12" i="3" s="1"/>
  <c r="E10" i="3"/>
  <c r="G10" i="3" s="1"/>
  <c r="H10" i="3" s="1"/>
  <c r="K10" i="3" s="1"/>
  <c r="L10" i="3" s="1"/>
  <c r="E9" i="3"/>
  <c r="G9" i="3" s="1"/>
  <c r="H9" i="3" s="1"/>
  <c r="K9" i="3" s="1"/>
  <c r="L9" i="3" s="1"/>
  <c r="E8" i="3"/>
  <c r="G8" i="3" s="1"/>
  <c r="H8" i="3" s="1"/>
  <c r="K8" i="3" s="1"/>
  <c r="L8" i="3" s="1"/>
  <c r="E7" i="3"/>
  <c r="G7" i="3" s="1"/>
  <c r="H7" i="3" s="1"/>
  <c r="K7" i="3" s="1"/>
  <c r="L7" i="3" s="1"/>
  <c r="E6" i="3"/>
  <c r="G6" i="3" s="1"/>
  <c r="H6" i="3" s="1"/>
  <c r="K6" i="3" s="1"/>
  <c r="L6" i="3" s="1"/>
  <c r="E18" i="3"/>
  <c r="G18" i="3" s="1"/>
  <c r="H18" i="3" s="1"/>
  <c r="K18" i="3" s="1"/>
  <c r="L18" i="3" s="1"/>
  <c r="C52" i="3"/>
  <c r="E21" i="3"/>
  <c r="G21" i="3" s="1"/>
  <c r="H21" i="3" s="1"/>
  <c r="K21" i="3" s="1"/>
  <c r="L21" i="3" s="1"/>
  <c r="E15" i="3"/>
  <c r="G15" i="3" s="1"/>
  <c r="H15" i="3" s="1"/>
  <c r="K15" i="3" s="1"/>
  <c r="L15" i="3" s="1"/>
  <c r="E13" i="3"/>
  <c r="G13" i="3" s="1"/>
  <c r="H13" i="3" s="1"/>
  <c r="K13" i="3" s="1"/>
  <c r="L13" i="3" s="1"/>
  <c r="E11" i="3"/>
  <c r="G11" i="3" s="1"/>
  <c r="H11" i="3" s="1"/>
  <c r="K11" i="3" s="1"/>
  <c r="L11" i="3" s="1"/>
  <c r="E19" i="3"/>
  <c r="G19" i="3" s="1"/>
  <c r="H19" i="3" s="1"/>
  <c r="K19" i="3" s="1"/>
  <c r="L19" i="3" s="1"/>
  <c r="I53" i="6"/>
  <c r="E11" i="6"/>
  <c r="G11" i="6" s="1"/>
  <c r="H11" i="6" s="1"/>
  <c r="K11" i="6" s="1"/>
  <c r="L11" i="6" s="1"/>
  <c r="E10" i="6"/>
  <c r="G10" i="6" s="1"/>
  <c r="H10" i="6" s="1"/>
  <c r="K10" i="6" s="1"/>
  <c r="L10" i="6" s="1"/>
  <c r="E9" i="6"/>
  <c r="G9" i="6" s="1"/>
  <c r="H9" i="6" s="1"/>
  <c r="K9" i="6" s="1"/>
  <c r="L9" i="6" s="1"/>
  <c r="E8" i="6"/>
  <c r="G8" i="6" s="1"/>
  <c r="H8" i="6" s="1"/>
  <c r="K8" i="6" s="1"/>
  <c r="L8" i="6" s="1"/>
  <c r="E7" i="6"/>
  <c r="G7" i="6" s="1"/>
  <c r="H7" i="6" s="1"/>
  <c r="K7" i="6" s="1"/>
  <c r="L7" i="6" s="1"/>
  <c r="E6" i="6"/>
  <c r="G6" i="6" s="1"/>
  <c r="H6" i="6" s="1"/>
  <c r="K6" i="6" s="1"/>
  <c r="L6" i="6" s="1"/>
  <c r="C52" i="6"/>
  <c r="J54" i="6"/>
  <c r="B86" i="6" s="1"/>
  <c r="I53" i="9"/>
  <c r="H53" i="9"/>
  <c r="E5" i="9"/>
  <c r="G5" i="9" s="1"/>
  <c r="H5" i="9" s="1"/>
  <c r="K5" i="9" s="1"/>
  <c r="L5" i="9" s="1"/>
  <c r="S35" i="9" s="1"/>
  <c r="C53" i="9"/>
  <c r="D53" i="9" s="1"/>
  <c r="E6" i="74"/>
  <c r="G6" i="74" s="1"/>
  <c r="H6" i="74" s="1"/>
  <c r="K6" i="74" s="1"/>
  <c r="L6" i="74" s="1"/>
  <c r="E19" i="74"/>
  <c r="G19" i="74" s="1"/>
  <c r="H19" i="74" s="1"/>
  <c r="K19" i="74" s="1"/>
  <c r="L19" i="74" s="1"/>
  <c r="E17" i="74"/>
  <c r="G17" i="74" s="1"/>
  <c r="H17" i="74" s="1"/>
  <c r="K17" i="74" s="1"/>
  <c r="L17" i="74" s="1"/>
  <c r="E16" i="74"/>
  <c r="G16" i="74" s="1"/>
  <c r="H16" i="74" s="1"/>
  <c r="K16" i="74" s="1"/>
  <c r="L16" i="74" s="1"/>
  <c r="E14" i="74"/>
  <c r="G14" i="74" s="1"/>
  <c r="H14" i="74" s="1"/>
  <c r="K14" i="74" s="1"/>
  <c r="L14" i="74" s="1"/>
  <c r="E20" i="74"/>
  <c r="G20" i="74" s="1"/>
  <c r="H20" i="74" s="1"/>
  <c r="K20" i="74" s="1"/>
  <c r="L20" i="74" s="1"/>
  <c r="E15" i="74"/>
  <c r="G15" i="74" s="1"/>
  <c r="H15" i="74" s="1"/>
  <c r="K15" i="74" s="1"/>
  <c r="L15" i="74" s="1"/>
  <c r="E11" i="74"/>
  <c r="G11" i="74" s="1"/>
  <c r="H11" i="74" s="1"/>
  <c r="K11" i="74" s="1"/>
  <c r="L11" i="74" s="1"/>
  <c r="C52" i="74"/>
  <c r="E18" i="74"/>
  <c r="G18" i="74" s="1"/>
  <c r="H18" i="74" s="1"/>
  <c r="K18" i="74" s="1"/>
  <c r="L18" i="74" s="1"/>
  <c r="E12" i="74"/>
  <c r="G12" i="74" s="1"/>
  <c r="H12" i="74" s="1"/>
  <c r="K12" i="74" s="1"/>
  <c r="L12" i="74" s="1"/>
  <c r="E10" i="74"/>
  <c r="G10" i="74" s="1"/>
  <c r="H10" i="74" s="1"/>
  <c r="K10" i="74" s="1"/>
  <c r="L10" i="74" s="1"/>
  <c r="E8" i="74"/>
  <c r="G8" i="74" s="1"/>
  <c r="H8" i="74" s="1"/>
  <c r="K8" i="74" s="1"/>
  <c r="L8" i="74" s="1"/>
  <c r="E13" i="74"/>
  <c r="G13" i="74" s="1"/>
  <c r="H13" i="74" s="1"/>
  <c r="K13" i="74" s="1"/>
  <c r="L13" i="74" s="1"/>
  <c r="E9" i="74"/>
  <c r="G9" i="74" s="1"/>
  <c r="H9" i="74" s="1"/>
  <c r="K9" i="74" s="1"/>
  <c r="L9" i="74" s="1"/>
  <c r="E7" i="74"/>
  <c r="G7" i="74" s="1"/>
  <c r="H7" i="74" s="1"/>
  <c r="K7" i="74" s="1"/>
  <c r="L7" i="74" s="1"/>
  <c r="E21" i="74"/>
  <c r="G21" i="74" s="1"/>
  <c r="H21" i="74" s="1"/>
  <c r="K21" i="74" s="1"/>
  <c r="L21" i="74" s="1"/>
  <c r="C52" i="71"/>
  <c r="E8" i="71"/>
  <c r="G8" i="71" s="1"/>
  <c r="H8" i="71" s="1"/>
  <c r="K8" i="71" s="1"/>
  <c r="L8" i="71" s="1"/>
  <c r="E7" i="71"/>
  <c r="G7" i="71" s="1"/>
  <c r="H7" i="71" s="1"/>
  <c r="K7" i="71" s="1"/>
  <c r="L7" i="71" s="1"/>
  <c r="E13" i="71"/>
  <c r="G13" i="71" s="1"/>
  <c r="H13" i="71" s="1"/>
  <c r="K13" i="71" s="1"/>
  <c r="L13" i="71" s="1"/>
  <c r="E12" i="71"/>
  <c r="G12" i="71" s="1"/>
  <c r="H12" i="71" s="1"/>
  <c r="K12" i="71" s="1"/>
  <c r="L12" i="71" s="1"/>
  <c r="E15" i="71"/>
  <c r="G15" i="71" s="1"/>
  <c r="H15" i="71" s="1"/>
  <c r="K15" i="71" s="1"/>
  <c r="L15" i="71" s="1"/>
  <c r="E11" i="71"/>
  <c r="G11" i="71" s="1"/>
  <c r="H11" i="71" s="1"/>
  <c r="K11" i="71" s="1"/>
  <c r="L11" i="71" s="1"/>
  <c r="E14" i="71"/>
  <c r="G14" i="71" s="1"/>
  <c r="H14" i="71" s="1"/>
  <c r="K14" i="71" s="1"/>
  <c r="L14" i="71" s="1"/>
  <c r="E6" i="71"/>
  <c r="G6" i="71" s="1"/>
  <c r="H6" i="71" s="1"/>
  <c r="K6" i="71" s="1"/>
  <c r="L6" i="71" s="1"/>
  <c r="E9" i="71"/>
  <c r="G9" i="71" s="1"/>
  <c r="H9" i="71" s="1"/>
  <c r="K9" i="71" s="1"/>
  <c r="L9" i="71" s="1"/>
  <c r="E10" i="71"/>
  <c r="G10" i="71" s="1"/>
  <c r="H10" i="71" s="1"/>
  <c r="K10" i="71" s="1"/>
  <c r="L10" i="71" s="1"/>
  <c r="D52" i="70"/>
  <c r="G1" i="70"/>
  <c r="I1" i="70" s="1"/>
  <c r="I53" i="66"/>
  <c r="J54" i="66"/>
  <c r="B90" i="66" s="1"/>
  <c r="H90" i="66" s="1"/>
  <c r="E22" i="69"/>
  <c r="G22" i="69" s="1"/>
  <c r="H22" i="69" s="1"/>
  <c r="K22" i="69" s="1"/>
  <c r="L22" i="69" s="1"/>
  <c r="E10" i="69"/>
  <c r="G10" i="69" s="1"/>
  <c r="H10" i="69" s="1"/>
  <c r="K10" i="69" s="1"/>
  <c r="L10" i="69" s="1"/>
  <c r="E20" i="69"/>
  <c r="G20" i="69" s="1"/>
  <c r="H20" i="69" s="1"/>
  <c r="K20" i="69" s="1"/>
  <c r="L20" i="69" s="1"/>
  <c r="E16" i="69"/>
  <c r="G16" i="69" s="1"/>
  <c r="H16" i="69" s="1"/>
  <c r="K16" i="69" s="1"/>
  <c r="L16" i="69" s="1"/>
  <c r="E13" i="69"/>
  <c r="G13" i="69" s="1"/>
  <c r="H13" i="69" s="1"/>
  <c r="K13" i="69" s="1"/>
  <c r="L13" i="69" s="1"/>
  <c r="E11" i="69"/>
  <c r="G11" i="69" s="1"/>
  <c r="H11" i="69" s="1"/>
  <c r="K11" i="69" s="1"/>
  <c r="L11" i="69" s="1"/>
  <c r="E7" i="69"/>
  <c r="G7" i="69" s="1"/>
  <c r="H7" i="69" s="1"/>
  <c r="K7" i="69" s="1"/>
  <c r="L7" i="69" s="1"/>
  <c r="E6" i="69"/>
  <c r="G6" i="69" s="1"/>
  <c r="H6" i="69" s="1"/>
  <c r="K6" i="69" s="1"/>
  <c r="L6" i="69" s="1"/>
  <c r="C52" i="69"/>
  <c r="C53" i="69" s="1"/>
  <c r="D53" i="69" s="1"/>
  <c r="E19" i="69"/>
  <c r="G19" i="69" s="1"/>
  <c r="H19" i="69" s="1"/>
  <c r="K19" i="69" s="1"/>
  <c r="L19" i="69" s="1"/>
  <c r="E17" i="69"/>
  <c r="G17" i="69" s="1"/>
  <c r="H17" i="69" s="1"/>
  <c r="K17" i="69" s="1"/>
  <c r="L17" i="69" s="1"/>
  <c r="E14" i="69"/>
  <c r="G14" i="69" s="1"/>
  <c r="H14" i="69" s="1"/>
  <c r="K14" i="69" s="1"/>
  <c r="L14" i="69" s="1"/>
  <c r="E12" i="69"/>
  <c r="G12" i="69" s="1"/>
  <c r="H12" i="69" s="1"/>
  <c r="K12" i="69" s="1"/>
  <c r="L12" i="69" s="1"/>
  <c r="E9" i="69"/>
  <c r="G9" i="69" s="1"/>
  <c r="H9" i="69" s="1"/>
  <c r="K9" i="69" s="1"/>
  <c r="L9" i="69" s="1"/>
  <c r="E8" i="69"/>
  <c r="G8" i="69" s="1"/>
  <c r="H8" i="69" s="1"/>
  <c r="K8" i="69" s="1"/>
  <c r="L8" i="69" s="1"/>
  <c r="E18" i="69"/>
  <c r="G18" i="69" s="1"/>
  <c r="H18" i="69" s="1"/>
  <c r="K18" i="69" s="1"/>
  <c r="L18" i="69" s="1"/>
  <c r="E15" i="69"/>
  <c r="G15" i="69" s="1"/>
  <c r="H15" i="69" s="1"/>
  <c r="K15" i="69" s="1"/>
  <c r="L15" i="69" s="1"/>
  <c r="E21" i="69"/>
  <c r="G21" i="69" s="1"/>
  <c r="H21" i="69" s="1"/>
  <c r="K21" i="69" s="1"/>
  <c r="L21" i="69" s="1"/>
  <c r="D65" i="28" l="1"/>
  <c r="D91" i="28"/>
  <c r="H52" i="28"/>
  <c r="D118" i="28"/>
  <c r="H51" i="28"/>
  <c r="D51" i="4"/>
  <c r="E71" i="4"/>
  <c r="G71" i="4" s="1"/>
  <c r="H71" i="4" s="1"/>
  <c r="E72" i="4"/>
  <c r="G72" i="4" s="1"/>
  <c r="H72" i="4" s="1"/>
  <c r="E74" i="4"/>
  <c r="G74" i="4" s="1"/>
  <c r="H74" i="4" s="1"/>
  <c r="E73" i="4"/>
  <c r="G73" i="4" s="1"/>
  <c r="H73" i="4" s="1"/>
  <c r="B79" i="48"/>
  <c r="J54" i="48"/>
  <c r="I53" i="48"/>
  <c r="E9" i="73"/>
  <c r="G9" i="73" s="1"/>
  <c r="H9" i="73" s="1"/>
  <c r="K9" i="73" s="1"/>
  <c r="L9" i="73" s="1"/>
  <c r="E8" i="73"/>
  <c r="G8" i="73" s="1"/>
  <c r="H8" i="73" s="1"/>
  <c r="K8" i="73" s="1"/>
  <c r="L8" i="73" s="1"/>
  <c r="W35" i="43"/>
  <c r="AA30" i="43" s="1"/>
  <c r="E10" i="73"/>
  <c r="G10" i="73" s="1"/>
  <c r="H10" i="73" s="1"/>
  <c r="K10" i="73" s="1"/>
  <c r="L10" i="73" s="1"/>
  <c r="C52" i="73"/>
  <c r="C53" i="73" s="1"/>
  <c r="V35" i="25"/>
  <c r="AA30" i="25" s="1"/>
  <c r="T35" i="79"/>
  <c r="T35" i="29"/>
  <c r="T35" i="67"/>
  <c r="AB30" i="67" s="1"/>
  <c r="T35" i="62"/>
  <c r="AB30" i="62" s="1"/>
  <c r="T35" i="46"/>
  <c r="T35" i="25"/>
  <c r="AC30" i="25" s="1"/>
  <c r="S31" i="68"/>
  <c r="AC25" i="68" s="1"/>
  <c r="T35" i="74"/>
  <c r="AB30" i="74" s="1"/>
  <c r="E7" i="73"/>
  <c r="G7" i="73" s="1"/>
  <c r="H7" i="73" s="1"/>
  <c r="K7" i="73" s="1"/>
  <c r="L7" i="73" s="1"/>
  <c r="E6" i="73"/>
  <c r="G6" i="73" s="1"/>
  <c r="H6" i="73" s="1"/>
  <c r="K6" i="73" s="1"/>
  <c r="L6" i="73" s="1"/>
  <c r="V35" i="72"/>
  <c r="AA30" i="72" s="1"/>
  <c r="E26" i="72"/>
  <c r="G26" i="72" s="1"/>
  <c r="H26" i="72" s="1"/>
  <c r="K26" i="72" s="1"/>
  <c r="L26" i="72" s="1"/>
  <c r="E11" i="72"/>
  <c r="G11" i="72" s="1"/>
  <c r="H11" i="72" s="1"/>
  <c r="K11" i="72" s="1"/>
  <c r="L11" i="72" s="1"/>
  <c r="E24" i="72"/>
  <c r="G24" i="72" s="1"/>
  <c r="H24" i="72" s="1"/>
  <c r="K24" i="72" s="1"/>
  <c r="L24" i="72" s="1"/>
  <c r="E7" i="72"/>
  <c r="G7" i="72" s="1"/>
  <c r="H7" i="72" s="1"/>
  <c r="K7" i="72" s="1"/>
  <c r="L7" i="72" s="1"/>
  <c r="C52" i="72"/>
  <c r="C53" i="72" s="1"/>
  <c r="E23" i="72"/>
  <c r="G23" i="72" s="1"/>
  <c r="H23" i="72" s="1"/>
  <c r="K23" i="72" s="1"/>
  <c r="L23" i="72" s="1"/>
  <c r="E18" i="72"/>
  <c r="G18" i="72" s="1"/>
  <c r="H18" i="72" s="1"/>
  <c r="K18" i="72" s="1"/>
  <c r="L18" i="72" s="1"/>
  <c r="E25" i="72"/>
  <c r="G25" i="72" s="1"/>
  <c r="H25" i="72" s="1"/>
  <c r="K25" i="72" s="1"/>
  <c r="L25" i="72" s="1"/>
  <c r="E22" i="72"/>
  <c r="G22" i="72" s="1"/>
  <c r="H22" i="72" s="1"/>
  <c r="K22" i="72" s="1"/>
  <c r="L22" i="72" s="1"/>
  <c r="E20" i="72"/>
  <c r="G20" i="72" s="1"/>
  <c r="H20" i="72" s="1"/>
  <c r="K20" i="72" s="1"/>
  <c r="L20" i="72" s="1"/>
  <c r="E10" i="72"/>
  <c r="G10" i="72" s="1"/>
  <c r="H10" i="72" s="1"/>
  <c r="K10" i="72" s="1"/>
  <c r="L10" i="72" s="1"/>
  <c r="E13" i="72"/>
  <c r="G13" i="72" s="1"/>
  <c r="H13" i="72" s="1"/>
  <c r="K13" i="72" s="1"/>
  <c r="L13" i="72" s="1"/>
  <c r="E27" i="72"/>
  <c r="G27" i="72" s="1"/>
  <c r="H27" i="72" s="1"/>
  <c r="K27" i="72" s="1"/>
  <c r="L27" i="72" s="1"/>
  <c r="E17" i="72"/>
  <c r="G17" i="72" s="1"/>
  <c r="H17" i="72" s="1"/>
  <c r="K17" i="72" s="1"/>
  <c r="L17" i="72" s="1"/>
  <c r="E16" i="72"/>
  <c r="G16" i="72" s="1"/>
  <c r="H16" i="72" s="1"/>
  <c r="K16" i="72" s="1"/>
  <c r="L16" i="72" s="1"/>
  <c r="E15" i="72"/>
  <c r="G15" i="72" s="1"/>
  <c r="H15" i="72" s="1"/>
  <c r="K15" i="72" s="1"/>
  <c r="L15" i="72" s="1"/>
  <c r="E14" i="72"/>
  <c r="G14" i="72" s="1"/>
  <c r="H14" i="72" s="1"/>
  <c r="K14" i="72" s="1"/>
  <c r="L14" i="72" s="1"/>
  <c r="E12" i="72"/>
  <c r="G12" i="72" s="1"/>
  <c r="H12" i="72" s="1"/>
  <c r="K12" i="72" s="1"/>
  <c r="L12" i="72" s="1"/>
  <c r="E9" i="72"/>
  <c r="G9" i="72" s="1"/>
  <c r="H9" i="72" s="1"/>
  <c r="K9" i="72" s="1"/>
  <c r="L9" i="72" s="1"/>
  <c r="E21" i="72"/>
  <c r="G21" i="72" s="1"/>
  <c r="H21" i="72" s="1"/>
  <c r="K21" i="72" s="1"/>
  <c r="L21" i="72" s="1"/>
  <c r="E6" i="72"/>
  <c r="G6" i="72" s="1"/>
  <c r="H6" i="72" s="1"/>
  <c r="K6" i="72" s="1"/>
  <c r="L6" i="72" s="1"/>
  <c r="E8" i="72"/>
  <c r="G8" i="72" s="1"/>
  <c r="H8" i="72" s="1"/>
  <c r="K8" i="72" s="1"/>
  <c r="L8" i="72" s="1"/>
  <c r="E19" i="72"/>
  <c r="G19" i="72" s="1"/>
  <c r="H19" i="72" s="1"/>
  <c r="K19" i="72" s="1"/>
  <c r="L19" i="72" s="1"/>
  <c r="AS6" i="70"/>
  <c r="AT6" i="70" s="1"/>
  <c r="V35" i="70" s="1"/>
  <c r="AA30" i="70" s="1"/>
  <c r="V28" i="70"/>
  <c r="V35" i="69"/>
  <c r="AA30" i="69" s="1"/>
  <c r="V28" i="69"/>
  <c r="T35" i="61"/>
  <c r="AC30" i="61" s="1"/>
  <c r="T35" i="59"/>
  <c r="AB30" i="59" s="1"/>
  <c r="T35" i="57"/>
  <c r="V35" i="57"/>
  <c r="AA30" i="57" s="1"/>
  <c r="AA30" i="79"/>
  <c r="AA30" i="49"/>
  <c r="AS6" i="47"/>
  <c r="AT6" i="47" s="1"/>
  <c r="V35" i="47" s="1"/>
  <c r="Z30" i="47" s="1"/>
  <c r="V28" i="47"/>
  <c r="E5" i="46"/>
  <c r="G5" i="46" s="1"/>
  <c r="H5" i="46" s="1"/>
  <c r="K5" i="46" s="1"/>
  <c r="L5" i="46" s="1"/>
  <c r="S35" i="46" s="1"/>
  <c r="H53" i="46"/>
  <c r="T35" i="44"/>
  <c r="AA30" i="44"/>
  <c r="T35" i="43"/>
  <c r="AC30" i="43" s="1"/>
  <c r="V28" i="41"/>
  <c r="V35" i="41"/>
  <c r="AA30" i="41" s="1"/>
  <c r="T35" i="41"/>
  <c r="AC30" i="41" s="1"/>
  <c r="S33" i="34"/>
  <c r="E66" i="32"/>
  <c r="G66" i="32" s="1"/>
  <c r="H66" i="32" s="1"/>
  <c r="H54" i="32"/>
  <c r="T35" i="27"/>
  <c r="T35" i="26"/>
  <c r="AC30" i="26" s="1"/>
  <c r="AB30" i="21"/>
  <c r="T35" i="69"/>
  <c r="V35" i="60"/>
  <c r="AA30" i="60" s="1"/>
  <c r="T35" i="56"/>
  <c r="T35" i="19"/>
  <c r="AB30" i="19" s="1"/>
  <c r="AA30" i="16"/>
  <c r="V35" i="26"/>
  <c r="AA30" i="26" s="1"/>
  <c r="V35" i="17"/>
  <c r="AA30" i="17" s="1"/>
  <c r="T35" i="16"/>
  <c r="AB30" i="16" s="1"/>
  <c r="V28" i="18"/>
  <c r="AC30" i="20"/>
  <c r="AC31" i="20" s="1"/>
  <c r="AB30" i="20"/>
  <c r="AB31" i="20" s="1"/>
  <c r="V35" i="18"/>
  <c r="AA30" i="18" s="1"/>
  <c r="AB30" i="9"/>
  <c r="AF30" i="9" s="1"/>
  <c r="AC25" i="9" s="1"/>
  <c r="U35" i="9"/>
  <c r="V28" i="25"/>
  <c r="E71" i="12"/>
  <c r="E72" i="12"/>
  <c r="E65" i="12"/>
  <c r="E70" i="12"/>
  <c r="E66" i="12"/>
  <c r="E67" i="12"/>
  <c r="E68" i="12"/>
  <c r="E69" i="12"/>
  <c r="E69" i="39"/>
  <c r="E67" i="39"/>
  <c r="E68" i="39"/>
  <c r="E70" i="39"/>
  <c r="E71" i="39"/>
  <c r="E66" i="39"/>
  <c r="V28" i="26"/>
  <c r="F83" i="6"/>
  <c r="F70" i="6"/>
  <c r="S30" i="82"/>
  <c r="AC24" i="82" s="1"/>
  <c r="V28" i="37"/>
  <c r="V35" i="37"/>
  <c r="AA30" i="37" s="1"/>
  <c r="T35" i="17"/>
  <c r="T35" i="28"/>
  <c r="L6" i="11"/>
  <c r="W35" i="11" s="1"/>
  <c r="AD30" i="11" s="1"/>
  <c r="AF30" i="11" s="1"/>
  <c r="AC25" i="11" s="1"/>
  <c r="W28" i="11"/>
  <c r="W32" i="11" s="1"/>
  <c r="AB30" i="30"/>
  <c r="V35" i="3"/>
  <c r="AA30" i="3" s="1"/>
  <c r="AA31" i="3" s="1"/>
  <c r="T35" i="3"/>
  <c r="V28" i="8"/>
  <c r="V35" i="8"/>
  <c r="AA30" i="8" s="1"/>
  <c r="T35" i="8"/>
  <c r="S31" i="12"/>
  <c r="T30" i="87"/>
  <c r="AA25" i="87" s="1"/>
  <c r="U35" i="11"/>
  <c r="V28" i="60"/>
  <c r="V32" i="60" s="1"/>
  <c r="C82" i="45"/>
  <c r="W28" i="43"/>
  <c r="V28" i="72"/>
  <c r="V35" i="71"/>
  <c r="AA30" i="71" s="1"/>
  <c r="V28" i="71"/>
  <c r="V28" i="57"/>
  <c r="V28" i="17"/>
  <c r="D53" i="5"/>
  <c r="E90" i="5" s="1"/>
  <c r="E88" i="5"/>
  <c r="G88" i="5" s="1"/>
  <c r="H88" i="5" s="1"/>
  <c r="V28" i="3"/>
  <c r="V32" i="3" s="1"/>
  <c r="D53" i="8"/>
  <c r="H55" i="16"/>
  <c r="E108" i="16" s="1"/>
  <c r="G108" i="16" s="1"/>
  <c r="H108" i="16" s="1"/>
  <c r="E86" i="16"/>
  <c r="G86" i="16" s="1"/>
  <c r="H86" i="16" s="1"/>
  <c r="H52" i="60"/>
  <c r="D84" i="60"/>
  <c r="D65" i="60"/>
  <c r="D55" i="84"/>
  <c r="C56" i="84"/>
  <c r="D53" i="68"/>
  <c r="G65" i="68"/>
  <c r="H65" i="68" s="1"/>
  <c r="E69" i="50"/>
  <c r="G69" i="50" s="1"/>
  <c r="H69" i="50" s="1"/>
  <c r="E75" i="50"/>
  <c r="G75" i="50" s="1"/>
  <c r="H75" i="50" s="1"/>
  <c r="E80" i="50"/>
  <c r="G80" i="50" s="1"/>
  <c r="H80" i="50" s="1"/>
  <c r="E73" i="50"/>
  <c r="G73" i="50" s="1"/>
  <c r="H73" i="50" s="1"/>
  <c r="E77" i="50"/>
  <c r="G77" i="50" s="1"/>
  <c r="H77" i="50" s="1"/>
  <c r="E66" i="50"/>
  <c r="G66" i="50" s="1"/>
  <c r="H66" i="50" s="1"/>
  <c r="E67" i="50"/>
  <c r="G67" i="50" s="1"/>
  <c r="H67" i="50" s="1"/>
  <c r="E68" i="50"/>
  <c r="G68" i="50" s="1"/>
  <c r="H68" i="50" s="1"/>
  <c r="E72" i="50"/>
  <c r="G72" i="50" s="1"/>
  <c r="H72" i="50" s="1"/>
  <c r="E78" i="50"/>
  <c r="G78" i="50" s="1"/>
  <c r="H78" i="50" s="1"/>
  <c r="E71" i="50"/>
  <c r="G71" i="50" s="1"/>
  <c r="H71" i="50" s="1"/>
  <c r="E76" i="50"/>
  <c r="G76" i="50" s="1"/>
  <c r="H76" i="50" s="1"/>
  <c r="E79" i="50"/>
  <c r="G79" i="50" s="1"/>
  <c r="H79" i="50" s="1"/>
  <c r="E70" i="50"/>
  <c r="G70" i="50" s="1"/>
  <c r="H70" i="50" s="1"/>
  <c r="E74" i="50"/>
  <c r="G74" i="50" s="1"/>
  <c r="H74" i="50" s="1"/>
  <c r="E81" i="50"/>
  <c r="G81" i="50" s="1"/>
  <c r="H81" i="50" s="1"/>
  <c r="H54" i="44"/>
  <c r="E65" i="44"/>
  <c r="G65" i="44" s="1"/>
  <c r="H65" i="44" s="1"/>
  <c r="D53" i="27"/>
  <c r="E69" i="27"/>
  <c r="G69" i="27" s="1"/>
  <c r="H69" i="27" s="1"/>
  <c r="E71" i="27"/>
  <c r="G71" i="27" s="1"/>
  <c r="H71" i="27" s="1"/>
  <c r="E73" i="27"/>
  <c r="G73" i="27" s="1"/>
  <c r="H73" i="27" s="1"/>
  <c r="E75" i="27"/>
  <c r="G75" i="27" s="1"/>
  <c r="H75" i="27" s="1"/>
  <c r="E77" i="27"/>
  <c r="G77" i="27" s="1"/>
  <c r="H77" i="27" s="1"/>
  <c r="E79" i="27"/>
  <c r="G79" i="27" s="1"/>
  <c r="H79" i="27" s="1"/>
  <c r="E67" i="27"/>
  <c r="G67" i="27" s="1"/>
  <c r="H67" i="27" s="1"/>
  <c r="E68" i="27"/>
  <c r="G68" i="27" s="1"/>
  <c r="H68" i="27" s="1"/>
  <c r="E72" i="27"/>
  <c r="G72" i="27" s="1"/>
  <c r="H72" i="27" s="1"/>
  <c r="E74" i="27"/>
  <c r="G74" i="27" s="1"/>
  <c r="H74" i="27" s="1"/>
  <c r="E76" i="27"/>
  <c r="G76" i="27" s="1"/>
  <c r="H76" i="27" s="1"/>
  <c r="E78" i="27"/>
  <c r="G78" i="27" s="1"/>
  <c r="H78" i="27" s="1"/>
  <c r="E66" i="27"/>
  <c r="G66" i="27" s="1"/>
  <c r="H66" i="27" s="1"/>
  <c r="E70" i="27"/>
  <c r="G70" i="27" s="1"/>
  <c r="H70" i="27" s="1"/>
  <c r="D53" i="7"/>
  <c r="D53" i="50"/>
  <c r="E83" i="50" s="1"/>
  <c r="I55" i="50"/>
  <c r="B130" i="50"/>
  <c r="C53" i="33"/>
  <c r="J54" i="22"/>
  <c r="I54" i="22" s="1"/>
  <c r="B68" i="22"/>
  <c r="H68" i="22" s="1"/>
  <c r="I53" i="22"/>
  <c r="H82" i="45"/>
  <c r="G81" i="29"/>
  <c r="E81" i="29"/>
  <c r="E81" i="26"/>
  <c r="G81" i="26"/>
  <c r="E66" i="22"/>
  <c r="G66" i="22" s="1"/>
  <c r="H66" i="22" s="1"/>
  <c r="E6" i="22"/>
  <c r="G6" i="22" s="1"/>
  <c r="H6" i="22" s="1"/>
  <c r="K6" i="22" s="1"/>
  <c r="L6" i="22" s="1"/>
  <c r="E65" i="22"/>
  <c r="E5" i="22"/>
  <c r="G5" i="22" s="1"/>
  <c r="H5" i="22" s="1"/>
  <c r="K5" i="22" s="1"/>
  <c r="L5" i="22" s="1"/>
  <c r="S35" i="22" s="1"/>
  <c r="H53" i="22"/>
  <c r="J55" i="73"/>
  <c r="I55" i="73" s="1"/>
  <c r="G81" i="20"/>
  <c r="E81" i="20"/>
  <c r="E84" i="69"/>
  <c r="G84" i="69"/>
  <c r="H1" i="66"/>
  <c r="E9" i="66"/>
  <c r="G9" i="66" s="1"/>
  <c r="H9" i="66" s="1"/>
  <c r="K9" i="66" s="1"/>
  <c r="L9" i="66" s="1"/>
  <c r="E11" i="66"/>
  <c r="G11" i="66" s="1"/>
  <c r="H11" i="66" s="1"/>
  <c r="K11" i="66" s="1"/>
  <c r="L11" i="66" s="1"/>
  <c r="E6" i="66"/>
  <c r="G6" i="66" s="1"/>
  <c r="H6" i="66" s="1"/>
  <c r="K6" i="66" s="1"/>
  <c r="L6" i="66" s="1"/>
  <c r="E12" i="66"/>
  <c r="G12" i="66" s="1"/>
  <c r="H12" i="66" s="1"/>
  <c r="K12" i="66" s="1"/>
  <c r="L12" i="66" s="1"/>
  <c r="E8" i="66"/>
  <c r="G8" i="66" s="1"/>
  <c r="H8" i="66" s="1"/>
  <c r="K8" i="66" s="1"/>
  <c r="L8" i="66" s="1"/>
  <c r="H53" i="66"/>
  <c r="E10" i="66"/>
  <c r="G10" i="66" s="1"/>
  <c r="H10" i="66" s="1"/>
  <c r="K10" i="66" s="1"/>
  <c r="L10" i="66" s="1"/>
  <c r="E13" i="66"/>
  <c r="G13" i="66" s="1"/>
  <c r="H13" i="66" s="1"/>
  <c r="K13" i="66" s="1"/>
  <c r="L13" i="66" s="1"/>
  <c r="E7" i="66"/>
  <c r="G7" i="66" s="1"/>
  <c r="H7" i="66" s="1"/>
  <c r="K7" i="66" s="1"/>
  <c r="L7" i="66" s="1"/>
  <c r="J55" i="44"/>
  <c r="I55" i="44" s="1"/>
  <c r="B107" i="44"/>
  <c r="J55" i="43"/>
  <c r="I55" i="43" s="1"/>
  <c r="B98" i="43"/>
  <c r="C53" i="42"/>
  <c r="B112" i="28"/>
  <c r="B86" i="28"/>
  <c r="J54" i="17"/>
  <c r="B121" i="17" s="1"/>
  <c r="B90" i="17"/>
  <c r="I55" i="16"/>
  <c r="B123" i="16"/>
  <c r="J54" i="15"/>
  <c r="B123" i="15" s="1"/>
  <c r="B91" i="15"/>
  <c r="I52" i="4"/>
  <c r="J53" i="4"/>
  <c r="B94" i="4"/>
  <c r="H56" i="75"/>
  <c r="J56" i="75"/>
  <c r="I56" i="75" s="1"/>
  <c r="I54" i="73"/>
  <c r="H52" i="48"/>
  <c r="H52" i="25"/>
  <c r="H52" i="19"/>
  <c r="D65" i="19"/>
  <c r="D87" i="19"/>
  <c r="G76" i="4"/>
  <c r="E76" i="4"/>
  <c r="H53" i="5"/>
  <c r="E5" i="5"/>
  <c r="G5" i="5" s="1"/>
  <c r="H5" i="5" s="1"/>
  <c r="K5" i="5" s="1"/>
  <c r="L5" i="5" s="1"/>
  <c r="S35" i="5" s="1"/>
  <c r="AA30" i="5" s="1"/>
  <c r="H53" i="3"/>
  <c r="H51" i="4"/>
  <c r="E63" i="4" s="1"/>
  <c r="G63" i="4" s="1"/>
  <c r="H63" i="4" s="1"/>
  <c r="E5" i="4"/>
  <c r="G5" i="4" s="1"/>
  <c r="H5" i="4" s="1"/>
  <c r="K5" i="4" s="1"/>
  <c r="L5" i="4" s="1"/>
  <c r="S35" i="4" s="1"/>
  <c r="U35" i="4" s="1"/>
  <c r="H51" i="25"/>
  <c r="C53" i="39"/>
  <c r="D53" i="39" s="1"/>
  <c r="C53" i="12"/>
  <c r="D53" i="12" s="1"/>
  <c r="G66" i="82"/>
  <c r="H66" i="82" s="1"/>
  <c r="G65" i="82"/>
  <c r="H65" i="82" s="1"/>
  <c r="G68" i="82"/>
  <c r="H68" i="82" s="1"/>
  <c r="G67" i="82"/>
  <c r="H67" i="82" s="1"/>
  <c r="C54" i="82"/>
  <c r="D54" i="82" s="1"/>
  <c r="C53" i="46"/>
  <c r="E16" i="48"/>
  <c r="G16" i="48" s="1"/>
  <c r="H16" i="48" s="1"/>
  <c r="K16" i="48" s="1"/>
  <c r="L16" i="48" s="1"/>
  <c r="E6" i="48"/>
  <c r="G6" i="48" s="1"/>
  <c r="H6" i="48" s="1"/>
  <c r="K6" i="48" s="1"/>
  <c r="L6" i="48" s="1"/>
  <c r="E15" i="48"/>
  <c r="G15" i="48" s="1"/>
  <c r="H15" i="48" s="1"/>
  <c r="K15" i="48" s="1"/>
  <c r="L15" i="48" s="1"/>
  <c r="E7" i="48"/>
  <c r="G7" i="48" s="1"/>
  <c r="H7" i="48" s="1"/>
  <c r="K7" i="48" s="1"/>
  <c r="L7" i="48" s="1"/>
  <c r="C52" i="48"/>
  <c r="E12" i="48"/>
  <c r="G12" i="48" s="1"/>
  <c r="H12" i="48" s="1"/>
  <c r="K12" i="48" s="1"/>
  <c r="L12" i="48" s="1"/>
  <c r="E8" i="48"/>
  <c r="G8" i="48" s="1"/>
  <c r="H8" i="48" s="1"/>
  <c r="K8" i="48" s="1"/>
  <c r="L8" i="48" s="1"/>
  <c r="E13" i="48"/>
  <c r="G13" i="48" s="1"/>
  <c r="H13" i="48" s="1"/>
  <c r="K13" i="48" s="1"/>
  <c r="L13" i="48" s="1"/>
  <c r="E9" i="48"/>
  <c r="G9" i="48" s="1"/>
  <c r="H9" i="48" s="1"/>
  <c r="K9" i="48" s="1"/>
  <c r="L9" i="48" s="1"/>
  <c r="E11" i="48"/>
  <c r="G11" i="48" s="1"/>
  <c r="H11" i="48" s="1"/>
  <c r="K11" i="48" s="1"/>
  <c r="L11" i="48" s="1"/>
  <c r="E17" i="48"/>
  <c r="G17" i="48" s="1"/>
  <c r="H17" i="48" s="1"/>
  <c r="K17" i="48" s="1"/>
  <c r="L17" i="48" s="1"/>
  <c r="E14" i="48"/>
  <c r="G14" i="48" s="1"/>
  <c r="H14" i="48" s="1"/>
  <c r="K14" i="48" s="1"/>
  <c r="L14" i="48" s="1"/>
  <c r="E10" i="48"/>
  <c r="G10" i="48" s="1"/>
  <c r="H10" i="48" s="1"/>
  <c r="K10" i="48" s="1"/>
  <c r="L10" i="48" s="1"/>
  <c r="H52" i="70"/>
  <c r="I53" i="70"/>
  <c r="J54" i="70"/>
  <c r="J54" i="72"/>
  <c r="I53" i="72"/>
  <c r="C53" i="62"/>
  <c r="H53" i="57"/>
  <c r="E21" i="47"/>
  <c r="G21" i="47" s="1"/>
  <c r="H21" i="47" s="1"/>
  <c r="K21" i="47" s="1"/>
  <c r="L21" i="47" s="1"/>
  <c r="E10" i="47"/>
  <c r="G10" i="47" s="1"/>
  <c r="H10" i="47" s="1"/>
  <c r="K10" i="47" s="1"/>
  <c r="L10" i="47" s="1"/>
  <c r="E7" i="47"/>
  <c r="G7" i="47" s="1"/>
  <c r="H7" i="47" s="1"/>
  <c r="K7" i="47" s="1"/>
  <c r="L7" i="47" s="1"/>
  <c r="C52" i="47"/>
  <c r="E17" i="47"/>
  <c r="G17" i="47" s="1"/>
  <c r="H17" i="47" s="1"/>
  <c r="K17" i="47" s="1"/>
  <c r="L17" i="47" s="1"/>
  <c r="E18" i="47"/>
  <c r="G18" i="47" s="1"/>
  <c r="H18" i="47" s="1"/>
  <c r="K18" i="47" s="1"/>
  <c r="L18" i="47" s="1"/>
  <c r="E14" i="47"/>
  <c r="G14" i="47" s="1"/>
  <c r="H14" i="47" s="1"/>
  <c r="K14" i="47" s="1"/>
  <c r="L14" i="47" s="1"/>
  <c r="E20" i="47"/>
  <c r="G20" i="47" s="1"/>
  <c r="H20" i="47" s="1"/>
  <c r="K20" i="47" s="1"/>
  <c r="L20" i="47" s="1"/>
  <c r="E19" i="47"/>
  <c r="G19" i="47" s="1"/>
  <c r="H19" i="47" s="1"/>
  <c r="K19" i="47" s="1"/>
  <c r="L19" i="47" s="1"/>
  <c r="E16" i="47"/>
  <c r="G16" i="47" s="1"/>
  <c r="H16" i="47" s="1"/>
  <c r="K16" i="47" s="1"/>
  <c r="L16" i="47" s="1"/>
  <c r="E13" i="47"/>
  <c r="G13" i="47" s="1"/>
  <c r="H13" i="47" s="1"/>
  <c r="K13" i="47" s="1"/>
  <c r="L13" i="47" s="1"/>
  <c r="E9" i="47"/>
  <c r="G9" i="47" s="1"/>
  <c r="H9" i="47" s="1"/>
  <c r="K9" i="47" s="1"/>
  <c r="L9" i="47" s="1"/>
  <c r="E11" i="47"/>
  <c r="G11" i="47" s="1"/>
  <c r="H11" i="47" s="1"/>
  <c r="K11" i="47" s="1"/>
  <c r="L11" i="47" s="1"/>
  <c r="E6" i="47"/>
  <c r="G6" i="47" s="1"/>
  <c r="H6" i="47" s="1"/>
  <c r="K6" i="47" s="1"/>
  <c r="L6" i="47" s="1"/>
  <c r="E15" i="47"/>
  <c r="G15" i="47" s="1"/>
  <c r="H15" i="47" s="1"/>
  <c r="K15" i="47" s="1"/>
  <c r="L15" i="47" s="1"/>
  <c r="E12" i="47"/>
  <c r="G12" i="47" s="1"/>
  <c r="H12" i="47" s="1"/>
  <c r="K12" i="47" s="1"/>
  <c r="L12" i="47" s="1"/>
  <c r="E8" i="47"/>
  <c r="G8" i="47" s="1"/>
  <c r="H8" i="47" s="1"/>
  <c r="K8" i="47" s="1"/>
  <c r="L8" i="47" s="1"/>
  <c r="C53" i="41"/>
  <c r="C54" i="68"/>
  <c r="C55" i="83"/>
  <c r="I53" i="69"/>
  <c r="J54" i="69"/>
  <c r="B108" i="69" s="1"/>
  <c r="I53" i="61"/>
  <c r="J54" i="61"/>
  <c r="C53" i="61"/>
  <c r="J54" i="57"/>
  <c r="I53" i="57"/>
  <c r="E5" i="57"/>
  <c r="G5" i="57" s="1"/>
  <c r="H5" i="57" s="1"/>
  <c r="K5" i="57" s="1"/>
  <c r="L5" i="57" s="1"/>
  <c r="S35" i="57" s="1"/>
  <c r="J55" i="59"/>
  <c r="I55" i="59" s="1"/>
  <c r="I54" i="59"/>
  <c r="T33" i="77"/>
  <c r="AA30" i="77"/>
  <c r="H52" i="61"/>
  <c r="C53" i="57"/>
  <c r="D53" i="57" s="1"/>
  <c r="H53" i="41"/>
  <c r="E65" i="41" s="1"/>
  <c r="E5" i="41"/>
  <c r="G5" i="41" s="1"/>
  <c r="H5" i="41" s="1"/>
  <c r="K5" i="41" s="1"/>
  <c r="L5" i="41" s="1"/>
  <c r="S35" i="41" s="1"/>
  <c r="I53" i="41"/>
  <c r="J54" i="41"/>
  <c r="B92" i="41" s="1"/>
  <c r="H53" i="29"/>
  <c r="I53" i="71"/>
  <c r="J54" i="71"/>
  <c r="I53" i="26"/>
  <c r="H53" i="26"/>
  <c r="E65" i="26" s="1"/>
  <c r="G65" i="26" s="1"/>
  <c r="H65" i="26" s="1"/>
  <c r="C52" i="4"/>
  <c r="E68" i="4"/>
  <c r="G68" i="4" s="1"/>
  <c r="H68" i="4" s="1"/>
  <c r="E66" i="4"/>
  <c r="G66" i="4" s="1"/>
  <c r="H66" i="4" s="1"/>
  <c r="E69" i="4"/>
  <c r="G69" i="4" s="1"/>
  <c r="H69" i="4" s="1"/>
  <c r="E64" i="4"/>
  <c r="G64" i="4" s="1"/>
  <c r="H64" i="4" s="1"/>
  <c r="E67" i="4"/>
  <c r="G67" i="4" s="1"/>
  <c r="H67" i="4" s="1"/>
  <c r="E70" i="4"/>
  <c r="G70" i="4" s="1"/>
  <c r="H70" i="4" s="1"/>
  <c r="E65" i="4"/>
  <c r="G65" i="4" s="1"/>
  <c r="H65" i="4" s="1"/>
  <c r="E5" i="3"/>
  <c r="G5" i="3" s="1"/>
  <c r="I54" i="77"/>
  <c r="J55" i="77"/>
  <c r="H52" i="71"/>
  <c r="C53" i="67"/>
  <c r="D53" i="67" s="1"/>
  <c r="E1" i="64"/>
  <c r="C53" i="59"/>
  <c r="D53" i="59" s="1"/>
  <c r="E9" i="53"/>
  <c r="G9" i="53" s="1"/>
  <c r="H9" i="53" s="1"/>
  <c r="K9" i="53" s="1"/>
  <c r="L9" i="53" s="1"/>
  <c r="E10" i="53"/>
  <c r="G10" i="53" s="1"/>
  <c r="H10" i="53" s="1"/>
  <c r="K10" i="53" s="1"/>
  <c r="L10" i="53" s="1"/>
  <c r="C52" i="53"/>
  <c r="E6" i="53"/>
  <c r="G6" i="53" s="1"/>
  <c r="H6" i="53" s="1"/>
  <c r="K6" i="53" s="1"/>
  <c r="L6" i="53" s="1"/>
  <c r="E7" i="53"/>
  <c r="G7" i="53" s="1"/>
  <c r="H7" i="53" s="1"/>
  <c r="K7" i="53" s="1"/>
  <c r="L7" i="53" s="1"/>
  <c r="H53" i="53"/>
  <c r="E65" i="53" s="1"/>
  <c r="E8" i="53"/>
  <c r="G8" i="53" s="1"/>
  <c r="H8" i="53" s="1"/>
  <c r="K8" i="53" s="1"/>
  <c r="L8" i="53" s="1"/>
  <c r="E5" i="53"/>
  <c r="G5" i="53" s="1"/>
  <c r="H5" i="53" s="1"/>
  <c r="K5" i="53" s="1"/>
  <c r="L5" i="53" s="1"/>
  <c r="S35" i="53" s="1"/>
  <c r="I53" i="53"/>
  <c r="J54" i="53"/>
  <c r="I54" i="46"/>
  <c r="J55" i="46"/>
  <c r="I55" i="46" s="1"/>
  <c r="C52" i="24"/>
  <c r="I1" i="24"/>
  <c r="J54" i="8"/>
  <c r="B110" i="8" s="1"/>
  <c r="E10" i="65"/>
  <c r="G10" i="65" s="1"/>
  <c r="H10" i="65" s="1"/>
  <c r="K10" i="65" s="1"/>
  <c r="L10" i="65" s="1"/>
  <c r="E17" i="65"/>
  <c r="G17" i="65" s="1"/>
  <c r="H17" i="65" s="1"/>
  <c r="K17" i="65" s="1"/>
  <c r="L17" i="65" s="1"/>
  <c r="E15" i="65"/>
  <c r="G15" i="65" s="1"/>
  <c r="H15" i="65" s="1"/>
  <c r="K15" i="65" s="1"/>
  <c r="L15" i="65" s="1"/>
  <c r="E18" i="65"/>
  <c r="G18" i="65" s="1"/>
  <c r="H18" i="65" s="1"/>
  <c r="K18" i="65" s="1"/>
  <c r="L18" i="65" s="1"/>
  <c r="E11" i="65"/>
  <c r="G11" i="65" s="1"/>
  <c r="H11" i="65" s="1"/>
  <c r="K11" i="65" s="1"/>
  <c r="L11" i="65" s="1"/>
  <c r="E13" i="65"/>
  <c r="G13" i="65" s="1"/>
  <c r="H13" i="65" s="1"/>
  <c r="K13" i="65" s="1"/>
  <c r="L13" i="65" s="1"/>
  <c r="E19" i="65"/>
  <c r="G19" i="65" s="1"/>
  <c r="H19" i="65" s="1"/>
  <c r="K19" i="65" s="1"/>
  <c r="L19" i="65" s="1"/>
  <c r="E16" i="65"/>
  <c r="G16" i="65" s="1"/>
  <c r="H16" i="65" s="1"/>
  <c r="K16" i="65" s="1"/>
  <c r="L16" i="65" s="1"/>
  <c r="E14" i="65"/>
  <c r="G14" i="65" s="1"/>
  <c r="H14" i="65" s="1"/>
  <c r="K14" i="65" s="1"/>
  <c r="L14" i="65" s="1"/>
  <c r="E12" i="65"/>
  <c r="G12" i="65" s="1"/>
  <c r="H12" i="65" s="1"/>
  <c r="K12" i="65" s="1"/>
  <c r="L12" i="65" s="1"/>
  <c r="E6" i="65"/>
  <c r="G6" i="65" s="1"/>
  <c r="H6" i="65" s="1"/>
  <c r="K6" i="65" s="1"/>
  <c r="L6" i="65" s="1"/>
  <c r="I1" i="65"/>
  <c r="C52" i="65" s="1"/>
  <c r="C53" i="65" s="1"/>
  <c r="D53" i="65" s="1"/>
  <c r="E9" i="65"/>
  <c r="G9" i="65" s="1"/>
  <c r="H9" i="65" s="1"/>
  <c r="K9" i="65" s="1"/>
  <c r="L9" i="65" s="1"/>
  <c r="E8" i="65"/>
  <c r="G8" i="65" s="1"/>
  <c r="H8" i="65" s="1"/>
  <c r="K8" i="65" s="1"/>
  <c r="L8" i="65" s="1"/>
  <c r="E7" i="65"/>
  <c r="G7" i="65" s="1"/>
  <c r="H7" i="65" s="1"/>
  <c r="K7" i="65" s="1"/>
  <c r="L7" i="65" s="1"/>
  <c r="E68" i="34"/>
  <c r="G68" i="34" s="1"/>
  <c r="H68" i="34" s="1"/>
  <c r="I55" i="34"/>
  <c r="J56" i="34"/>
  <c r="I56" i="34" s="1"/>
  <c r="E67" i="34"/>
  <c r="G67" i="34" s="1"/>
  <c r="H67" i="34" s="1"/>
  <c r="E65" i="34"/>
  <c r="G65" i="34" s="1"/>
  <c r="H65" i="34" s="1"/>
  <c r="E70" i="34"/>
  <c r="G70" i="34" s="1"/>
  <c r="H70" i="34" s="1"/>
  <c r="E69" i="34"/>
  <c r="G69" i="34" s="1"/>
  <c r="H69" i="34" s="1"/>
  <c r="E66" i="34"/>
  <c r="G66" i="34" s="1"/>
  <c r="H66" i="34" s="1"/>
  <c r="H54" i="34"/>
  <c r="E81" i="34" s="1"/>
  <c r="G81" i="34" s="1"/>
  <c r="H81" i="34" s="1"/>
  <c r="J54" i="26"/>
  <c r="E5" i="26"/>
  <c r="G5" i="26" s="1"/>
  <c r="H5" i="26" s="1"/>
  <c r="I53" i="20"/>
  <c r="J54" i="20"/>
  <c r="B103" i="20" s="1"/>
  <c r="C53" i="15"/>
  <c r="D53" i="15" s="1"/>
  <c r="I53" i="8"/>
  <c r="C53" i="56"/>
  <c r="T35" i="50"/>
  <c r="H53" i="37"/>
  <c r="E65" i="37" s="1"/>
  <c r="C53" i="49"/>
  <c r="D53" i="49" s="1"/>
  <c r="C53" i="44"/>
  <c r="D53" i="44" s="1"/>
  <c r="I54" i="44"/>
  <c r="E6" i="42"/>
  <c r="G6" i="42" s="1"/>
  <c r="H6" i="42" s="1"/>
  <c r="K6" i="42" s="1"/>
  <c r="L6" i="42" s="1"/>
  <c r="E9" i="42"/>
  <c r="G9" i="42" s="1"/>
  <c r="H9" i="42" s="1"/>
  <c r="K9" i="42" s="1"/>
  <c r="L9" i="42" s="1"/>
  <c r="E12" i="42"/>
  <c r="G12" i="42" s="1"/>
  <c r="H12" i="42" s="1"/>
  <c r="K12" i="42" s="1"/>
  <c r="L12" i="42" s="1"/>
  <c r="E8" i="42"/>
  <c r="G8" i="42" s="1"/>
  <c r="H8" i="42" s="1"/>
  <c r="K8" i="42" s="1"/>
  <c r="L8" i="42" s="1"/>
  <c r="E5" i="42"/>
  <c r="G5" i="42" s="1"/>
  <c r="H5" i="42" s="1"/>
  <c r="K5" i="42" s="1"/>
  <c r="L5" i="42" s="1"/>
  <c r="E7" i="42"/>
  <c r="G7" i="42" s="1"/>
  <c r="H7" i="42" s="1"/>
  <c r="K7" i="42" s="1"/>
  <c r="L7" i="42" s="1"/>
  <c r="E10" i="42"/>
  <c r="G10" i="42" s="1"/>
  <c r="H10" i="42" s="1"/>
  <c r="K10" i="42" s="1"/>
  <c r="L10" i="42" s="1"/>
  <c r="E11" i="42"/>
  <c r="G11" i="42" s="1"/>
  <c r="H11" i="42" s="1"/>
  <c r="K11" i="42" s="1"/>
  <c r="L11" i="42" s="1"/>
  <c r="E5" i="37"/>
  <c r="G5" i="37" s="1"/>
  <c r="H5" i="37" s="1"/>
  <c r="K5" i="37" s="1"/>
  <c r="L5" i="37" s="1"/>
  <c r="S35" i="37" s="1"/>
  <c r="E5" i="29"/>
  <c r="G5" i="29" s="1"/>
  <c r="H5" i="29" s="1"/>
  <c r="K5" i="29" s="1"/>
  <c r="L5" i="29" s="1"/>
  <c r="S35" i="29" s="1"/>
  <c r="AB30" i="29" s="1"/>
  <c r="I53" i="29"/>
  <c r="C53" i="21"/>
  <c r="D53" i="21" s="1"/>
  <c r="E5" i="20"/>
  <c r="G5" i="20" s="1"/>
  <c r="H5" i="20" s="1"/>
  <c r="K5" i="20" s="1"/>
  <c r="L5" i="20" s="1"/>
  <c r="S35" i="20" s="1"/>
  <c r="H53" i="20"/>
  <c r="J55" i="19"/>
  <c r="I55" i="19" s="1"/>
  <c r="I54" i="19"/>
  <c r="I53" i="3"/>
  <c r="J54" i="3"/>
  <c r="I1" i="40"/>
  <c r="C52" i="40"/>
  <c r="I53" i="37"/>
  <c r="J54" i="37"/>
  <c r="I54" i="37" s="1"/>
  <c r="J54" i="29"/>
  <c r="B103" i="29" s="1"/>
  <c r="I53" i="28"/>
  <c r="J54" i="21"/>
  <c r="I54" i="21" s="1"/>
  <c r="I53" i="21"/>
  <c r="I53" i="18"/>
  <c r="J54" i="18"/>
  <c r="B107" i="18" s="1"/>
  <c r="H53" i="18"/>
  <c r="E65" i="18" s="1"/>
  <c r="G65" i="18" s="1"/>
  <c r="H65" i="18" s="1"/>
  <c r="T35" i="18"/>
  <c r="AC30" i="18" s="1"/>
  <c r="G5" i="18"/>
  <c r="H5" i="18" s="1"/>
  <c r="K5" i="18" s="1"/>
  <c r="L5" i="18" s="1"/>
  <c r="S35" i="18" s="1"/>
  <c r="C53" i="18"/>
  <c r="D53" i="18" s="1"/>
  <c r="C53" i="17"/>
  <c r="D53" i="17" s="1"/>
  <c r="I53" i="17"/>
  <c r="C53" i="16"/>
  <c r="D53" i="16" s="1"/>
  <c r="T35" i="15"/>
  <c r="AC30" i="15" s="1"/>
  <c r="E5" i="8"/>
  <c r="G5" i="8" s="1"/>
  <c r="H5" i="8" s="1"/>
  <c r="K5" i="8" s="1"/>
  <c r="L5" i="8" s="1"/>
  <c r="S35" i="8" s="1"/>
  <c r="AB30" i="8" s="1"/>
  <c r="H53" i="8"/>
  <c r="E65" i="8" s="1"/>
  <c r="J55" i="5"/>
  <c r="I55" i="5" s="1"/>
  <c r="I54" i="5"/>
  <c r="J55" i="30"/>
  <c r="I55" i="30" s="1"/>
  <c r="I54" i="30"/>
  <c r="E5" i="17"/>
  <c r="G5" i="17" s="1"/>
  <c r="H5" i="17" s="1"/>
  <c r="K5" i="17" s="1"/>
  <c r="L5" i="17" s="1"/>
  <c r="S35" i="17" s="1"/>
  <c r="I53" i="15"/>
  <c r="J55" i="23"/>
  <c r="B122" i="23" s="1"/>
  <c r="I54" i="23"/>
  <c r="T35" i="21"/>
  <c r="T35" i="5"/>
  <c r="AB30" i="5" s="1"/>
  <c r="E84" i="5"/>
  <c r="G84" i="5" s="1"/>
  <c r="H84" i="5" s="1"/>
  <c r="E76" i="5"/>
  <c r="G76" i="5" s="1"/>
  <c r="H76" i="5" s="1"/>
  <c r="E80" i="5"/>
  <c r="G80" i="5" s="1"/>
  <c r="H80" i="5" s="1"/>
  <c r="E66" i="5"/>
  <c r="G66" i="5" s="1"/>
  <c r="H66" i="5" s="1"/>
  <c r="E77" i="5"/>
  <c r="G77" i="5" s="1"/>
  <c r="H77" i="5" s="1"/>
  <c r="E75" i="5"/>
  <c r="G75" i="5" s="1"/>
  <c r="H75" i="5" s="1"/>
  <c r="E69" i="5"/>
  <c r="G69" i="5" s="1"/>
  <c r="H69" i="5" s="1"/>
  <c r="E67" i="5"/>
  <c r="G67" i="5" s="1"/>
  <c r="H67" i="5" s="1"/>
  <c r="E87" i="5"/>
  <c r="G87" i="5" s="1"/>
  <c r="H87" i="5" s="1"/>
  <c r="E86" i="5"/>
  <c r="G86" i="5" s="1"/>
  <c r="H86" i="5" s="1"/>
  <c r="E83" i="5"/>
  <c r="G83" i="5" s="1"/>
  <c r="H83" i="5" s="1"/>
  <c r="E81" i="5"/>
  <c r="G81" i="5" s="1"/>
  <c r="H81" i="5" s="1"/>
  <c r="E73" i="5"/>
  <c r="G73" i="5" s="1"/>
  <c r="H73" i="5" s="1"/>
  <c r="E72" i="5"/>
  <c r="G72" i="5" s="1"/>
  <c r="H72" i="5" s="1"/>
  <c r="E71" i="5"/>
  <c r="G71" i="5" s="1"/>
  <c r="H71" i="5" s="1"/>
  <c r="E70" i="5"/>
  <c r="G70" i="5" s="1"/>
  <c r="H70" i="5" s="1"/>
  <c r="E68" i="5"/>
  <c r="G68" i="5" s="1"/>
  <c r="H68" i="5" s="1"/>
  <c r="C54" i="5"/>
  <c r="D54" i="5" s="1"/>
  <c r="E85" i="5"/>
  <c r="G85" i="5" s="1"/>
  <c r="H85" i="5" s="1"/>
  <c r="E82" i="5"/>
  <c r="G82" i="5" s="1"/>
  <c r="H82" i="5" s="1"/>
  <c r="E79" i="5"/>
  <c r="G79" i="5" s="1"/>
  <c r="H79" i="5" s="1"/>
  <c r="E78" i="5"/>
  <c r="G78" i="5" s="1"/>
  <c r="H78" i="5" s="1"/>
  <c r="E74" i="5"/>
  <c r="G74" i="5" s="1"/>
  <c r="H74" i="5" s="1"/>
  <c r="H52" i="72"/>
  <c r="E13" i="58"/>
  <c r="G13" i="58" s="1"/>
  <c r="H13" i="58" s="1"/>
  <c r="K13" i="58" s="1"/>
  <c r="L13" i="58" s="1"/>
  <c r="E6" i="58"/>
  <c r="G6" i="58" s="1"/>
  <c r="H6" i="58" s="1"/>
  <c r="K6" i="58" s="1"/>
  <c r="L6" i="58" s="1"/>
  <c r="E7" i="58"/>
  <c r="G7" i="58" s="1"/>
  <c r="H7" i="58" s="1"/>
  <c r="K7" i="58" s="1"/>
  <c r="L7" i="58" s="1"/>
  <c r="E17" i="58"/>
  <c r="G17" i="58" s="1"/>
  <c r="H17" i="58" s="1"/>
  <c r="K17" i="58" s="1"/>
  <c r="L17" i="58" s="1"/>
  <c r="E10" i="58"/>
  <c r="G10" i="58" s="1"/>
  <c r="H10" i="58" s="1"/>
  <c r="K10" i="58" s="1"/>
  <c r="L10" i="58" s="1"/>
  <c r="E12" i="58"/>
  <c r="G12" i="58" s="1"/>
  <c r="H12" i="58" s="1"/>
  <c r="K12" i="58" s="1"/>
  <c r="L12" i="58" s="1"/>
  <c r="E16" i="58"/>
  <c r="G16" i="58" s="1"/>
  <c r="H16" i="58" s="1"/>
  <c r="K16" i="58" s="1"/>
  <c r="L16" i="58" s="1"/>
  <c r="E21" i="58"/>
  <c r="G21" i="58" s="1"/>
  <c r="H21" i="58" s="1"/>
  <c r="K21" i="58" s="1"/>
  <c r="L21" i="58" s="1"/>
  <c r="E9" i="58"/>
  <c r="G9" i="58" s="1"/>
  <c r="H9" i="58" s="1"/>
  <c r="K9" i="58" s="1"/>
  <c r="L9" i="58" s="1"/>
  <c r="E14" i="58"/>
  <c r="G14" i="58" s="1"/>
  <c r="H14" i="58" s="1"/>
  <c r="K14" i="58" s="1"/>
  <c r="L14" i="58" s="1"/>
  <c r="E20" i="58"/>
  <c r="G20" i="58" s="1"/>
  <c r="H20" i="58" s="1"/>
  <c r="K20" i="58" s="1"/>
  <c r="L20" i="58" s="1"/>
  <c r="C52" i="58"/>
  <c r="C53" i="58" s="1"/>
  <c r="D53" i="58" s="1"/>
  <c r="E8" i="58"/>
  <c r="G8" i="58" s="1"/>
  <c r="H8" i="58" s="1"/>
  <c r="K8" i="58" s="1"/>
  <c r="L8" i="58" s="1"/>
  <c r="E11" i="58"/>
  <c r="G11" i="58" s="1"/>
  <c r="H11" i="58" s="1"/>
  <c r="K11" i="58" s="1"/>
  <c r="L11" i="58" s="1"/>
  <c r="E15" i="58"/>
  <c r="G15" i="58" s="1"/>
  <c r="H15" i="58" s="1"/>
  <c r="K15" i="58" s="1"/>
  <c r="L15" i="58" s="1"/>
  <c r="E18" i="58"/>
  <c r="G18" i="58" s="1"/>
  <c r="H18" i="58" s="1"/>
  <c r="K18" i="58" s="1"/>
  <c r="L18" i="58" s="1"/>
  <c r="E19" i="58"/>
  <c r="G19" i="58" s="1"/>
  <c r="H19" i="58" s="1"/>
  <c r="K19" i="58" s="1"/>
  <c r="L19" i="58" s="1"/>
  <c r="I54" i="49"/>
  <c r="J55" i="49"/>
  <c r="I55" i="49" s="1"/>
  <c r="I53" i="56"/>
  <c r="D5" i="56"/>
  <c r="H52" i="56" s="1"/>
  <c r="J54" i="65"/>
  <c r="I53" i="65"/>
  <c r="H52" i="65"/>
  <c r="I53" i="58"/>
  <c r="J54" i="58"/>
  <c r="B106" i="58" s="1"/>
  <c r="D5" i="58"/>
  <c r="H51" i="58" s="1"/>
  <c r="J54" i="74"/>
  <c r="B106" i="74" s="1"/>
  <c r="I53" i="74"/>
  <c r="D5" i="74"/>
  <c r="H53" i="73"/>
  <c r="E65" i="73" s="1"/>
  <c r="E5" i="73"/>
  <c r="G5" i="73" s="1"/>
  <c r="H53" i="59"/>
  <c r="E65" i="59" s="1"/>
  <c r="G65" i="59" s="1"/>
  <c r="H65" i="59" s="1"/>
  <c r="E5" i="59"/>
  <c r="G5" i="59" s="1"/>
  <c r="H5" i="59" s="1"/>
  <c r="K5" i="59" s="1"/>
  <c r="L5" i="59" s="1"/>
  <c r="S35" i="59" s="1"/>
  <c r="H53" i="62"/>
  <c r="E65" i="62" s="1"/>
  <c r="G65" i="62" s="1"/>
  <c r="H65" i="62" s="1"/>
  <c r="E5" i="62"/>
  <c r="G5" i="62" s="1"/>
  <c r="H5" i="62" s="1"/>
  <c r="K5" i="62" s="1"/>
  <c r="L5" i="62" s="1"/>
  <c r="S35" i="62" s="1"/>
  <c r="H51" i="69"/>
  <c r="I54" i="62"/>
  <c r="J55" i="62"/>
  <c r="I55" i="62" s="1"/>
  <c r="J53" i="47"/>
  <c r="B83" i="47" s="1"/>
  <c r="I51" i="47"/>
  <c r="D5" i="47" s="1"/>
  <c r="T35" i="49"/>
  <c r="H54" i="49"/>
  <c r="E65" i="49"/>
  <c r="G65" i="49" s="1"/>
  <c r="H65" i="49" s="1"/>
  <c r="H53" i="67"/>
  <c r="E5" i="67"/>
  <c r="G5" i="67" s="1"/>
  <c r="H5" i="67" s="1"/>
  <c r="K5" i="67" s="1"/>
  <c r="L5" i="67" s="1"/>
  <c r="S35" i="67" s="1"/>
  <c r="I53" i="67"/>
  <c r="J54" i="67"/>
  <c r="H53" i="43"/>
  <c r="E65" i="43" s="1"/>
  <c r="E5" i="43"/>
  <c r="G5" i="43" s="1"/>
  <c r="H5" i="43" s="1"/>
  <c r="K5" i="43" s="1"/>
  <c r="L5" i="43" s="1"/>
  <c r="S35" i="43" s="1"/>
  <c r="I54" i="43"/>
  <c r="D90" i="45"/>
  <c r="D112" i="45"/>
  <c r="C53" i="43"/>
  <c r="D53" i="43" s="1"/>
  <c r="E9" i="32"/>
  <c r="G9" i="32" s="1"/>
  <c r="H9" i="32" s="1"/>
  <c r="K9" i="32" s="1"/>
  <c r="L9" i="32" s="1"/>
  <c r="E10" i="32"/>
  <c r="G10" i="32" s="1"/>
  <c r="H10" i="32" s="1"/>
  <c r="K10" i="32" s="1"/>
  <c r="L10" i="32" s="1"/>
  <c r="E8" i="32"/>
  <c r="G8" i="32" s="1"/>
  <c r="H8" i="32" s="1"/>
  <c r="K8" i="32" s="1"/>
  <c r="L8" i="32" s="1"/>
  <c r="E7" i="32"/>
  <c r="G7" i="32" s="1"/>
  <c r="H7" i="32" s="1"/>
  <c r="K7" i="32" s="1"/>
  <c r="L7" i="32" s="1"/>
  <c r="I1" i="32"/>
  <c r="C52" i="32" s="1"/>
  <c r="E14" i="32"/>
  <c r="G14" i="32" s="1"/>
  <c r="H14" i="32" s="1"/>
  <c r="K14" i="32" s="1"/>
  <c r="L14" i="32" s="1"/>
  <c r="E13" i="32"/>
  <c r="G13" i="32" s="1"/>
  <c r="H13" i="32" s="1"/>
  <c r="K13" i="32" s="1"/>
  <c r="L13" i="32" s="1"/>
  <c r="E18" i="32"/>
  <c r="G18" i="32" s="1"/>
  <c r="H18" i="32" s="1"/>
  <c r="K18" i="32" s="1"/>
  <c r="L18" i="32" s="1"/>
  <c r="E11" i="32"/>
  <c r="G11" i="32" s="1"/>
  <c r="H11" i="32" s="1"/>
  <c r="K11" i="32" s="1"/>
  <c r="L11" i="32" s="1"/>
  <c r="E17" i="32"/>
  <c r="G17" i="32" s="1"/>
  <c r="H17" i="32" s="1"/>
  <c r="K17" i="32" s="1"/>
  <c r="L17" i="32" s="1"/>
  <c r="G6" i="32"/>
  <c r="H6" i="32" s="1"/>
  <c r="K6" i="32" s="1"/>
  <c r="L6" i="32" s="1"/>
  <c r="E15" i="32"/>
  <c r="G15" i="32" s="1"/>
  <c r="H15" i="32" s="1"/>
  <c r="K15" i="32" s="1"/>
  <c r="L15" i="32" s="1"/>
  <c r="E16" i="32"/>
  <c r="G16" i="32" s="1"/>
  <c r="H16" i="32" s="1"/>
  <c r="K16" i="32" s="1"/>
  <c r="L16" i="32" s="1"/>
  <c r="E19" i="32"/>
  <c r="G19" i="32" s="1"/>
  <c r="H19" i="32" s="1"/>
  <c r="K19" i="32" s="1"/>
  <c r="L19" i="32" s="1"/>
  <c r="E69" i="26"/>
  <c r="G69" i="26" s="1"/>
  <c r="H69" i="26" s="1"/>
  <c r="C54" i="25"/>
  <c r="D54" i="25" s="1"/>
  <c r="G88" i="50"/>
  <c r="H88" i="50" s="1"/>
  <c r="H55" i="50"/>
  <c r="E112" i="50" s="1"/>
  <c r="G112" i="50" s="1"/>
  <c r="H112" i="50" s="1"/>
  <c r="G65" i="50"/>
  <c r="H65" i="50" s="1"/>
  <c r="J54" i="33"/>
  <c r="B114" i="33" s="1"/>
  <c r="I53" i="33"/>
  <c r="D5" i="33"/>
  <c r="E12" i="32"/>
  <c r="G12" i="32" s="1"/>
  <c r="H12" i="32" s="1"/>
  <c r="K12" i="32" s="1"/>
  <c r="L12" i="32" s="1"/>
  <c r="C54" i="29"/>
  <c r="D54" i="29" s="1"/>
  <c r="T35" i="33"/>
  <c r="E70" i="26"/>
  <c r="G70" i="26" s="1"/>
  <c r="H70" i="26" s="1"/>
  <c r="E67" i="26"/>
  <c r="G67" i="26" s="1"/>
  <c r="H67" i="26" s="1"/>
  <c r="E78" i="26"/>
  <c r="G78" i="26" s="1"/>
  <c r="H78" i="26" s="1"/>
  <c r="C54" i="26"/>
  <c r="D54" i="26" s="1"/>
  <c r="E66" i="26"/>
  <c r="G66" i="26" s="1"/>
  <c r="H66" i="26" s="1"/>
  <c r="E68" i="26"/>
  <c r="G68" i="26" s="1"/>
  <c r="H68" i="26" s="1"/>
  <c r="E72" i="26"/>
  <c r="G72" i="26" s="1"/>
  <c r="H72" i="26" s="1"/>
  <c r="E75" i="26"/>
  <c r="G75" i="26" s="1"/>
  <c r="H75" i="26" s="1"/>
  <c r="E73" i="26"/>
  <c r="G73" i="26" s="1"/>
  <c r="H73" i="26" s="1"/>
  <c r="E77" i="26"/>
  <c r="G77" i="26" s="1"/>
  <c r="H77" i="26" s="1"/>
  <c r="E76" i="26"/>
  <c r="G76" i="26" s="1"/>
  <c r="H76" i="26" s="1"/>
  <c r="E71" i="26"/>
  <c r="G71" i="26" s="1"/>
  <c r="H71" i="26" s="1"/>
  <c r="E74" i="26"/>
  <c r="G74" i="26" s="1"/>
  <c r="H74" i="26" s="1"/>
  <c r="E79" i="26"/>
  <c r="G79" i="26" s="1"/>
  <c r="H79" i="26" s="1"/>
  <c r="E67" i="20"/>
  <c r="J55" i="9"/>
  <c r="I55" i="9" s="1"/>
  <c r="H54" i="77"/>
  <c r="H55" i="77" s="1"/>
  <c r="E68" i="77"/>
  <c r="G68" i="77" s="1"/>
  <c r="H68" i="77" s="1"/>
  <c r="E69" i="77"/>
  <c r="G69" i="77" s="1"/>
  <c r="H69" i="77" s="1"/>
  <c r="E70" i="77"/>
  <c r="G70" i="77" s="1"/>
  <c r="H70" i="77" s="1"/>
  <c r="G65" i="77"/>
  <c r="H65" i="77" s="1"/>
  <c r="E66" i="77"/>
  <c r="G66" i="77" s="1"/>
  <c r="H66" i="77" s="1"/>
  <c r="E67" i="77"/>
  <c r="G67" i="77" s="1"/>
  <c r="H67" i="77" s="1"/>
  <c r="AB30" i="77"/>
  <c r="I55" i="10"/>
  <c r="H53" i="10"/>
  <c r="E8" i="10"/>
  <c r="G8" i="10" s="1"/>
  <c r="H8" i="10" s="1"/>
  <c r="K8" i="10" s="1"/>
  <c r="L8" i="10" s="1"/>
  <c r="E9" i="10"/>
  <c r="G9" i="10" s="1"/>
  <c r="H9" i="10" s="1"/>
  <c r="K9" i="10" s="1"/>
  <c r="L9" i="10" s="1"/>
  <c r="E7" i="10"/>
  <c r="G7" i="10" s="1"/>
  <c r="H7" i="10" s="1"/>
  <c r="K7" i="10" s="1"/>
  <c r="L7" i="10" s="1"/>
  <c r="E6" i="10"/>
  <c r="G6" i="10" s="1"/>
  <c r="H6" i="10" s="1"/>
  <c r="K6" i="10" s="1"/>
  <c r="L6" i="10" s="1"/>
  <c r="H1" i="10"/>
  <c r="J56" i="10"/>
  <c r="B106" i="10" s="1"/>
  <c r="J54" i="7"/>
  <c r="B104" i="7" s="1"/>
  <c r="I53" i="7"/>
  <c r="D5" i="7"/>
  <c r="D132" i="7" s="1"/>
  <c r="C54" i="7"/>
  <c r="D54" i="7" s="1"/>
  <c r="H52" i="69"/>
  <c r="D89" i="69"/>
  <c r="D65" i="69"/>
  <c r="I54" i="9"/>
  <c r="E6" i="75"/>
  <c r="G6" i="75" s="1"/>
  <c r="H6" i="75" s="1"/>
  <c r="K6" i="75" s="1"/>
  <c r="L6" i="75" s="1"/>
  <c r="S33" i="75" s="1"/>
  <c r="I53" i="25"/>
  <c r="J54" i="25"/>
  <c r="E17" i="51"/>
  <c r="G17" i="51" s="1"/>
  <c r="H17" i="51" s="1"/>
  <c r="K17" i="51" s="1"/>
  <c r="L17" i="51" s="1"/>
  <c r="E13" i="51"/>
  <c r="G13" i="51" s="1"/>
  <c r="H13" i="51" s="1"/>
  <c r="K13" i="51" s="1"/>
  <c r="L13" i="51" s="1"/>
  <c r="E11" i="51"/>
  <c r="G11" i="51" s="1"/>
  <c r="H11" i="51" s="1"/>
  <c r="K11" i="51" s="1"/>
  <c r="L11" i="51" s="1"/>
  <c r="E6" i="51"/>
  <c r="G6" i="51" s="1"/>
  <c r="H6" i="51" s="1"/>
  <c r="K6" i="51" s="1"/>
  <c r="L6" i="51" s="1"/>
  <c r="H1" i="51"/>
  <c r="E16" i="51"/>
  <c r="G16" i="51" s="1"/>
  <c r="H16" i="51" s="1"/>
  <c r="K16" i="51" s="1"/>
  <c r="L16" i="51" s="1"/>
  <c r="E10" i="51"/>
  <c r="G10" i="51" s="1"/>
  <c r="H10" i="51" s="1"/>
  <c r="K10" i="51" s="1"/>
  <c r="L10" i="51" s="1"/>
  <c r="E9" i="51"/>
  <c r="G9" i="51" s="1"/>
  <c r="H9" i="51" s="1"/>
  <c r="K9" i="51" s="1"/>
  <c r="L9" i="51" s="1"/>
  <c r="E8" i="51"/>
  <c r="G8" i="51" s="1"/>
  <c r="H8" i="51" s="1"/>
  <c r="K8" i="51" s="1"/>
  <c r="L8" i="51" s="1"/>
  <c r="E7" i="51"/>
  <c r="G7" i="51" s="1"/>
  <c r="H7" i="51" s="1"/>
  <c r="K7" i="51" s="1"/>
  <c r="L7" i="51" s="1"/>
  <c r="E14" i="51"/>
  <c r="G14" i="51" s="1"/>
  <c r="H14" i="51" s="1"/>
  <c r="K14" i="51" s="1"/>
  <c r="L14" i="51" s="1"/>
  <c r="E12" i="51"/>
  <c r="G12" i="51" s="1"/>
  <c r="H12" i="51" s="1"/>
  <c r="K12" i="51" s="1"/>
  <c r="L12" i="51" s="1"/>
  <c r="E15" i="51"/>
  <c r="G15" i="51" s="1"/>
  <c r="H15" i="51" s="1"/>
  <c r="K15" i="51" s="1"/>
  <c r="L15" i="51" s="1"/>
  <c r="H53" i="51"/>
  <c r="I54" i="51"/>
  <c r="J55" i="51"/>
  <c r="I53" i="60"/>
  <c r="E6" i="60"/>
  <c r="G6" i="60" s="1"/>
  <c r="H6" i="60" s="1"/>
  <c r="K6" i="60" s="1"/>
  <c r="L6" i="60" s="1"/>
  <c r="E13" i="60"/>
  <c r="G13" i="60" s="1"/>
  <c r="H13" i="60" s="1"/>
  <c r="K13" i="60" s="1"/>
  <c r="L13" i="60" s="1"/>
  <c r="E10" i="60"/>
  <c r="G10" i="60" s="1"/>
  <c r="H10" i="60" s="1"/>
  <c r="K10" i="60" s="1"/>
  <c r="L10" i="60" s="1"/>
  <c r="E12" i="60"/>
  <c r="G12" i="60" s="1"/>
  <c r="H12" i="60" s="1"/>
  <c r="K12" i="60" s="1"/>
  <c r="L12" i="60" s="1"/>
  <c r="E9" i="60"/>
  <c r="G9" i="60" s="1"/>
  <c r="H9" i="60" s="1"/>
  <c r="K9" i="60" s="1"/>
  <c r="L9" i="60" s="1"/>
  <c r="E7" i="60"/>
  <c r="G7" i="60" s="1"/>
  <c r="H7" i="60" s="1"/>
  <c r="K7" i="60" s="1"/>
  <c r="L7" i="60" s="1"/>
  <c r="E8" i="60"/>
  <c r="G8" i="60" s="1"/>
  <c r="H8" i="60" s="1"/>
  <c r="K8" i="60" s="1"/>
  <c r="L8" i="60" s="1"/>
  <c r="E11" i="60"/>
  <c r="G11" i="60" s="1"/>
  <c r="H11" i="60" s="1"/>
  <c r="K11" i="60" s="1"/>
  <c r="L11" i="60" s="1"/>
  <c r="E16" i="60"/>
  <c r="G16" i="60" s="1"/>
  <c r="H16" i="60" s="1"/>
  <c r="K16" i="60" s="1"/>
  <c r="L16" i="60" s="1"/>
  <c r="E14" i="60"/>
  <c r="G14" i="60" s="1"/>
  <c r="H14" i="60" s="1"/>
  <c r="K14" i="60" s="1"/>
  <c r="L14" i="60" s="1"/>
  <c r="C52" i="60"/>
  <c r="E15" i="60"/>
  <c r="G15" i="60" s="1"/>
  <c r="H15" i="60" s="1"/>
  <c r="K15" i="60" s="1"/>
  <c r="L15" i="60" s="1"/>
  <c r="E17" i="60"/>
  <c r="G17" i="60" s="1"/>
  <c r="H17" i="60" s="1"/>
  <c r="K17" i="60" s="1"/>
  <c r="L17" i="60" s="1"/>
  <c r="J54" i="60"/>
  <c r="C54" i="50"/>
  <c r="I54" i="35"/>
  <c r="J55" i="35"/>
  <c r="B95" i="35" s="1"/>
  <c r="H95" i="35" s="1"/>
  <c r="E6" i="35"/>
  <c r="G6" i="35" s="1"/>
  <c r="H6" i="35" s="1"/>
  <c r="K6" i="35" s="1"/>
  <c r="L6" i="35" s="1"/>
  <c r="E9" i="35"/>
  <c r="G9" i="35" s="1"/>
  <c r="H9" i="35" s="1"/>
  <c r="K9" i="35" s="1"/>
  <c r="L9" i="35" s="1"/>
  <c r="H53" i="35"/>
  <c r="H1" i="35"/>
  <c r="E7" i="35"/>
  <c r="G7" i="35" s="1"/>
  <c r="H7" i="35" s="1"/>
  <c r="K7" i="35" s="1"/>
  <c r="L7" i="35" s="1"/>
  <c r="E8" i="35"/>
  <c r="G8" i="35" s="1"/>
  <c r="H8" i="35" s="1"/>
  <c r="K8" i="35" s="1"/>
  <c r="L8" i="35" s="1"/>
  <c r="C54" i="27"/>
  <c r="D54" i="27" s="1"/>
  <c r="G65" i="30"/>
  <c r="H65" i="30" s="1"/>
  <c r="H54" i="30"/>
  <c r="E80" i="30" s="1"/>
  <c r="G80" i="30" s="1"/>
  <c r="H80" i="30" s="1"/>
  <c r="I1" i="78"/>
  <c r="C52" i="78"/>
  <c r="G70" i="68"/>
  <c r="H70" i="68" s="1"/>
  <c r="G67" i="68"/>
  <c r="H67" i="68" s="1"/>
  <c r="G72" i="68"/>
  <c r="H72" i="68" s="1"/>
  <c r="G68" i="68"/>
  <c r="H68" i="68" s="1"/>
  <c r="G66" i="68"/>
  <c r="H66" i="68" s="1"/>
  <c r="G71" i="68"/>
  <c r="H71" i="68" s="1"/>
  <c r="G69" i="68"/>
  <c r="H69" i="68" s="1"/>
  <c r="C52" i="55"/>
  <c r="I1" i="55"/>
  <c r="I1" i="54"/>
  <c r="C52" i="54"/>
  <c r="E11" i="39"/>
  <c r="G11" i="39" s="1"/>
  <c r="H11" i="39" s="1"/>
  <c r="K11" i="39" s="1"/>
  <c r="L11" i="39" s="1"/>
  <c r="E10" i="39"/>
  <c r="G10" i="39" s="1"/>
  <c r="H10" i="39" s="1"/>
  <c r="K10" i="39" s="1"/>
  <c r="L10" i="39" s="1"/>
  <c r="E7" i="39"/>
  <c r="G7" i="39" s="1"/>
  <c r="H7" i="39" s="1"/>
  <c r="K7" i="39" s="1"/>
  <c r="L7" i="39" s="1"/>
  <c r="E9" i="39"/>
  <c r="G9" i="39" s="1"/>
  <c r="H9" i="39" s="1"/>
  <c r="K9" i="39" s="1"/>
  <c r="L9" i="39" s="1"/>
  <c r="E6" i="39"/>
  <c r="G6" i="39" s="1"/>
  <c r="H6" i="39" s="1"/>
  <c r="K6" i="39" s="1"/>
  <c r="L6" i="39" s="1"/>
  <c r="E8" i="39"/>
  <c r="G8" i="39" s="1"/>
  <c r="H8" i="39" s="1"/>
  <c r="K8" i="39" s="1"/>
  <c r="L8" i="39" s="1"/>
  <c r="C52" i="38"/>
  <c r="I1" i="38"/>
  <c r="E9" i="31"/>
  <c r="G9" i="31" s="1"/>
  <c r="H9" i="31" s="1"/>
  <c r="K9" i="31" s="1"/>
  <c r="L9" i="31" s="1"/>
  <c r="E8" i="31"/>
  <c r="G8" i="31" s="1"/>
  <c r="H8" i="31" s="1"/>
  <c r="K8" i="31" s="1"/>
  <c r="L8" i="31" s="1"/>
  <c r="E16" i="31"/>
  <c r="G16" i="31" s="1"/>
  <c r="H16" i="31" s="1"/>
  <c r="K16" i="31" s="1"/>
  <c r="L16" i="31" s="1"/>
  <c r="E12" i="31"/>
  <c r="G12" i="31" s="1"/>
  <c r="H12" i="31" s="1"/>
  <c r="K12" i="31" s="1"/>
  <c r="L12" i="31" s="1"/>
  <c r="E14" i="31"/>
  <c r="G14" i="31" s="1"/>
  <c r="H14" i="31" s="1"/>
  <c r="K14" i="31" s="1"/>
  <c r="L14" i="31" s="1"/>
  <c r="E11" i="31"/>
  <c r="G11" i="31" s="1"/>
  <c r="H11" i="31" s="1"/>
  <c r="K11" i="31" s="1"/>
  <c r="L11" i="31" s="1"/>
  <c r="E10" i="31"/>
  <c r="G10" i="31" s="1"/>
  <c r="H10" i="31" s="1"/>
  <c r="K10" i="31" s="1"/>
  <c r="L10" i="31" s="1"/>
  <c r="E22" i="31"/>
  <c r="G22" i="31" s="1"/>
  <c r="H22" i="31" s="1"/>
  <c r="K22" i="31" s="1"/>
  <c r="L22" i="31" s="1"/>
  <c r="E21" i="31"/>
  <c r="G21" i="31" s="1"/>
  <c r="H21" i="31" s="1"/>
  <c r="K21" i="31" s="1"/>
  <c r="L21" i="31" s="1"/>
  <c r="E20" i="31"/>
  <c r="G20" i="31" s="1"/>
  <c r="H20" i="31" s="1"/>
  <c r="K20" i="31" s="1"/>
  <c r="L20" i="31" s="1"/>
  <c r="E19" i="31"/>
  <c r="G19" i="31" s="1"/>
  <c r="H19" i="31" s="1"/>
  <c r="K19" i="31" s="1"/>
  <c r="L19" i="31" s="1"/>
  <c r="E18" i="31"/>
  <c r="G18" i="31" s="1"/>
  <c r="H18" i="31" s="1"/>
  <c r="K18" i="31" s="1"/>
  <c r="L18" i="31" s="1"/>
  <c r="E13" i="31"/>
  <c r="G13" i="31" s="1"/>
  <c r="H13" i="31" s="1"/>
  <c r="K13" i="31" s="1"/>
  <c r="L13" i="31" s="1"/>
  <c r="E7" i="31"/>
  <c r="G7" i="31" s="1"/>
  <c r="H7" i="31" s="1"/>
  <c r="K7" i="31" s="1"/>
  <c r="L7" i="31" s="1"/>
  <c r="E6" i="31"/>
  <c r="G6" i="31" s="1"/>
  <c r="H6" i="31" s="1"/>
  <c r="K6" i="31" s="1"/>
  <c r="L6" i="31" s="1"/>
  <c r="E15" i="31"/>
  <c r="G15" i="31" s="1"/>
  <c r="H15" i="31" s="1"/>
  <c r="K15" i="31" s="1"/>
  <c r="L15" i="31" s="1"/>
  <c r="E24" i="31"/>
  <c r="G24" i="31" s="1"/>
  <c r="H24" i="31" s="1"/>
  <c r="K24" i="31" s="1"/>
  <c r="L24" i="31" s="1"/>
  <c r="I1" i="31"/>
  <c r="C52" i="31" s="1"/>
  <c r="E23" i="31"/>
  <c r="G23" i="31" s="1"/>
  <c r="H23" i="31" s="1"/>
  <c r="K23" i="31" s="1"/>
  <c r="L23" i="31" s="1"/>
  <c r="E17" i="31"/>
  <c r="G17" i="31" s="1"/>
  <c r="H17" i="31" s="1"/>
  <c r="K17" i="31" s="1"/>
  <c r="L17" i="31" s="1"/>
  <c r="I1" i="14"/>
  <c r="C52" i="14"/>
  <c r="C52" i="13"/>
  <c r="I1" i="13"/>
  <c r="E8" i="37"/>
  <c r="G8" i="37" s="1"/>
  <c r="H8" i="37" s="1"/>
  <c r="K8" i="37" s="1"/>
  <c r="L8" i="37" s="1"/>
  <c r="E11" i="37"/>
  <c r="G11" i="37" s="1"/>
  <c r="H11" i="37" s="1"/>
  <c r="K11" i="37" s="1"/>
  <c r="L11" i="37" s="1"/>
  <c r="E7" i="37"/>
  <c r="G7" i="37" s="1"/>
  <c r="H7" i="37" s="1"/>
  <c r="K7" i="37" s="1"/>
  <c r="L7" i="37" s="1"/>
  <c r="E6" i="37"/>
  <c r="G6" i="37" s="1"/>
  <c r="H6" i="37" s="1"/>
  <c r="K6" i="37" s="1"/>
  <c r="L6" i="37" s="1"/>
  <c r="E9" i="37"/>
  <c r="G9" i="37" s="1"/>
  <c r="H9" i="37" s="1"/>
  <c r="K9" i="37" s="1"/>
  <c r="L9" i="37" s="1"/>
  <c r="E12" i="37"/>
  <c r="G12" i="37" s="1"/>
  <c r="H12" i="37" s="1"/>
  <c r="K12" i="37" s="1"/>
  <c r="L12" i="37" s="1"/>
  <c r="E10" i="37"/>
  <c r="G10" i="37" s="1"/>
  <c r="H10" i="37" s="1"/>
  <c r="K10" i="37" s="1"/>
  <c r="L10" i="37" s="1"/>
  <c r="C52" i="37"/>
  <c r="E72" i="29"/>
  <c r="G72" i="29" s="1"/>
  <c r="H72" i="29" s="1"/>
  <c r="E70" i="29"/>
  <c r="G70" i="29" s="1"/>
  <c r="H70" i="29" s="1"/>
  <c r="E67" i="29"/>
  <c r="G67" i="29" s="1"/>
  <c r="H67" i="29" s="1"/>
  <c r="E75" i="29"/>
  <c r="G75" i="29" s="1"/>
  <c r="H75" i="29" s="1"/>
  <c r="E78" i="29"/>
  <c r="G78" i="29" s="1"/>
  <c r="H78" i="29" s="1"/>
  <c r="E73" i="29"/>
  <c r="G73" i="29" s="1"/>
  <c r="H73" i="29" s="1"/>
  <c r="E71" i="29"/>
  <c r="G71" i="29" s="1"/>
  <c r="H71" i="29" s="1"/>
  <c r="E79" i="29"/>
  <c r="G79" i="29" s="1"/>
  <c r="H79" i="29" s="1"/>
  <c r="E66" i="29"/>
  <c r="G66" i="29" s="1"/>
  <c r="H66" i="29" s="1"/>
  <c r="E74" i="29"/>
  <c r="G74" i="29" s="1"/>
  <c r="H74" i="29" s="1"/>
  <c r="E76" i="29"/>
  <c r="G76" i="29" s="1"/>
  <c r="H76" i="29" s="1"/>
  <c r="E77" i="29"/>
  <c r="G77" i="29" s="1"/>
  <c r="H77" i="29" s="1"/>
  <c r="E68" i="29"/>
  <c r="G68" i="29" s="1"/>
  <c r="H68" i="29" s="1"/>
  <c r="E69" i="29"/>
  <c r="G69" i="29" s="1"/>
  <c r="H69" i="29" s="1"/>
  <c r="AC30" i="7"/>
  <c r="H53" i="23"/>
  <c r="E8" i="23"/>
  <c r="G8" i="23" s="1"/>
  <c r="H8" i="23" s="1"/>
  <c r="K8" i="23" s="1"/>
  <c r="L8" i="23" s="1"/>
  <c r="E16" i="23"/>
  <c r="G16" i="23" s="1"/>
  <c r="H16" i="23" s="1"/>
  <c r="K16" i="23" s="1"/>
  <c r="L16" i="23" s="1"/>
  <c r="E6" i="23"/>
  <c r="G6" i="23" s="1"/>
  <c r="H6" i="23" s="1"/>
  <c r="K6" i="23" s="1"/>
  <c r="H1" i="23"/>
  <c r="E11" i="23"/>
  <c r="G11" i="23" s="1"/>
  <c r="H11" i="23" s="1"/>
  <c r="K11" i="23" s="1"/>
  <c r="L11" i="23" s="1"/>
  <c r="E14" i="23"/>
  <c r="G14" i="23" s="1"/>
  <c r="H14" i="23" s="1"/>
  <c r="K14" i="23" s="1"/>
  <c r="L14" i="23" s="1"/>
  <c r="E9" i="23"/>
  <c r="G9" i="23" s="1"/>
  <c r="H9" i="23" s="1"/>
  <c r="K9" i="23" s="1"/>
  <c r="L9" i="23" s="1"/>
  <c r="E17" i="23"/>
  <c r="G17" i="23" s="1"/>
  <c r="H17" i="23" s="1"/>
  <c r="K17" i="23" s="1"/>
  <c r="L17" i="23" s="1"/>
  <c r="E12" i="23"/>
  <c r="G12" i="23" s="1"/>
  <c r="H12" i="23" s="1"/>
  <c r="K12" i="23" s="1"/>
  <c r="L12" i="23" s="1"/>
  <c r="E10" i="23"/>
  <c r="G10" i="23" s="1"/>
  <c r="H10" i="23" s="1"/>
  <c r="K10" i="23" s="1"/>
  <c r="L10" i="23" s="1"/>
  <c r="E18" i="23"/>
  <c r="G18" i="23" s="1"/>
  <c r="H18" i="23" s="1"/>
  <c r="K18" i="23" s="1"/>
  <c r="L18" i="23" s="1"/>
  <c r="E7" i="23"/>
  <c r="G7" i="23" s="1"/>
  <c r="H7" i="23" s="1"/>
  <c r="K7" i="23" s="1"/>
  <c r="L7" i="23" s="1"/>
  <c r="E15" i="23"/>
  <c r="G15" i="23" s="1"/>
  <c r="H15" i="23" s="1"/>
  <c r="K15" i="23" s="1"/>
  <c r="L15" i="23" s="1"/>
  <c r="E13" i="23"/>
  <c r="G13" i="23" s="1"/>
  <c r="H13" i="23" s="1"/>
  <c r="K13" i="23" s="1"/>
  <c r="L13" i="23" s="1"/>
  <c r="H20" i="21"/>
  <c r="H18" i="21"/>
  <c r="H54" i="21"/>
  <c r="H55" i="21" s="1"/>
  <c r="H19" i="21"/>
  <c r="E71" i="20"/>
  <c r="G71" i="20" s="1"/>
  <c r="H71" i="20" s="1"/>
  <c r="E79" i="20"/>
  <c r="G79" i="20" s="1"/>
  <c r="H79" i="20" s="1"/>
  <c r="E66" i="20"/>
  <c r="G66" i="20" s="1"/>
  <c r="H66" i="20" s="1"/>
  <c r="E74" i="20"/>
  <c r="G74" i="20" s="1"/>
  <c r="H74" i="20" s="1"/>
  <c r="E69" i="20"/>
  <c r="G69" i="20" s="1"/>
  <c r="H69" i="20" s="1"/>
  <c r="E77" i="20"/>
  <c r="G77" i="20" s="1"/>
  <c r="H77" i="20" s="1"/>
  <c r="E78" i="20"/>
  <c r="G78" i="20" s="1"/>
  <c r="H78" i="20" s="1"/>
  <c r="E72" i="20"/>
  <c r="G72" i="20" s="1"/>
  <c r="H72" i="20" s="1"/>
  <c r="E75" i="20"/>
  <c r="G75" i="20" s="1"/>
  <c r="H75" i="20" s="1"/>
  <c r="E70" i="20"/>
  <c r="G70" i="20" s="1"/>
  <c r="H70" i="20" s="1"/>
  <c r="E73" i="20"/>
  <c r="G73" i="20" s="1"/>
  <c r="H73" i="20" s="1"/>
  <c r="E68" i="20"/>
  <c r="G68" i="20" s="1"/>
  <c r="H68" i="20" s="1"/>
  <c r="E76" i="20"/>
  <c r="G76" i="20" s="1"/>
  <c r="H76" i="20" s="1"/>
  <c r="C54" i="20"/>
  <c r="D54" i="20" s="1"/>
  <c r="C53" i="19"/>
  <c r="D53" i="19" s="1"/>
  <c r="H54" i="17"/>
  <c r="E96" i="17" s="1"/>
  <c r="G96" i="17" s="1"/>
  <c r="H96" i="17" s="1"/>
  <c r="AB30" i="7"/>
  <c r="E79" i="7"/>
  <c r="G79" i="7" s="1"/>
  <c r="H79" i="7" s="1"/>
  <c r="E74" i="7"/>
  <c r="G74" i="7" s="1"/>
  <c r="H74" i="7" s="1"/>
  <c r="E72" i="7"/>
  <c r="G72" i="7" s="1"/>
  <c r="H72" i="7" s="1"/>
  <c r="E68" i="7"/>
  <c r="G68" i="7" s="1"/>
  <c r="H68" i="7" s="1"/>
  <c r="E76" i="7"/>
  <c r="G76" i="7" s="1"/>
  <c r="H76" i="7" s="1"/>
  <c r="E71" i="7"/>
  <c r="G71" i="7" s="1"/>
  <c r="H71" i="7" s="1"/>
  <c r="E66" i="7"/>
  <c r="G66" i="7" s="1"/>
  <c r="H66" i="7" s="1"/>
  <c r="E78" i="7"/>
  <c r="G78" i="7" s="1"/>
  <c r="H78" i="7" s="1"/>
  <c r="E69" i="7"/>
  <c r="G69" i="7" s="1"/>
  <c r="H69" i="7" s="1"/>
  <c r="E77" i="7"/>
  <c r="G77" i="7" s="1"/>
  <c r="H77" i="7" s="1"/>
  <c r="E73" i="7"/>
  <c r="G73" i="7" s="1"/>
  <c r="H73" i="7" s="1"/>
  <c r="E67" i="7"/>
  <c r="G67" i="7" s="1"/>
  <c r="H67" i="7" s="1"/>
  <c r="E75" i="7"/>
  <c r="G75" i="7" s="1"/>
  <c r="H75" i="7" s="1"/>
  <c r="E70" i="7"/>
  <c r="G70" i="7" s="1"/>
  <c r="H70" i="7" s="1"/>
  <c r="E67" i="45"/>
  <c r="G67" i="45" s="1"/>
  <c r="H67" i="45" s="1"/>
  <c r="E75" i="45"/>
  <c r="G75" i="45" s="1"/>
  <c r="H75" i="45" s="1"/>
  <c r="E80" i="45"/>
  <c r="G80" i="45" s="1"/>
  <c r="H80" i="45" s="1"/>
  <c r="C54" i="45"/>
  <c r="D54" i="45" s="1"/>
  <c r="E70" i="45"/>
  <c r="G70" i="45" s="1"/>
  <c r="H70" i="45" s="1"/>
  <c r="E78" i="45"/>
  <c r="G78" i="45" s="1"/>
  <c r="H78" i="45" s="1"/>
  <c r="E73" i="45"/>
  <c r="G73" i="45" s="1"/>
  <c r="H73" i="45" s="1"/>
  <c r="E68" i="45"/>
  <c r="G68" i="45" s="1"/>
  <c r="H68" i="45" s="1"/>
  <c r="E76" i="45"/>
  <c r="G76" i="45" s="1"/>
  <c r="H76" i="45" s="1"/>
  <c r="E71" i="45"/>
  <c r="G71" i="45" s="1"/>
  <c r="H71" i="45" s="1"/>
  <c r="E79" i="45"/>
  <c r="G79" i="45" s="1"/>
  <c r="H79" i="45" s="1"/>
  <c r="E66" i="45"/>
  <c r="G66" i="45" s="1"/>
  <c r="H66" i="45" s="1"/>
  <c r="E69" i="45"/>
  <c r="G69" i="45" s="1"/>
  <c r="H69" i="45" s="1"/>
  <c r="E77" i="45"/>
  <c r="G77" i="45" s="1"/>
  <c r="H77" i="45" s="1"/>
  <c r="E72" i="45"/>
  <c r="G72" i="45" s="1"/>
  <c r="H72" i="45" s="1"/>
  <c r="E74" i="45"/>
  <c r="G74" i="45" s="1"/>
  <c r="H74" i="45" s="1"/>
  <c r="J54" i="45"/>
  <c r="B107" i="45" s="1"/>
  <c r="I53" i="45"/>
  <c r="T35" i="6"/>
  <c r="C53" i="3"/>
  <c r="D53" i="3" s="1"/>
  <c r="C53" i="6"/>
  <c r="D53" i="6" s="1"/>
  <c r="I54" i="6"/>
  <c r="J55" i="6"/>
  <c r="I55" i="6" s="1"/>
  <c r="E83" i="8"/>
  <c r="G83" i="8" s="1"/>
  <c r="H83" i="8" s="1"/>
  <c r="E80" i="8"/>
  <c r="G80" i="8" s="1"/>
  <c r="H80" i="8" s="1"/>
  <c r="E68" i="8"/>
  <c r="G68" i="8" s="1"/>
  <c r="H68" i="8" s="1"/>
  <c r="E66" i="8"/>
  <c r="G66" i="8" s="1"/>
  <c r="H66" i="8" s="1"/>
  <c r="E74" i="8"/>
  <c r="G74" i="8" s="1"/>
  <c r="H74" i="8" s="1"/>
  <c r="E78" i="8"/>
  <c r="G78" i="8" s="1"/>
  <c r="H78" i="8" s="1"/>
  <c r="E70" i="8"/>
  <c r="G70" i="8" s="1"/>
  <c r="H70" i="8" s="1"/>
  <c r="E67" i="8"/>
  <c r="G67" i="8" s="1"/>
  <c r="H67" i="8" s="1"/>
  <c r="E79" i="8"/>
  <c r="G79" i="8" s="1"/>
  <c r="H79" i="8" s="1"/>
  <c r="E77" i="8"/>
  <c r="G77" i="8" s="1"/>
  <c r="H77" i="8" s="1"/>
  <c r="E82" i="8"/>
  <c r="G82" i="8" s="1"/>
  <c r="H82" i="8" s="1"/>
  <c r="E73" i="8"/>
  <c r="G73" i="8" s="1"/>
  <c r="H73" i="8" s="1"/>
  <c r="E69" i="8"/>
  <c r="G69" i="8" s="1"/>
  <c r="H69" i="8" s="1"/>
  <c r="E76" i="8"/>
  <c r="G76" i="8" s="1"/>
  <c r="H76" i="8" s="1"/>
  <c r="E81" i="8"/>
  <c r="G81" i="8" s="1"/>
  <c r="H81" i="8" s="1"/>
  <c r="E75" i="8"/>
  <c r="G75" i="8" s="1"/>
  <c r="H75" i="8" s="1"/>
  <c r="E71" i="8"/>
  <c r="G71" i="8" s="1"/>
  <c r="H71" i="8" s="1"/>
  <c r="E72" i="8"/>
  <c r="G72" i="8" s="1"/>
  <c r="H72" i="8" s="1"/>
  <c r="C54" i="8"/>
  <c r="G65" i="9"/>
  <c r="H65" i="9" s="1"/>
  <c r="H54" i="9"/>
  <c r="C54" i="9"/>
  <c r="D54" i="9" s="1"/>
  <c r="T35" i="71"/>
  <c r="C53" i="74"/>
  <c r="C53" i="71"/>
  <c r="E12" i="70"/>
  <c r="G12" i="70" s="1"/>
  <c r="H12" i="70" s="1"/>
  <c r="K12" i="70" s="1"/>
  <c r="L12" i="70" s="1"/>
  <c r="E10" i="70"/>
  <c r="G10" i="70" s="1"/>
  <c r="H10" i="70" s="1"/>
  <c r="K10" i="70" s="1"/>
  <c r="L10" i="70" s="1"/>
  <c r="E14" i="70"/>
  <c r="G14" i="70" s="1"/>
  <c r="H14" i="70" s="1"/>
  <c r="K14" i="70" s="1"/>
  <c r="L14" i="70" s="1"/>
  <c r="E17" i="70"/>
  <c r="G17" i="70" s="1"/>
  <c r="H17" i="70" s="1"/>
  <c r="K17" i="70" s="1"/>
  <c r="L17" i="70" s="1"/>
  <c r="E15" i="70"/>
  <c r="G15" i="70" s="1"/>
  <c r="H15" i="70" s="1"/>
  <c r="K15" i="70" s="1"/>
  <c r="L15" i="70" s="1"/>
  <c r="E9" i="70"/>
  <c r="G9" i="70" s="1"/>
  <c r="H9" i="70" s="1"/>
  <c r="K9" i="70" s="1"/>
  <c r="L9" i="70" s="1"/>
  <c r="E8" i="70"/>
  <c r="G8" i="70" s="1"/>
  <c r="H8" i="70" s="1"/>
  <c r="K8" i="70" s="1"/>
  <c r="L8" i="70" s="1"/>
  <c r="E7" i="70"/>
  <c r="G7" i="70" s="1"/>
  <c r="H7" i="70" s="1"/>
  <c r="K7" i="70" s="1"/>
  <c r="L7" i="70" s="1"/>
  <c r="E6" i="70"/>
  <c r="G6" i="70" s="1"/>
  <c r="H6" i="70" s="1"/>
  <c r="K6" i="70" s="1"/>
  <c r="L6" i="70" s="1"/>
  <c r="C52" i="70"/>
  <c r="E22" i="70"/>
  <c r="G22" i="70" s="1"/>
  <c r="H22" i="70" s="1"/>
  <c r="K22" i="70" s="1"/>
  <c r="L22" i="70" s="1"/>
  <c r="E20" i="70"/>
  <c r="G20" i="70" s="1"/>
  <c r="H20" i="70" s="1"/>
  <c r="K20" i="70" s="1"/>
  <c r="L20" i="70" s="1"/>
  <c r="E18" i="70"/>
  <c r="G18" i="70" s="1"/>
  <c r="H18" i="70" s="1"/>
  <c r="K18" i="70" s="1"/>
  <c r="L18" i="70" s="1"/>
  <c r="E16" i="70"/>
  <c r="G16" i="70" s="1"/>
  <c r="H16" i="70" s="1"/>
  <c r="K16" i="70" s="1"/>
  <c r="L16" i="70" s="1"/>
  <c r="E11" i="70"/>
  <c r="G11" i="70" s="1"/>
  <c r="H11" i="70" s="1"/>
  <c r="K11" i="70" s="1"/>
  <c r="L11" i="70" s="1"/>
  <c r="E23" i="70"/>
  <c r="G23" i="70" s="1"/>
  <c r="H23" i="70" s="1"/>
  <c r="K23" i="70" s="1"/>
  <c r="L23" i="70" s="1"/>
  <c r="E19" i="70"/>
  <c r="G19" i="70" s="1"/>
  <c r="H19" i="70" s="1"/>
  <c r="K19" i="70" s="1"/>
  <c r="L19" i="70" s="1"/>
  <c r="E21" i="70"/>
  <c r="G21" i="70" s="1"/>
  <c r="H21" i="70" s="1"/>
  <c r="K21" i="70" s="1"/>
  <c r="L21" i="70" s="1"/>
  <c r="E13" i="70"/>
  <c r="G13" i="70" s="1"/>
  <c r="H13" i="70" s="1"/>
  <c r="K13" i="70" s="1"/>
  <c r="L13" i="70" s="1"/>
  <c r="I54" i="66"/>
  <c r="J55" i="66"/>
  <c r="H53" i="28" l="1"/>
  <c r="E5" i="28"/>
  <c r="G5" i="28" s="1"/>
  <c r="H5" i="28" s="1"/>
  <c r="K5" i="28" s="1"/>
  <c r="L5" i="28" s="1"/>
  <c r="S35" i="28" s="1"/>
  <c r="AB30" i="28" s="1"/>
  <c r="D52" i="4"/>
  <c r="E89" i="4"/>
  <c r="G89" i="4" s="1"/>
  <c r="H89" i="4" s="1"/>
  <c r="E90" i="4"/>
  <c r="G90" i="4" s="1"/>
  <c r="H90" i="4" s="1"/>
  <c r="E91" i="4"/>
  <c r="G91" i="4" s="1"/>
  <c r="H91" i="4" s="1"/>
  <c r="E92" i="4"/>
  <c r="G92" i="4" s="1"/>
  <c r="H92" i="4" s="1"/>
  <c r="I54" i="48"/>
  <c r="J55" i="48"/>
  <c r="B101" i="48"/>
  <c r="E87" i="32"/>
  <c r="H55" i="32"/>
  <c r="D53" i="71"/>
  <c r="AB30" i="79"/>
  <c r="AD30" i="79" s="1"/>
  <c r="AC25" i="79" s="1"/>
  <c r="U35" i="79"/>
  <c r="AB32" i="20"/>
  <c r="T35" i="73"/>
  <c r="AC30" i="73" s="1"/>
  <c r="AC30" i="29"/>
  <c r="AD30" i="29"/>
  <c r="T33" i="34"/>
  <c r="AA30" i="34"/>
  <c r="AC30" i="34" s="1"/>
  <c r="AC25" i="34" s="1"/>
  <c r="T35" i="47"/>
  <c r="AB30" i="47" s="1"/>
  <c r="T35" i="53"/>
  <c r="AC30" i="53" s="1"/>
  <c r="T35" i="65"/>
  <c r="AB30" i="65" s="1"/>
  <c r="U35" i="46"/>
  <c r="AA30" i="46"/>
  <c r="U35" i="27"/>
  <c r="AB30" i="27"/>
  <c r="AC30" i="27" s="1"/>
  <c r="T33" i="75"/>
  <c r="AB30" i="75"/>
  <c r="AE30" i="75" s="1"/>
  <c r="AC25" i="75" s="1"/>
  <c r="T35" i="72"/>
  <c r="AC30" i="71"/>
  <c r="AD30" i="71"/>
  <c r="T35" i="70"/>
  <c r="U35" i="67"/>
  <c r="AA30" i="67"/>
  <c r="AE30" i="67" s="1"/>
  <c r="AC25" i="67" s="1"/>
  <c r="S33" i="66"/>
  <c r="AA30" i="62"/>
  <c r="AD30" i="62" s="1"/>
  <c r="U35" i="62"/>
  <c r="U35" i="59"/>
  <c r="AA30" i="59"/>
  <c r="AD30" i="59" s="1"/>
  <c r="U35" i="57"/>
  <c r="AB30" i="57"/>
  <c r="AB30" i="53"/>
  <c r="S33" i="51"/>
  <c r="AB30" i="50"/>
  <c r="AC30" i="50" s="1"/>
  <c r="U35" i="50"/>
  <c r="U35" i="49"/>
  <c r="AB30" i="49"/>
  <c r="AD30" i="49" s="1"/>
  <c r="AC25" i="49" s="1"/>
  <c r="T35" i="48"/>
  <c r="E65" i="46"/>
  <c r="G65" i="46" s="1"/>
  <c r="H65" i="46" s="1"/>
  <c r="H54" i="46"/>
  <c r="H55" i="46" s="1"/>
  <c r="AB30" i="44"/>
  <c r="AD30" i="44" s="1"/>
  <c r="AC25" i="44" s="1"/>
  <c r="U35" i="44"/>
  <c r="AB30" i="43"/>
  <c r="V35" i="43"/>
  <c r="AB30" i="41"/>
  <c r="AE30" i="41" s="1"/>
  <c r="AC25" i="41" s="1"/>
  <c r="U35" i="41"/>
  <c r="S31" i="39"/>
  <c r="T35" i="37"/>
  <c r="AB30" i="37"/>
  <c r="AB30" i="22"/>
  <c r="AC30" i="21"/>
  <c r="AE30" i="21" s="1"/>
  <c r="AD25" i="21" s="1"/>
  <c r="U35" i="21"/>
  <c r="AA30" i="20"/>
  <c r="U35" i="20"/>
  <c r="AC30" i="69"/>
  <c r="AD30" i="69"/>
  <c r="T35" i="60"/>
  <c r="AD30" i="57"/>
  <c r="AC30" i="57"/>
  <c r="AC30" i="56"/>
  <c r="W35" i="22"/>
  <c r="W28" i="22"/>
  <c r="G90" i="5"/>
  <c r="C90" i="5" s="1"/>
  <c r="U35" i="16"/>
  <c r="AB30" i="18"/>
  <c r="AE30" i="18" s="1"/>
  <c r="AC25" i="18" s="1"/>
  <c r="U35" i="18"/>
  <c r="AC30" i="16"/>
  <c r="AC25" i="16" s="1"/>
  <c r="E71" i="24"/>
  <c r="E65" i="24"/>
  <c r="E70" i="24"/>
  <c r="E72" i="24"/>
  <c r="E66" i="24"/>
  <c r="E67" i="24"/>
  <c r="E68" i="24"/>
  <c r="E69" i="24"/>
  <c r="E66" i="55"/>
  <c r="E67" i="55"/>
  <c r="E68" i="55"/>
  <c r="E69" i="55"/>
  <c r="E70" i="55"/>
  <c r="E74" i="55"/>
  <c r="E71" i="55"/>
  <c r="E72" i="55"/>
  <c r="E73" i="55"/>
  <c r="E68" i="38"/>
  <c r="E69" i="38"/>
  <c r="E70" i="38"/>
  <c r="E71" i="38"/>
  <c r="E65" i="38"/>
  <c r="E67" i="38"/>
  <c r="E66" i="38"/>
  <c r="E73" i="78"/>
  <c r="E74" i="78"/>
  <c r="E66" i="78"/>
  <c r="E72" i="78"/>
  <c r="E67" i="78"/>
  <c r="E68" i="78"/>
  <c r="E69" i="78"/>
  <c r="E70" i="78"/>
  <c r="E71" i="78"/>
  <c r="E67" i="13"/>
  <c r="E70" i="13"/>
  <c r="E68" i="13"/>
  <c r="E73" i="13"/>
  <c r="E69" i="13"/>
  <c r="E71" i="13"/>
  <c r="E72" i="13"/>
  <c r="E65" i="13"/>
  <c r="E66" i="13"/>
  <c r="E66" i="54"/>
  <c r="E70" i="54"/>
  <c r="E71" i="54"/>
  <c r="E65" i="54"/>
  <c r="E67" i="54"/>
  <c r="E68" i="54"/>
  <c r="E69" i="54"/>
  <c r="E66" i="14"/>
  <c r="E67" i="14"/>
  <c r="E68" i="14"/>
  <c r="E69" i="14"/>
  <c r="E70" i="14"/>
  <c r="E71" i="14"/>
  <c r="E65" i="14"/>
  <c r="E69" i="40"/>
  <c r="E70" i="40"/>
  <c r="E72" i="40"/>
  <c r="E71" i="40"/>
  <c r="E73" i="40"/>
  <c r="E65" i="40"/>
  <c r="E68" i="40"/>
  <c r="E66" i="40"/>
  <c r="E67" i="40"/>
  <c r="AC30" i="6"/>
  <c r="AD30" i="6"/>
  <c r="AD31" i="6" s="1"/>
  <c r="AC30" i="17"/>
  <c r="AD30" i="17"/>
  <c r="AD30" i="28"/>
  <c r="AC30" i="28"/>
  <c r="S33" i="10"/>
  <c r="AB31" i="30"/>
  <c r="AC24" i="12"/>
  <c r="T31" i="12"/>
  <c r="AA30" i="4"/>
  <c r="AE30" i="4" s="1"/>
  <c r="AC25" i="4" s="1"/>
  <c r="U35" i="17"/>
  <c r="AB30" i="17"/>
  <c r="AE30" i="5"/>
  <c r="AC25" i="5" s="1"/>
  <c r="U35" i="29"/>
  <c r="AD30" i="8"/>
  <c r="AC30" i="8"/>
  <c r="AB32" i="8"/>
  <c r="AC30" i="3"/>
  <c r="AC31" i="3" s="1"/>
  <c r="AD30" i="3"/>
  <c r="AD31" i="3" s="1"/>
  <c r="U35" i="8"/>
  <c r="G84" i="3"/>
  <c r="E84" i="3"/>
  <c r="G81" i="27"/>
  <c r="E81" i="27"/>
  <c r="H81" i="27" s="1"/>
  <c r="L6" i="23"/>
  <c r="AC25" i="23" s="1"/>
  <c r="G85" i="8"/>
  <c r="E85" i="8"/>
  <c r="K5" i="26"/>
  <c r="L5" i="26" s="1"/>
  <c r="S35" i="26" s="1"/>
  <c r="D54" i="8"/>
  <c r="D53" i="56"/>
  <c r="E66" i="56"/>
  <c r="G66" i="56" s="1"/>
  <c r="H66" i="56" s="1"/>
  <c r="H53" i="60"/>
  <c r="E5" i="60"/>
  <c r="G5" i="60" s="1"/>
  <c r="H5" i="60" s="1"/>
  <c r="K5" i="60" s="1"/>
  <c r="L5" i="60" s="1"/>
  <c r="D56" i="84"/>
  <c r="D53" i="74"/>
  <c r="E66" i="74"/>
  <c r="G66" i="74" s="1"/>
  <c r="H66" i="74" s="1"/>
  <c r="D53" i="73"/>
  <c r="E66" i="73"/>
  <c r="G66" i="73" s="1"/>
  <c r="H66" i="73" s="1"/>
  <c r="D53" i="72"/>
  <c r="E66" i="72"/>
  <c r="G66" i="72" s="1"/>
  <c r="H66" i="72" s="1"/>
  <c r="D53" i="62"/>
  <c r="E66" i="62"/>
  <c r="G66" i="62" s="1"/>
  <c r="H66" i="62" s="1"/>
  <c r="D53" i="61"/>
  <c r="E66" i="61"/>
  <c r="G66" i="61" s="1"/>
  <c r="H66" i="61" s="1"/>
  <c r="D54" i="50"/>
  <c r="E89" i="50"/>
  <c r="G89" i="50" s="1"/>
  <c r="H89" i="50" s="1"/>
  <c r="D53" i="46"/>
  <c r="E66" i="46"/>
  <c r="G66" i="46" s="1"/>
  <c r="H66" i="46" s="1"/>
  <c r="H55" i="44"/>
  <c r="E90" i="44"/>
  <c r="G90" i="44" s="1"/>
  <c r="H90" i="44" s="1"/>
  <c r="D53" i="42"/>
  <c r="E69" i="42"/>
  <c r="E66" i="42"/>
  <c r="E68" i="42"/>
  <c r="E70" i="42"/>
  <c r="E71" i="42"/>
  <c r="E72" i="42"/>
  <c r="E65" i="42"/>
  <c r="E67" i="42"/>
  <c r="D53" i="41"/>
  <c r="E66" i="41"/>
  <c r="G66" i="41" s="1"/>
  <c r="H66" i="41" s="1"/>
  <c r="E68" i="41"/>
  <c r="G68" i="41" s="1"/>
  <c r="H68" i="41" s="1"/>
  <c r="C53" i="38"/>
  <c r="G81" i="7"/>
  <c r="E81" i="7"/>
  <c r="H81" i="7" s="1"/>
  <c r="C55" i="7"/>
  <c r="G83" i="50"/>
  <c r="C83" i="50" s="1"/>
  <c r="D53" i="33"/>
  <c r="C54" i="33"/>
  <c r="D54" i="33" s="1"/>
  <c r="J55" i="22"/>
  <c r="I55" i="22" s="1"/>
  <c r="G79" i="49"/>
  <c r="E79" i="49"/>
  <c r="E107" i="45"/>
  <c r="G107" i="45"/>
  <c r="E82" i="44"/>
  <c r="G82" i="44"/>
  <c r="G79" i="43"/>
  <c r="E79" i="43"/>
  <c r="E103" i="29"/>
  <c r="G103" i="29"/>
  <c r="G104" i="27"/>
  <c r="E104" i="27"/>
  <c r="E81" i="16"/>
  <c r="G81" i="16"/>
  <c r="G65" i="22"/>
  <c r="H65" i="22" s="1"/>
  <c r="H54" i="22"/>
  <c r="H55" i="22" s="1"/>
  <c r="G82" i="21"/>
  <c r="E82" i="21"/>
  <c r="G103" i="20"/>
  <c r="E103" i="20"/>
  <c r="G82" i="18"/>
  <c r="E82" i="18"/>
  <c r="G90" i="17"/>
  <c r="E90" i="17"/>
  <c r="E79" i="19"/>
  <c r="G79" i="19"/>
  <c r="G91" i="15"/>
  <c r="E91" i="15"/>
  <c r="G73" i="6"/>
  <c r="E73" i="6"/>
  <c r="J55" i="15"/>
  <c r="I55" i="15" s="1"/>
  <c r="C55" i="68"/>
  <c r="D54" i="68"/>
  <c r="C56" i="83"/>
  <c r="D55" i="83"/>
  <c r="G82" i="59"/>
  <c r="E82" i="59"/>
  <c r="E83" i="58"/>
  <c r="G83" i="58"/>
  <c r="E87" i="57"/>
  <c r="G87" i="57"/>
  <c r="J55" i="17"/>
  <c r="I55" i="17" s="1"/>
  <c r="I54" i="17"/>
  <c r="I54" i="15"/>
  <c r="J54" i="4"/>
  <c r="H54" i="66"/>
  <c r="E73" i="66"/>
  <c r="G73" i="66" s="1"/>
  <c r="H73" i="66" s="1"/>
  <c r="E72" i="66"/>
  <c r="G72" i="66" s="1"/>
  <c r="H72" i="66" s="1"/>
  <c r="E71" i="66"/>
  <c r="G71" i="66" s="1"/>
  <c r="H71" i="66" s="1"/>
  <c r="E70" i="66"/>
  <c r="G70" i="66" s="1"/>
  <c r="H70" i="66" s="1"/>
  <c r="E69" i="66"/>
  <c r="G69" i="66" s="1"/>
  <c r="H69" i="66" s="1"/>
  <c r="E68" i="66"/>
  <c r="G68" i="66" s="1"/>
  <c r="H68" i="66" s="1"/>
  <c r="E67" i="66"/>
  <c r="G67" i="66" s="1"/>
  <c r="H67" i="66" s="1"/>
  <c r="E66" i="66"/>
  <c r="G66" i="66" s="1"/>
  <c r="H66" i="66" s="1"/>
  <c r="E65" i="66"/>
  <c r="G65" i="66" s="1"/>
  <c r="H65" i="66" s="1"/>
  <c r="J56" i="77"/>
  <c r="J57" i="77" s="1"/>
  <c r="I57" i="77" s="1"/>
  <c r="B98" i="77"/>
  <c r="H98" i="77" s="1"/>
  <c r="J55" i="71"/>
  <c r="B94" i="71"/>
  <c r="J55" i="70"/>
  <c r="B136" i="70" s="1"/>
  <c r="B110" i="70"/>
  <c r="H84" i="69"/>
  <c r="C84" i="69"/>
  <c r="J56" i="66"/>
  <c r="B107" i="66"/>
  <c r="H107" i="66" s="1"/>
  <c r="J55" i="60"/>
  <c r="I55" i="60" s="1"/>
  <c r="B98" i="60"/>
  <c r="J55" i="57"/>
  <c r="B142" i="57" s="1"/>
  <c r="B115" i="57"/>
  <c r="J56" i="51"/>
  <c r="B138" i="51" s="1"/>
  <c r="H138" i="51" s="1"/>
  <c r="B119" i="51"/>
  <c r="H119" i="51" s="1"/>
  <c r="H53" i="48"/>
  <c r="E5" i="48"/>
  <c r="G5" i="48" s="1"/>
  <c r="H5" i="48" s="1"/>
  <c r="K5" i="48" s="1"/>
  <c r="L5" i="48" s="1"/>
  <c r="S35" i="48" s="1"/>
  <c r="C54" i="42"/>
  <c r="H81" i="29"/>
  <c r="C81" i="29"/>
  <c r="J55" i="28"/>
  <c r="I54" i="28"/>
  <c r="H81" i="26"/>
  <c r="C81" i="26"/>
  <c r="H54" i="23"/>
  <c r="G80" i="23"/>
  <c r="E80" i="23"/>
  <c r="H81" i="20"/>
  <c r="C81" i="20"/>
  <c r="E104" i="7"/>
  <c r="G104" i="7"/>
  <c r="H90" i="5"/>
  <c r="I53" i="4"/>
  <c r="B114" i="4"/>
  <c r="C53" i="4"/>
  <c r="G94" i="4"/>
  <c r="E94" i="4"/>
  <c r="J55" i="3"/>
  <c r="B136" i="3" s="1"/>
  <c r="B108" i="3"/>
  <c r="J55" i="72"/>
  <c r="I55" i="72" s="1"/>
  <c r="B118" i="72"/>
  <c r="C53" i="55"/>
  <c r="D53" i="55" s="1"/>
  <c r="C53" i="54"/>
  <c r="D92" i="33"/>
  <c r="H52" i="33"/>
  <c r="C53" i="31"/>
  <c r="D53" i="31" s="1"/>
  <c r="E5" i="25"/>
  <c r="G5" i="25" s="1"/>
  <c r="H5" i="25" s="1"/>
  <c r="K5" i="25" s="1"/>
  <c r="L5" i="25" s="1"/>
  <c r="S35" i="25" s="1"/>
  <c r="H53" i="25"/>
  <c r="G71" i="10"/>
  <c r="E71" i="10"/>
  <c r="H53" i="19"/>
  <c r="E65" i="19" s="1"/>
  <c r="G65" i="19" s="1"/>
  <c r="H65" i="19" s="1"/>
  <c r="E5" i="19"/>
  <c r="G5" i="19" s="1"/>
  <c r="H5" i="19" s="1"/>
  <c r="K5" i="19" s="1"/>
  <c r="L5" i="19" s="1"/>
  <c r="S35" i="19" s="1"/>
  <c r="H76" i="4"/>
  <c r="C76" i="4"/>
  <c r="H54" i="5"/>
  <c r="H55" i="5" s="1"/>
  <c r="E65" i="5"/>
  <c r="G65" i="5" s="1"/>
  <c r="H65" i="5" s="1"/>
  <c r="H54" i="3"/>
  <c r="E65" i="3"/>
  <c r="H52" i="4"/>
  <c r="E81" i="4" s="1"/>
  <c r="G81" i="4" s="1"/>
  <c r="H81" i="4" s="1"/>
  <c r="C54" i="46"/>
  <c r="D54" i="46" s="1"/>
  <c r="C53" i="40"/>
  <c r="D53" i="40" s="1"/>
  <c r="C54" i="39"/>
  <c r="D54" i="39" s="1"/>
  <c r="C53" i="24"/>
  <c r="D53" i="24" s="1"/>
  <c r="C53" i="14"/>
  <c r="D53" i="14" s="1"/>
  <c r="C53" i="13"/>
  <c r="D53" i="13" s="1"/>
  <c r="C54" i="12"/>
  <c r="D54" i="12" s="1"/>
  <c r="C55" i="82"/>
  <c r="D55" i="82" s="1"/>
  <c r="E78" i="16"/>
  <c r="G78" i="16" s="1"/>
  <c r="H78" i="16" s="1"/>
  <c r="E79" i="16"/>
  <c r="G79" i="16" s="1"/>
  <c r="H79" i="16" s="1"/>
  <c r="E76" i="16"/>
  <c r="G76" i="16" s="1"/>
  <c r="H76" i="16" s="1"/>
  <c r="E77" i="16"/>
  <c r="G77" i="16" s="1"/>
  <c r="H77" i="16" s="1"/>
  <c r="E75" i="16"/>
  <c r="G75" i="16" s="1"/>
  <c r="H75" i="16" s="1"/>
  <c r="E72" i="46"/>
  <c r="G72" i="46" s="1"/>
  <c r="H72" i="46" s="1"/>
  <c r="E75" i="46"/>
  <c r="G75" i="46" s="1"/>
  <c r="H75" i="46" s="1"/>
  <c r="E74" i="46"/>
  <c r="G74" i="46" s="1"/>
  <c r="H74" i="46" s="1"/>
  <c r="E70" i="46"/>
  <c r="G70" i="46" s="1"/>
  <c r="H70" i="46" s="1"/>
  <c r="E73" i="46"/>
  <c r="G73" i="46" s="1"/>
  <c r="H73" i="46" s="1"/>
  <c r="E71" i="46"/>
  <c r="G71" i="46" s="1"/>
  <c r="H71" i="46" s="1"/>
  <c r="E69" i="46"/>
  <c r="G69" i="46" s="1"/>
  <c r="H69" i="46" s="1"/>
  <c r="E67" i="46"/>
  <c r="G67" i="46" s="1"/>
  <c r="H67" i="46" s="1"/>
  <c r="E68" i="46"/>
  <c r="G68" i="46" s="1"/>
  <c r="H68" i="46" s="1"/>
  <c r="H53" i="70"/>
  <c r="C53" i="48"/>
  <c r="D53" i="48" s="1"/>
  <c r="E5" i="70"/>
  <c r="G5" i="70" s="1"/>
  <c r="H5" i="70" s="1"/>
  <c r="K5" i="70" s="1"/>
  <c r="L5" i="70" s="1"/>
  <c r="S35" i="70" s="1"/>
  <c r="I54" i="70"/>
  <c r="C54" i="62"/>
  <c r="D54" i="62" s="1"/>
  <c r="I54" i="72"/>
  <c r="E72" i="62"/>
  <c r="G72" i="62" s="1"/>
  <c r="H72" i="62" s="1"/>
  <c r="E69" i="62"/>
  <c r="G69" i="62" s="1"/>
  <c r="H69" i="62" s="1"/>
  <c r="E70" i="62"/>
  <c r="G70" i="62" s="1"/>
  <c r="H70" i="62" s="1"/>
  <c r="E73" i="62"/>
  <c r="G73" i="62" s="1"/>
  <c r="H73" i="62" s="1"/>
  <c r="E79" i="62"/>
  <c r="G79" i="62" s="1"/>
  <c r="H79" i="62" s="1"/>
  <c r="E78" i="62"/>
  <c r="G78" i="62" s="1"/>
  <c r="H78" i="62" s="1"/>
  <c r="E75" i="62"/>
  <c r="G75" i="62" s="1"/>
  <c r="H75" i="62" s="1"/>
  <c r="E74" i="62"/>
  <c r="G74" i="62" s="1"/>
  <c r="H74" i="62" s="1"/>
  <c r="E77" i="62"/>
  <c r="G77" i="62" s="1"/>
  <c r="H77" i="62" s="1"/>
  <c r="E80" i="62"/>
  <c r="G80" i="62" s="1"/>
  <c r="H80" i="62" s="1"/>
  <c r="E76" i="62"/>
  <c r="G76" i="62" s="1"/>
  <c r="H76" i="62" s="1"/>
  <c r="E68" i="62"/>
  <c r="G68" i="62" s="1"/>
  <c r="H68" i="62" s="1"/>
  <c r="E71" i="62"/>
  <c r="G71" i="62" s="1"/>
  <c r="H71" i="62" s="1"/>
  <c r="E67" i="62"/>
  <c r="G67" i="62" s="1"/>
  <c r="H67" i="62" s="1"/>
  <c r="E65" i="57"/>
  <c r="G65" i="57" s="1"/>
  <c r="H65" i="57" s="1"/>
  <c r="H54" i="57"/>
  <c r="C53" i="47"/>
  <c r="E70" i="41"/>
  <c r="G70" i="41" s="1"/>
  <c r="H70" i="41" s="1"/>
  <c r="E73" i="41"/>
  <c r="G73" i="41" s="1"/>
  <c r="H73" i="41" s="1"/>
  <c r="E71" i="41"/>
  <c r="G71" i="41" s="1"/>
  <c r="H71" i="41" s="1"/>
  <c r="E74" i="41"/>
  <c r="G74" i="41" s="1"/>
  <c r="H74" i="41" s="1"/>
  <c r="E69" i="41"/>
  <c r="G69" i="41" s="1"/>
  <c r="H69" i="41" s="1"/>
  <c r="E72" i="41"/>
  <c r="G72" i="41" s="1"/>
  <c r="H72" i="41" s="1"/>
  <c r="E67" i="41"/>
  <c r="G67" i="41" s="1"/>
  <c r="H67" i="41" s="1"/>
  <c r="C54" i="41"/>
  <c r="D54" i="41" s="1"/>
  <c r="E6" i="24"/>
  <c r="G6" i="24" s="1"/>
  <c r="H6" i="24" s="1"/>
  <c r="K6" i="24" s="1"/>
  <c r="L6" i="24" s="1"/>
  <c r="E9" i="24"/>
  <c r="G9" i="24" s="1"/>
  <c r="H9" i="24" s="1"/>
  <c r="K9" i="24" s="1"/>
  <c r="L9" i="24" s="1"/>
  <c r="E12" i="24"/>
  <c r="G12" i="24" s="1"/>
  <c r="H12" i="24" s="1"/>
  <c r="K12" i="24" s="1"/>
  <c r="L12" i="24" s="1"/>
  <c r="E7" i="24"/>
  <c r="G7" i="24" s="1"/>
  <c r="H7" i="24" s="1"/>
  <c r="K7" i="24" s="1"/>
  <c r="L7" i="24" s="1"/>
  <c r="E10" i="24"/>
  <c r="G10" i="24" s="1"/>
  <c r="H10" i="24" s="1"/>
  <c r="K10" i="24" s="1"/>
  <c r="L10" i="24" s="1"/>
  <c r="I54" i="69"/>
  <c r="J55" i="69"/>
  <c r="I55" i="69" s="1"/>
  <c r="I54" i="61"/>
  <c r="J55" i="61"/>
  <c r="I55" i="61" s="1"/>
  <c r="E77" i="61"/>
  <c r="G77" i="61" s="1"/>
  <c r="H77" i="61" s="1"/>
  <c r="E70" i="61"/>
  <c r="G70" i="61" s="1"/>
  <c r="H70" i="61" s="1"/>
  <c r="E75" i="61"/>
  <c r="G75" i="61" s="1"/>
  <c r="H75" i="61" s="1"/>
  <c r="E76" i="61"/>
  <c r="G76" i="61" s="1"/>
  <c r="H76" i="61" s="1"/>
  <c r="E69" i="61"/>
  <c r="G69" i="61" s="1"/>
  <c r="H69" i="61" s="1"/>
  <c r="E67" i="61"/>
  <c r="G67" i="61" s="1"/>
  <c r="H67" i="61" s="1"/>
  <c r="E74" i="61"/>
  <c r="G74" i="61" s="1"/>
  <c r="H74" i="61" s="1"/>
  <c r="E71" i="61"/>
  <c r="G71" i="61" s="1"/>
  <c r="H71" i="61" s="1"/>
  <c r="E72" i="61"/>
  <c r="G72" i="61" s="1"/>
  <c r="H72" i="61" s="1"/>
  <c r="C54" i="61"/>
  <c r="D54" i="61" s="1"/>
  <c r="E78" i="61"/>
  <c r="G78" i="61" s="1"/>
  <c r="H78" i="61" s="1"/>
  <c r="E73" i="61"/>
  <c r="G73" i="61" s="1"/>
  <c r="H73" i="61" s="1"/>
  <c r="E68" i="61"/>
  <c r="G68" i="61" s="1"/>
  <c r="H68" i="61" s="1"/>
  <c r="I54" i="57"/>
  <c r="E13" i="24"/>
  <c r="G13" i="24" s="1"/>
  <c r="H13" i="24" s="1"/>
  <c r="K13" i="24" s="1"/>
  <c r="L13" i="24" s="1"/>
  <c r="E83" i="4"/>
  <c r="G83" i="4" s="1"/>
  <c r="H83" i="4" s="1"/>
  <c r="E87" i="4"/>
  <c r="G87" i="4" s="1"/>
  <c r="H87" i="4" s="1"/>
  <c r="E88" i="4"/>
  <c r="G88" i="4" s="1"/>
  <c r="H88" i="4" s="1"/>
  <c r="C53" i="78"/>
  <c r="D53" i="78" s="1"/>
  <c r="E8" i="24"/>
  <c r="G8" i="24" s="1"/>
  <c r="H8" i="24" s="1"/>
  <c r="K8" i="24" s="1"/>
  <c r="L8" i="24" s="1"/>
  <c r="E11" i="24"/>
  <c r="G11" i="24" s="1"/>
  <c r="H11" i="24" s="1"/>
  <c r="K11" i="24" s="1"/>
  <c r="L11" i="24" s="1"/>
  <c r="E82" i="4"/>
  <c r="G82" i="4" s="1"/>
  <c r="H82" i="4" s="1"/>
  <c r="E84" i="4"/>
  <c r="G84" i="4" s="1"/>
  <c r="H84" i="4" s="1"/>
  <c r="E85" i="4"/>
  <c r="G85" i="4" s="1"/>
  <c r="H85" i="4" s="1"/>
  <c r="G1" i="64"/>
  <c r="E5" i="61"/>
  <c r="G5" i="61" s="1"/>
  <c r="H5" i="61" s="1"/>
  <c r="K5" i="61" s="1"/>
  <c r="L5" i="61" s="1"/>
  <c r="S35" i="61" s="1"/>
  <c r="H53" i="61"/>
  <c r="E68" i="57"/>
  <c r="G68" i="57" s="1"/>
  <c r="H68" i="57" s="1"/>
  <c r="E76" i="57"/>
  <c r="G76" i="57" s="1"/>
  <c r="H76" i="57" s="1"/>
  <c r="C54" i="57"/>
  <c r="D54" i="57" s="1"/>
  <c r="E83" i="57"/>
  <c r="G83" i="57" s="1"/>
  <c r="H83" i="57" s="1"/>
  <c r="E81" i="57"/>
  <c r="G81" i="57" s="1"/>
  <c r="H81" i="57" s="1"/>
  <c r="E80" i="57"/>
  <c r="G80" i="57" s="1"/>
  <c r="H80" i="57" s="1"/>
  <c r="E84" i="57"/>
  <c r="G84" i="57" s="1"/>
  <c r="H84" i="57" s="1"/>
  <c r="E85" i="57"/>
  <c r="G85" i="57" s="1"/>
  <c r="H85" i="57" s="1"/>
  <c r="E82" i="57"/>
  <c r="G82" i="57" s="1"/>
  <c r="H82" i="57" s="1"/>
  <c r="E79" i="57"/>
  <c r="G79" i="57" s="1"/>
  <c r="H79" i="57" s="1"/>
  <c r="E77" i="57"/>
  <c r="G77" i="57" s="1"/>
  <c r="H77" i="57" s="1"/>
  <c r="E74" i="57"/>
  <c r="G74" i="57" s="1"/>
  <c r="H74" i="57" s="1"/>
  <c r="E73" i="57"/>
  <c r="G73" i="57" s="1"/>
  <c r="H73" i="57" s="1"/>
  <c r="E72" i="57"/>
  <c r="G72" i="57" s="1"/>
  <c r="H72" i="57" s="1"/>
  <c r="E71" i="57"/>
  <c r="G71" i="57" s="1"/>
  <c r="H71" i="57" s="1"/>
  <c r="E70" i="57"/>
  <c r="G70" i="57" s="1"/>
  <c r="H70" i="57" s="1"/>
  <c r="E69" i="57"/>
  <c r="G69" i="57" s="1"/>
  <c r="H69" i="57" s="1"/>
  <c r="E67" i="57"/>
  <c r="G67" i="57" s="1"/>
  <c r="H67" i="57" s="1"/>
  <c r="E66" i="57"/>
  <c r="G66" i="57" s="1"/>
  <c r="H66" i="57" s="1"/>
  <c r="E78" i="57"/>
  <c r="G78" i="57" s="1"/>
  <c r="H78" i="57" s="1"/>
  <c r="E75" i="57"/>
  <c r="G75" i="57" s="1"/>
  <c r="H75" i="57" s="1"/>
  <c r="G65" i="41"/>
  <c r="H65" i="41" s="1"/>
  <c r="H54" i="41"/>
  <c r="E81" i="41" s="1"/>
  <c r="G81" i="41" s="1"/>
  <c r="H81" i="41" s="1"/>
  <c r="J55" i="41"/>
  <c r="I55" i="41" s="1"/>
  <c r="I54" i="41"/>
  <c r="E65" i="29"/>
  <c r="G65" i="29" s="1"/>
  <c r="H65" i="29" s="1"/>
  <c r="H54" i="29"/>
  <c r="E87" i="29" s="1"/>
  <c r="G87" i="29" s="1"/>
  <c r="H87" i="29" s="1"/>
  <c r="J55" i="20"/>
  <c r="B124" i="20" s="1"/>
  <c r="I54" i="20"/>
  <c r="I55" i="77"/>
  <c r="I54" i="71"/>
  <c r="E5" i="71"/>
  <c r="G5" i="71" s="1"/>
  <c r="H5" i="71" s="1"/>
  <c r="K5" i="71" s="1"/>
  <c r="L5" i="71" s="1"/>
  <c r="S35" i="71" s="1"/>
  <c r="H53" i="71"/>
  <c r="C54" i="67"/>
  <c r="D54" i="67" s="1"/>
  <c r="D52" i="64"/>
  <c r="H54" i="26"/>
  <c r="H55" i="26" s="1"/>
  <c r="E86" i="4"/>
  <c r="G86" i="4" s="1"/>
  <c r="H86" i="4" s="1"/>
  <c r="H5" i="3"/>
  <c r="G65" i="3"/>
  <c r="G89" i="3"/>
  <c r="G117" i="3"/>
  <c r="E79" i="59"/>
  <c r="G79" i="59" s="1"/>
  <c r="H79" i="59" s="1"/>
  <c r="E76" i="59"/>
  <c r="G76" i="59" s="1"/>
  <c r="H76" i="59" s="1"/>
  <c r="E74" i="59"/>
  <c r="G74" i="59" s="1"/>
  <c r="H74" i="59" s="1"/>
  <c r="E71" i="59"/>
  <c r="G71" i="59" s="1"/>
  <c r="H71" i="59" s="1"/>
  <c r="E80" i="59"/>
  <c r="G80" i="59" s="1"/>
  <c r="H80" i="59" s="1"/>
  <c r="E77" i="59"/>
  <c r="G77" i="59" s="1"/>
  <c r="H77" i="59" s="1"/>
  <c r="E72" i="59"/>
  <c r="G72" i="59" s="1"/>
  <c r="H72" i="59" s="1"/>
  <c r="E68" i="59"/>
  <c r="G68" i="59" s="1"/>
  <c r="H68" i="59" s="1"/>
  <c r="E67" i="59"/>
  <c r="G67" i="59" s="1"/>
  <c r="H67" i="59" s="1"/>
  <c r="E70" i="59"/>
  <c r="G70" i="59" s="1"/>
  <c r="H70" i="59" s="1"/>
  <c r="E73" i="59"/>
  <c r="G73" i="59" s="1"/>
  <c r="H73" i="59" s="1"/>
  <c r="E69" i="59"/>
  <c r="G69" i="59" s="1"/>
  <c r="H69" i="59" s="1"/>
  <c r="E75" i="59"/>
  <c r="G75" i="59" s="1"/>
  <c r="H75" i="59" s="1"/>
  <c r="E78" i="59"/>
  <c r="G78" i="59" s="1"/>
  <c r="H78" i="59" s="1"/>
  <c r="E66" i="59"/>
  <c r="G66" i="59" s="1"/>
  <c r="H66" i="59" s="1"/>
  <c r="C54" i="59"/>
  <c r="D54" i="59" s="1"/>
  <c r="I54" i="53"/>
  <c r="C53" i="53"/>
  <c r="H54" i="53"/>
  <c r="H55" i="53" s="1"/>
  <c r="J55" i="53"/>
  <c r="I55" i="53" s="1"/>
  <c r="G65" i="53"/>
  <c r="H65" i="53" s="1"/>
  <c r="AB30" i="46"/>
  <c r="G65" i="43"/>
  <c r="H65" i="43" s="1"/>
  <c r="E80" i="34"/>
  <c r="G80" i="34" s="1"/>
  <c r="H80" i="34" s="1"/>
  <c r="E79" i="34"/>
  <c r="G79" i="34" s="1"/>
  <c r="H79" i="34" s="1"/>
  <c r="E77" i="34"/>
  <c r="G77" i="34" s="1"/>
  <c r="H77" i="34" s="1"/>
  <c r="I55" i="23"/>
  <c r="J55" i="8"/>
  <c r="I54" i="8"/>
  <c r="H53" i="72"/>
  <c r="E65" i="72" s="1"/>
  <c r="C54" i="65"/>
  <c r="D54" i="65" s="1"/>
  <c r="C54" i="49"/>
  <c r="D54" i="49" s="1"/>
  <c r="E82" i="34"/>
  <c r="G82" i="34" s="1"/>
  <c r="H82" i="34" s="1"/>
  <c r="H55" i="34"/>
  <c r="B74" i="34" s="1"/>
  <c r="E78" i="34"/>
  <c r="G78" i="34" s="1"/>
  <c r="H78" i="34" s="1"/>
  <c r="I54" i="26"/>
  <c r="J55" i="26"/>
  <c r="I55" i="26" s="1"/>
  <c r="C54" i="15"/>
  <c r="D54" i="15" s="1"/>
  <c r="E73" i="15"/>
  <c r="G73" i="15" s="1"/>
  <c r="H73" i="15" s="1"/>
  <c r="E81" i="15"/>
  <c r="G81" i="15" s="1"/>
  <c r="H81" i="15" s="1"/>
  <c r="E89" i="15"/>
  <c r="G89" i="15" s="1"/>
  <c r="H89" i="15" s="1"/>
  <c r="E68" i="15"/>
  <c r="G68" i="15" s="1"/>
  <c r="H68" i="15" s="1"/>
  <c r="E76" i="15"/>
  <c r="G76" i="15" s="1"/>
  <c r="H76" i="15" s="1"/>
  <c r="E84" i="15"/>
  <c r="G84" i="15" s="1"/>
  <c r="H84" i="15" s="1"/>
  <c r="E85" i="15"/>
  <c r="G85" i="15" s="1"/>
  <c r="H85" i="15" s="1"/>
  <c r="E71" i="15"/>
  <c r="G71" i="15" s="1"/>
  <c r="H71" i="15" s="1"/>
  <c r="E79" i="15"/>
  <c r="G79" i="15" s="1"/>
  <c r="H79" i="15" s="1"/>
  <c r="E87" i="15"/>
  <c r="G87" i="15" s="1"/>
  <c r="H87" i="15" s="1"/>
  <c r="E66" i="15"/>
  <c r="G66" i="15" s="1"/>
  <c r="H66" i="15" s="1"/>
  <c r="E74" i="15"/>
  <c r="G74" i="15" s="1"/>
  <c r="H74" i="15" s="1"/>
  <c r="E82" i="15"/>
  <c r="G82" i="15" s="1"/>
  <c r="H82" i="15" s="1"/>
  <c r="E69" i="15"/>
  <c r="G69" i="15" s="1"/>
  <c r="H69" i="15" s="1"/>
  <c r="E77" i="15"/>
  <c r="G77" i="15" s="1"/>
  <c r="H77" i="15" s="1"/>
  <c r="E67" i="15"/>
  <c r="G67" i="15" s="1"/>
  <c r="H67" i="15" s="1"/>
  <c r="E75" i="15"/>
  <c r="G75" i="15" s="1"/>
  <c r="H75" i="15" s="1"/>
  <c r="E83" i="15"/>
  <c r="G83" i="15" s="1"/>
  <c r="H83" i="15" s="1"/>
  <c r="E72" i="15"/>
  <c r="G72" i="15" s="1"/>
  <c r="H72" i="15" s="1"/>
  <c r="E80" i="15"/>
  <c r="G80" i="15" s="1"/>
  <c r="H80" i="15" s="1"/>
  <c r="E88" i="15"/>
  <c r="G88" i="15" s="1"/>
  <c r="H88" i="15" s="1"/>
  <c r="E70" i="15"/>
  <c r="G70" i="15" s="1"/>
  <c r="H70" i="15" s="1"/>
  <c r="E78" i="15"/>
  <c r="G78" i="15" s="1"/>
  <c r="H78" i="15" s="1"/>
  <c r="E86" i="15"/>
  <c r="G86" i="15" s="1"/>
  <c r="H86" i="15" s="1"/>
  <c r="E77" i="56"/>
  <c r="G77" i="56" s="1"/>
  <c r="H77" i="56" s="1"/>
  <c r="E76" i="56"/>
  <c r="G76" i="56" s="1"/>
  <c r="H76" i="56" s="1"/>
  <c r="E74" i="56"/>
  <c r="G74" i="56" s="1"/>
  <c r="H74" i="56" s="1"/>
  <c r="E67" i="56"/>
  <c r="G67" i="56" s="1"/>
  <c r="H67" i="56" s="1"/>
  <c r="E71" i="56"/>
  <c r="G71" i="56" s="1"/>
  <c r="H71" i="56" s="1"/>
  <c r="E70" i="56"/>
  <c r="G70" i="56" s="1"/>
  <c r="H70" i="56" s="1"/>
  <c r="E69" i="56"/>
  <c r="G69" i="56" s="1"/>
  <c r="H69" i="56" s="1"/>
  <c r="E72" i="56"/>
  <c r="G72" i="56" s="1"/>
  <c r="H72" i="56" s="1"/>
  <c r="E73" i="56"/>
  <c r="G73" i="56" s="1"/>
  <c r="H73" i="56" s="1"/>
  <c r="E75" i="56"/>
  <c r="G75" i="56" s="1"/>
  <c r="H75" i="56" s="1"/>
  <c r="E68" i="56"/>
  <c r="G68" i="56" s="1"/>
  <c r="H68" i="56" s="1"/>
  <c r="C54" i="56"/>
  <c r="D54" i="56" s="1"/>
  <c r="G65" i="37"/>
  <c r="H65" i="37" s="1"/>
  <c r="H54" i="37"/>
  <c r="H55" i="37" s="1"/>
  <c r="E77" i="49"/>
  <c r="G77" i="49" s="1"/>
  <c r="H77" i="49" s="1"/>
  <c r="E73" i="49"/>
  <c r="G73" i="49" s="1"/>
  <c r="H73" i="49" s="1"/>
  <c r="E68" i="49"/>
  <c r="G68" i="49" s="1"/>
  <c r="H68" i="49" s="1"/>
  <c r="E67" i="49"/>
  <c r="G67" i="49" s="1"/>
  <c r="H67" i="49" s="1"/>
  <c r="E74" i="49"/>
  <c r="G74" i="49" s="1"/>
  <c r="H74" i="49" s="1"/>
  <c r="E70" i="49"/>
  <c r="G70" i="49" s="1"/>
  <c r="H70" i="49" s="1"/>
  <c r="E75" i="49"/>
  <c r="G75" i="49" s="1"/>
  <c r="H75" i="49" s="1"/>
  <c r="E76" i="49"/>
  <c r="G76" i="49" s="1"/>
  <c r="H76" i="49" s="1"/>
  <c r="E69" i="49"/>
  <c r="G69" i="49" s="1"/>
  <c r="H69" i="49" s="1"/>
  <c r="E71" i="49"/>
  <c r="G71" i="49" s="1"/>
  <c r="H71" i="49" s="1"/>
  <c r="E72" i="49"/>
  <c r="G72" i="49" s="1"/>
  <c r="H72" i="49" s="1"/>
  <c r="E66" i="49"/>
  <c r="G66" i="49" s="1"/>
  <c r="H66" i="49" s="1"/>
  <c r="E75" i="44"/>
  <c r="G75" i="44" s="1"/>
  <c r="H75" i="44" s="1"/>
  <c r="E76" i="44"/>
  <c r="G76" i="44" s="1"/>
  <c r="H76" i="44" s="1"/>
  <c r="E78" i="44"/>
  <c r="G78" i="44" s="1"/>
  <c r="H78" i="44" s="1"/>
  <c r="E77" i="44"/>
  <c r="G77" i="44" s="1"/>
  <c r="H77" i="44" s="1"/>
  <c r="E70" i="44"/>
  <c r="G70" i="44" s="1"/>
  <c r="H70" i="44" s="1"/>
  <c r="E69" i="44"/>
  <c r="G69" i="44" s="1"/>
  <c r="H69" i="44" s="1"/>
  <c r="E79" i="44"/>
  <c r="G79" i="44" s="1"/>
  <c r="H79" i="44" s="1"/>
  <c r="E73" i="44"/>
  <c r="G73" i="44" s="1"/>
  <c r="H73" i="44" s="1"/>
  <c r="E68" i="44"/>
  <c r="G68" i="44" s="1"/>
  <c r="H68" i="44" s="1"/>
  <c r="E67" i="44"/>
  <c r="G67" i="44" s="1"/>
  <c r="H67" i="44" s="1"/>
  <c r="E66" i="44"/>
  <c r="G66" i="44" s="1"/>
  <c r="H66" i="44" s="1"/>
  <c r="E80" i="44"/>
  <c r="G80" i="44" s="1"/>
  <c r="H80" i="44" s="1"/>
  <c r="E74" i="44"/>
  <c r="G74" i="44" s="1"/>
  <c r="H74" i="44" s="1"/>
  <c r="E71" i="44"/>
  <c r="G71" i="44" s="1"/>
  <c r="H71" i="44" s="1"/>
  <c r="E72" i="44"/>
  <c r="G72" i="44" s="1"/>
  <c r="H72" i="44" s="1"/>
  <c r="C54" i="44"/>
  <c r="D54" i="44" s="1"/>
  <c r="H54" i="43"/>
  <c r="E84" i="43" s="1"/>
  <c r="G84" i="43" s="1"/>
  <c r="H84" i="43" s="1"/>
  <c r="S34" i="42"/>
  <c r="C54" i="21"/>
  <c r="D54" i="21" s="1"/>
  <c r="E68" i="21"/>
  <c r="G68" i="21" s="1"/>
  <c r="H68" i="21" s="1"/>
  <c r="E79" i="21"/>
  <c r="G79" i="21" s="1"/>
  <c r="H79" i="21" s="1"/>
  <c r="E78" i="21"/>
  <c r="G78" i="21" s="1"/>
  <c r="H78" i="21" s="1"/>
  <c r="E80" i="21"/>
  <c r="G80" i="21" s="1"/>
  <c r="H80" i="21" s="1"/>
  <c r="E66" i="21"/>
  <c r="G66" i="21" s="1"/>
  <c r="H66" i="21" s="1"/>
  <c r="E67" i="21"/>
  <c r="G67" i="21" s="1"/>
  <c r="H67" i="21" s="1"/>
  <c r="E70" i="21"/>
  <c r="G70" i="21" s="1"/>
  <c r="H70" i="21" s="1"/>
  <c r="E73" i="21"/>
  <c r="G73" i="21" s="1"/>
  <c r="H73" i="21" s="1"/>
  <c r="E77" i="21"/>
  <c r="G77" i="21" s="1"/>
  <c r="H77" i="21" s="1"/>
  <c r="E69" i="21"/>
  <c r="G69" i="21" s="1"/>
  <c r="H69" i="21" s="1"/>
  <c r="E72" i="21"/>
  <c r="G72" i="21" s="1"/>
  <c r="H72" i="21" s="1"/>
  <c r="E71" i="21"/>
  <c r="G71" i="21" s="1"/>
  <c r="H71" i="21" s="1"/>
  <c r="E74" i="21"/>
  <c r="G74" i="21" s="1"/>
  <c r="H74" i="21" s="1"/>
  <c r="E76" i="21"/>
  <c r="G76" i="21" s="1"/>
  <c r="H76" i="21" s="1"/>
  <c r="E75" i="21"/>
  <c r="G75" i="21" s="1"/>
  <c r="H75" i="21" s="1"/>
  <c r="H54" i="20"/>
  <c r="E65" i="20"/>
  <c r="G65" i="20" s="1"/>
  <c r="H65" i="20" s="1"/>
  <c r="H54" i="18"/>
  <c r="E90" i="18" s="1"/>
  <c r="I54" i="18"/>
  <c r="J55" i="18"/>
  <c r="I55" i="18" s="1"/>
  <c r="E87" i="17"/>
  <c r="G87" i="17" s="1"/>
  <c r="H87" i="17" s="1"/>
  <c r="E88" i="17"/>
  <c r="G88" i="17" s="1"/>
  <c r="H88" i="17" s="1"/>
  <c r="E66" i="17"/>
  <c r="G66" i="17" s="1"/>
  <c r="H66" i="17" s="1"/>
  <c r="E82" i="17"/>
  <c r="G82" i="17" s="1"/>
  <c r="H82" i="17" s="1"/>
  <c r="E83" i="17"/>
  <c r="G83" i="17" s="1"/>
  <c r="H83" i="17" s="1"/>
  <c r="E78" i="17"/>
  <c r="G78" i="17" s="1"/>
  <c r="H78" i="17" s="1"/>
  <c r="E86" i="17"/>
  <c r="G86" i="17" s="1"/>
  <c r="H86" i="17" s="1"/>
  <c r="E81" i="17"/>
  <c r="G81" i="17" s="1"/>
  <c r="H81" i="17" s="1"/>
  <c r="E76" i="17"/>
  <c r="G76" i="17" s="1"/>
  <c r="H76" i="17" s="1"/>
  <c r="E69" i="17"/>
  <c r="G69" i="17" s="1"/>
  <c r="H69" i="17" s="1"/>
  <c r="E79" i="17"/>
  <c r="G79" i="17" s="1"/>
  <c r="H79" i="17" s="1"/>
  <c r="E75" i="17"/>
  <c r="G75" i="17" s="1"/>
  <c r="H75" i="17" s="1"/>
  <c r="E70" i="17"/>
  <c r="G70" i="17" s="1"/>
  <c r="H70" i="17" s="1"/>
  <c r="E68" i="17"/>
  <c r="G68" i="17" s="1"/>
  <c r="H68" i="17" s="1"/>
  <c r="E84" i="17"/>
  <c r="G84" i="17" s="1"/>
  <c r="H84" i="17" s="1"/>
  <c r="E77" i="17"/>
  <c r="G77" i="17" s="1"/>
  <c r="H77" i="17" s="1"/>
  <c r="E71" i="17"/>
  <c r="G71" i="17" s="1"/>
  <c r="H71" i="17" s="1"/>
  <c r="E73" i="17"/>
  <c r="G73" i="17" s="1"/>
  <c r="H73" i="17" s="1"/>
  <c r="E74" i="17"/>
  <c r="G74" i="17" s="1"/>
  <c r="H74" i="17" s="1"/>
  <c r="E85" i="17"/>
  <c r="G85" i="17" s="1"/>
  <c r="H85" i="17" s="1"/>
  <c r="C54" i="16"/>
  <c r="D54" i="16" s="1"/>
  <c r="E72" i="16"/>
  <c r="G72" i="16" s="1"/>
  <c r="H72" i="16" s="1"/>
  <c r="E68" i="16"/>
  <c r="G68" i="16" s="1"/>
  <c r="H68" i="16" s="1"/>
  <c r="E71" i="16"/>
  <c r="G71" i="16" s="1"/>
  <c r="H71" i="16" s="1"/>
  <c r="G66" i="16"/>
  <c r="H66" i="16" s="1"/>
  <c r="E74" i="16"/>
  <c r="G74" i="16" s="1"/>
  <c r="H74" i="16" s="1"/>
  <c r="E69" i="16"/>
  <c r="G69" i="16" s="1"/>
  <c r="H69" i="16" s="1"/>
  <c r="I54" i="3"/>
  <c r="E11" i="40"/>
  <c r="G11" i="40" s="1"/>
  <c r="H11" i="40" s="1"/>
  <c r="K11" i="40" s="1"/>
  <c r="L11" i="40" s="1"/>
  <c r="E7" i="40"/>
  <c r="G7" i="40" s="1"/>
  <c r="H7" i="40" s="1"/>
  <c r="K7" i="40" s="1"/>
  <c r="L7" i="40" s="1"/>
  <c r="E12" i="40"/>
  <c r="G12" i="40" s="1"/>
  <c r="H12" i="40" s="1"/>
  <c r="K12" i="40" s="1"/>
  <c r="L12" i="40" s="1"/>
  <c r="E8" i="40"/>
  <c r="G8" i="40" s="1"/>
  <c r="H8" i="40" s="1"/>
  <c r="K8" i="40" s="1"/>
  <c r="L8" i="40" s="1"/>
  <c r="E14" i="40"/>
  <c r="G14" i="40" s="1"/>
  <c r="H14" i="40" s="1"/>
  <c r="K14" i="40" s="1"/>
  <c r="L14" i="40" s="1"/>
  <c r="E10" i="40"/>
  <c r="G10" i="40" s="1"/>
  <c r="H10" i="40" s="1"/>
  <c r="K10" i="40" s="1"/>
  <c r="L10" i="40" s="1"/>
  <c r="E13" i="40"/>
  <c r="G13" i="40" s="1"/>
  <c r="H13" i="40" s="1"/>
  <c r="K13" i="40" s="1"/>
  <c r="L13" i="40" s="1"/>
  <c r="E6" i="40"/>
  <c r="G6" i="40" s="1"/>
  <c r="H6" i="40" s="1"/>
  <c r="K6" i="40" s="1"/>
  <c r="L6" i="40" s="1"/>
  <c r="E9" i="40"/>
  <c r="G9" i="40" s="1"/>
  <c r="H9" i="40" s="1"/>
  <c r="K9" i="40" s="1"/>
  <c r="L9" i="40" s="1"/>
  <c r="J55" i="37"/>
  <c r="I55" i="37" s="1"/>
  <c r="J55" i="29"/>
  <c r="B126" i="29" s="1"/>
  <c r="I54" i="29"/>
  <c r="E94" i="29"/>
  <c r="G94" i="29" s="1"/>
  <c r="H94" i="29" s="1"/>
  <c r="E89" i="29"/>
  <c r="G89" i="29" s="1"/>
  <c r="H89" i="29" s="1"/>
  <c r="E92" i="29"/>
  <c r="G92" i="29" s="1"/>
  <c r="H92" i="29" s="1"/>
  <c r="E88" i="29"/>
  <c r="G88" i="29" s="1"/>
  <c r="H88" i="29" s="1"/>
  <c r="E100" i="29"/>
  <c r="G100" i="29" s="1"/>
  <c r="H100" i="29" s="1"/>
  <c r="E90" i="29"/>
  <c r="G90" i="29" s="1"/>
  <c r="H90" i="29" s="1"/>
  <c r="E97" i="29"/>
  <c r="G97" i="29" s="1"/>
  <c r="H97" i="29" s="1"/>
  <c r="E93" i="29"/>
  <c r="G93" i="29" s="1"/>
  <c r="H93" i="29" s="1"/>
  <c r="E98" i="29"/>
  <c r="G98" i="29" s="1"/>
  <c r="H98" i="29" s="1"/>
  <c r="E96" i="29"/>
  <c r="G96" i="29" s="1"/>
  <c r="H96" i="29" s="1"/>
  <c r="E95" i="29"/>
  <c r="G95" i="29" s="1"/>
  <c r="H95" i="29" s="1"/>
  <c r="E91" i="29"/>
  <c r="G91" i="29" s="1"/>
  <c r="H91" i="29" s="1"/>
  <c r="E99" i="29"/>
  <c r="G99" i="29" s="1"/>
  <c r="H99" i="29" s="1"/>
  <c r="E101" i="29"/>
  <c r="G101" i="29" s="1"/>
  <c r="H101" i="29" s="1"/>
  <c r="C54" i="28"/>
  <c r="D54" i="28" s="1"/>
  <c r="E74" i="28"/>
  <c r="G74" i="28" s="1"/>
  <c r="H74" i="28" s="1"/>
  <c r="E78" i="28"/>
  <c r="G78" i="28" s="1"/>
  <c r="H78" i="28" s="1"/>
  <c r="E81" i="28"/>
  <c r="G81" i="28" s="1"/>
  <c r="H81" i="28" s="1"/>
  <c r="E76" i="28"/>
  <c r="G76" i="28" s="1"/>
  <c r="H76" i="28" s="1"/>
  <c r="E79" i="28"/>
  <c r="G79" i="28" s="1"/>
  <c r="H79" i="28" s="1"/>
  <c r="E82" i="28"/>
  <c r="G82" i="28" s="1"/>
  <c r="H82" i="28" s="1"/>
  <c r="E69" i="28"/>
  <c r="G69" i="28" s="1"/>
  <c r="H69" i="28" s="1"/>
  <c r="E72" i="28"/>
  <c r="G72" i="28" s="1"/>
  <c r="H72" i="28" s="1"/>
  <c r="E75" i="28"/>
  <c r="G75" i="28" s="1"/>
  <c r="H75" i="28" s="1"/>
  <c r="E71" i="28"/>
  <c r="G71" i="28" s="1"/>
  <c r="H71" i="28" s="1"/>
  <c r="E70" i="28"/>
  <c r="G70" i="28" s="1"/>
  <c r="H70" i="28" s="1"/>
  <c r="E80" i="28"/>
  <c r="G80" i="28" s="1"/>
  <c r="H80" i="28" s="1"/>
  <c r="E83" i="28"/>
  <c r="G83" i="28" s="1"/>
  <c r="H83" i="28" s="1"/>
  <c r="E68" i="28"/>
  <c r="G68" i="28" s="1"/>
  <c r="H68" i="28" s="1"/>
  <c r="E84" i="28"/>
  <c r="G84" i="28" s="1"/>
  <c r="H84" i="28" s="1"/>
  <c r="E66" i="28"/>
  <c r="G66" i="28" s="1"/>
  <c r="H66" i="28" s="1"/>
  <c r="E77" i="28"/>
  <c r="G77" i="28" s="1"/>
  <c r="H77" i="28" s="1"/>
  <c r="E67" i="28"/>
  <c r="G67" i="28" s="1"/>
  <c r="H67" i="28" s="1"/>
  <c r="E73" i="28"/>
  <c r="G73" i="28" s="1"/>
  <c r="H73" i="28" s="1"/>
  <c r="J55" i="21"/>
  <c r="I55" i="21" s="1"/>
  <c r="C54" i="18"/>
  <c r="D54" i="18" s="1"/>
  <c r="E71" i="18"/>
  <c r="G71" i="18" s="1"/>
  <c r="H71" i="18" s="1"/>
  <c r="E80" i="18"/>
  <c r="G80" i="18" s="1"/>
  <c r="H80" i="18" s="1"/>
  <c r="E75" i="18"/>
  <c r="G75" i="18" s="1"/>
  <c r="H75" i="18" s="1"/>
  <c r="E76" i="18"/>
  <c r="G76" i="18" s="1"/>
  <c r="H76" i="18" s="1"/>
  <c r="E77" i="18"/>
  <c r="G77" i="18" s="1"/>
  <c r="H77" i="18" s="1"/>
  <c r="E70" i="18"/>
  <c r="G70" i="18" s="1"/>
  <c r="H70" i="18" s="1"/>
  <c r="E66" i="18"/>
  <c r="G66" i="18" s="1"/>
  <c r="H66" i="18" s="1"/>
  <c r="E74" i="18"/>
  <c r="G74" i="18" s="1"/>
  <c r="H74" i="18" s="1"/>
  <c r="E79" i="18"/>
  <c r="G79" i="18" s="1"/>
  <c r="H79" i="18" s="1"/>
  <c r="E72" i="18"/>
  <c r="G72" i="18" s="1"/>
  <c r="H72" i="18" s="1"/>
  <c r="E68" i="18"/>
  <c r="G68" i="18" s="1"/>
  <c r="H68" i="18" s="1"/>
  <c r="E73" i="18"/>
  <c r="G73" i="18" s="1"/>
  <c r="H73" i="18" s="1"/>
  <c r="E69" i="18"/>
  <c r="G69" i="18" s="1"/>
  <c r="H69" i="18" s="1"/>
  <c r="E78" i="18"/>
  <c r="G78" i="18" s="1"/>
  <c r="H78" i="18" s="1"/>
  <c r="E67" i="18"/>
  <c r="G67" i="18" s="1"/>
  <c r="H67" i="18" s="1"/>
  <c r="C54" i="17"/>
  <c r="D54" i="17" s="1"/>
  <c r="E67" i="17"/>
  <c r="E72" i="17"/>
  <c r="G72" i="17" s="1"/>
  <c r="H72" i="17" s="1"/>
  <c r="E80" i="17"/>
  <c r="G80" i="17" s="1"/>
  <c r="H80" i="17" s="1"/>
  <c r="E73" i="16"/>
  <c r="G73" i="16" s="1"/>
  <c r="H73" i="16" s="1"/>
  <c r="E70" i="16"/>
  <c r="G70" i="16" s="1"/>
  <c r="H70" i="16" s="1"/>
  <c r="E67" i="16"/>
  <c r="G67" i="16" s="1"/>
  <c r="H67" i="16" s="1"/>
  <c r="H54" i="10"/>
  <c r="G65" i="8"/>
  <c r="H65" i="8" s="1"/>
  <c r="H54" i="8"/>
  <c r="E90" i="8" s="1"/>
  <c r="G90" i="8" s="1"/>
  <c r="H90" i="8" s="1"/>
  <c r="C55" i="25"/>
  <c r="D55" i="25" s="1"/>
  <c r="H55" i="17"/>
  <c r="J56" i="23"/>
  <c r="U35" i="5"/>
  <c r="C55" i="5"/>
  <c r="D55" i="5" s="1"/>
  <c r="E5" i="72"/>
  <c r="G5" i="72" s="1"/>
  <c r="H5" i="72" s="1"/>
  <c r="K5" i="72" s="1"/>
  <c r="L5" i="72" s="1"/>
  <c r="S35" i="72" s="1"/>
  <c r="J55" i="65"/>
  <c r="H54" i="59"/>
  <c r="C54" i="73"/>
  <c r="D54" i="73" s="1"/>
  <c r="E70" i="73"/>
  <c r="G70" i="73" s="1"/>
  <c r="H70" i="73" s="1"/>
  <c r="E69" i="73"/>
  <c r="G69" i="73" s="1"/>
  <c r="H69" i="73" s="1"/>
  <c r="E67" i="73"/>
  <c r="G67" i="73" s="1"/>
  <c r="H67" i="73" s="1"/>
  <c r="E68" i="73"/>
  <c r="G68" i="73" s="1"/>
  <c r="H68" i="73" s="1"/>
  <c r="H54" i="62"/>
  <c r="H55" i="62" s="1"/>
  <c r="T35" i="58"/>
  <c r="AB30" i="58" s="1"/>
  <c r="AB31" i="58" s="1"/>
  <c r="E72" i="58"/>
  <c r="G72" i="58" s="1"/>
  <c r="H72" i="58" s="1"/>
  <c r="E66" i="58"/>
  <c r="G66" i="58" s="1"/>
  <c r="H66" i="58" s="1"/>
  <c r="E67" i="58"/>
  <c r="G67" i="58" s="1"/>
  <c r="H67" i="58" s="1"/>
  <c r="E76" i="58"/>
  <c r="G76" i="58" s="1"/>
  <c r="H76" i="58" s="1"/>
  <c r="E74" i="58"/>
  <c r="G74" i="58" s="1"/>
  <c r="H74" i="58" s="1"/>
  <c r="E77" i="58"/>
  <c r="G77" i="58" s="1"/>
  <c r="H77" i="58" s="1"/>
  <c r="C54" i="58"/>
  <c r="D54" i="58" s="1"/>
  <c r="E71" i="58"/>
  <c r="G71" i="58" s="1"/>
  <c r="H71" i="58" s="1"/>
  <c r="E78" i="58"/>
  <c r="G78" i="58" s="1"/>
  <c r="H78" i="58" s="1"/>
  <c r="E70" i="58"/>
  <c r="G70" i="58" s="1"/>
  <c r="H70" i="58" s="1"/>
  <c r="E79" i="58"/>
  <c r="G79" i="58" s="1"/>
  <c r="H79" i="58" s="1"/>
  <c r="E75" i="58"/>
  <c r="G75" i="58" s="1"/>
  <c r="H75" i="58" s="1"/>
  <c r="E73" i="58"/>
  <c r="G73" i="58" s="1"/>
  <c r="H73" i="58" s="1"/>
  <c r="E68" i="58"/>
  <c r="G68" i="58" s="1"/>
  <c r="H68" i="58" s="1"/>
  <c r="E69" i="58"/>
  <c r="G69" i="58" s="1"/>
  <c r="H69" i="58" s="1"/>
  <c r="E80" i="58"/>
  <c r="G80" i="58" s="1"/>
  <c r="H80" i="58" s="1"/>
  <c r="E81" i="58"/>
  <c r="G81" i="58" s="1"/>
  <c r="H81" i="58" s="1"/>
  <c r="H55" i="49"/>
  <c r="E85" i="49"/>
  <c r="G85" i="49" s="1"/>
  <c r="H85" i="49" s="1"/>
  <c r="I54" i="56"/>
  <c r="J55" i="56"/>
  <c r="I55" i="56" s="1"/>
  <c r="D85" i="56"/>
  <c r="D65" i="56"/>
  <c r="I54" i="65"/>
  <c r="E5" i="65"/>
  <c r="G5" i="65" s="1"/>
  <c r="H5" i="65" s="1"/>
  <c r="K5" i="65" s="1"/>
  <c r="L5" i="65" s="1"/>
  <c r="S35" i="65" s="1"/>
  <c r="AA30" i="65" s="1"/>
  <c r="H53" i="65"/>
  <c r="I54" i="58"/>
  <c r="J55" i="58"/>
  <c r="I55" i="58" s="1"/>
  <c r="H52" i="58"/>
  <c r="D88" i="58"/>
  <c r="D65" i="58"/>
  <c r="I54" i="74"/>
  <c r="J55" i="74"/>
  <c r="B131" i="74" s="1"/>
  <c r="D88" i="74"/>
  <c r="D65" i="74"/>
  <c r="H52" i="74"/>
  <c r="D113" i="74"/>
  <c r="H54" i="73"/>
  <c r="H55" i="73" s="1"/>
  <c r="H5" i="73"/>
  <c r="G65" i="73"/>
  <c r="H51" i="56"/>
  <c r="H51" i="74"/>
  <c r="J54" i="47"/>
  <c r="B107" i="47" s="1"/>
  <c r="I53" i="47"/>
  <c r="H52" i="47"/>
  <c r="D89" i="47"/>
  <c r="D65" i="47"/>
  <c r="H54" i="67"/>
  <c r="H55" i="67" s="1"/>
  <c r="I54" i="67"/>
  <c r="J55" i="67"/>
  <c r="I55" i="67" s="1"/>
  <c r="E67" i="43"/>
  <c r="G67" i="43" s="1"/>
  <c r="H67" i="43" s="1"/>
  <c r="E70" i="43"/>
  <c r="G70" i="43" s="1"/>
  <c r="H70" i="43" s="1"/>
  <c r="E76" i="43"/>
  <c r="G76" i="43" s="1"/>
  <c r="H76" i="43" s="1"/>
  <c r="E77" i="43"/>
  <c r="G77" i="43" s="1"/>
  <c r="H77" i="43" s="1"/>
  <c r="E72" i="43"/>
  <c r="G72" i="43" s="1"/>
  <c r="H72" i="43" s="1"/>
  <c r="E69" i="43"/>
  <c r="G69" i="43" s="1"/>
  <c r="H69" i="43" s="1"/>
  <c r="E73" i="43"/>
  <c r="G73" i="43" s="1"/>
  <c r="H73" i="43" s="1"/>
  <c r="E74" i="43"/>
  <c r="G74" i="43" s="1"/>
  <c r="H74" i="43" s="1"/>
  <c r="E66" i="43"/>
  <c r="G66" i="43" s="1"/>
  <c r="H66" i="43" s="1"/>
  <c r="E68" i="43"/>
  <c r="G68" i="43" s="1"/>
  <c r="H68" i="43" s="1"/>
  <c r="E71" i="43"/>
  <c r="G71" i="43" s="1"/>
  <c r="H71" i="43" s="1"/>
  <c r="E75" i="43"/>
  <c r="G75" i="43" s="1"/>
  <c r="H75" i="43" s="1"/>
  <c r="C54" i="43"/>
  <c r="D54" i="43" s="1"/>
  <c r="C53" i="32"/>
  <c r="D53" i="32" s="1"/>
  <c r="C55" i="29"/>
  <c r="D55" i="29" s="1"/>
  <c r="C55" i="50"/>
  <c r="E90" i="50"/>
  <c r="G90" i="50" s="1"/>
  <c r="H90" i="50" s="1"/>
  <c r="E91" i="50"/>
  <c r="G91" i="50" s="1"/>
  <c r="H91" i="50" s="1"/>
  <c r="E92" i="50"/>
  <c r="G92" i="50" s="1"/>
  <c r="H92" i="50" s="1"/>
  <c r="E93" i="50"/>
  <c r="G93" i="50" s="1"/>
  <c r="H93" i="50" s="1"/>
  <c r="E94" i="50"/>
  <c r="G94" i="50" s="1"/>
  <c r="H94" i="50" s="1"/>
  <c r="E95" i="50"/>
  <c r="G95" i="50" s="1"/>
  <c r="H95" i="50" s="1"/>
  <c r="E96" i="50"/>
  <c r="G96" i="50" s="1"/>
  <c r="H96" i="50" s="1"/>
  <c r="E97" i="50"/>
  <c r="G97" i="50" s="1"/>
  <c r="H97" i="50" s="1"/>
  <c r="E98" i="50"/>
  <c r="G98" i="50" s="1"/>
  <c r="H98" i="50" s="1"/>
  <c r="E99" i="50"/>
  <c r="G99" i="50" s="1"/>
  <c r="H99" i="50" s="1"/>
  <c r="E100" i="50"/>
  <c r="G100" i="50" s="1"/>
  <c r="H100" i="50" s="1"/>
  <c r="E101" i="50"/>
  <c r="G101" i="50" s="1"/>
  <c r="H101" i="50" s="1"/>
  <c r="E102" i="50"/>
  <c r="G102" i="50" s="1"/>
  <c r="H102" i="50" s="1"/>
  <c r="E103" i="50"/>
  <c r="G103" i="50" s="1"/>
  <c r="H103" i="50" s="1"/>
  <c r="E104" i="50"/>
  <c r="G104" i="50" s="1"/>
  <c r="H104" i="50" s="1"/>
  <c r="I54" i="33"/>
  <c r="J55" i="33"/>
  <c r="I55" i="33" s="1"/>
  <c r="D65" i="33"/>
  <c r="H51" i="33"/>
  <c r="T35" i="32"/>
  <c r="U35" i="32" s="1"/>
  <c r="H55" i="30"/>
  <c r="E76" i="33"/>
  <c r="G76" i="33" s="1"/>
  <c r="H76" i="33" s="1"/>
  <c r="E71" i="33"/>
  <c r="G71" i="33" s="1"/>
  <c r="H71" i="33" s="1"/>
  <c r="E66" i="33"/>
  <c r="G66" i="33" s="1"/>
  <c r="H66" i="33" s="1"/>
  <c r="E72" i="33"/>
  <c r="G72" i="33" s="1"/>
  <c r="H72" i="33" s="1"/>
  <c r="E82" i="33"/>
  <c r="G82" i="33" s="1"/>
  <c r="H82" i="33" s="1"/>
  <c r="E70" i="33"/>
  <c r="G70" i="33" s="1"/>
  <c r="H70" i="33" s="1"/>
  <c r="E67" i="33"/>
  <c r="G67" i="33" s="1"/>
  <c r="H67" i="33" s="1"/>
  <c r="E85" i="33"/>
  <c r="G85" i="33" s="1"/>
  <c r="H85" i="33" s="1"/>
  <c r="E80" i="33"/>
  <c r="G80" i="33" s="1"/>
  <c r="H80" i="33" s="1"/>
  <c r="E79" i="33"/>
  <c r="G79" i="33" s="1"/>
  <c r="H79" i="33" s="1"/>
  <c r="E69" i="33"/>
  <c r="G69" i="33" s="1"/>
  <c r="H69" i="33" s="1"/>
  <c r="E77" i="33"/>
  <c r="G77" i="33" s="1"/>
  <c r="H77" i="33" s="1"/>
  <c r="E75" i="33"/>
  <c r="G75" i="33" s="1"/>
  <c r="H75" i="33" s="1"/>
  <c r="E74" i="33"/>
  <c r="G74" i="33" s="1"/>
  <c r="H74" i="33" s="1"/>
  <c r="E83" i="33"/>
  <c r="G83" i="33" s="1"/>
  <c r="H83" i="33" s="1"/>
  <c r="E81" i="33"/>
  <c r="G81" i="33" s="1"/>
  <c r="H81" i="33" s="1"/>
  <c r="E78" i="33"/>
  <c r="G78" i="33" s="1"/>
  <c r="H78" i="33" s="1"/>
  <c r="E68" i="33"/>
  <c r="G68" i="33" s="1"/>
  <c r="H68" i="33" s="1"/>
  <c r="E73" i="33"/>
  <c r="G73" i="33" s="1"/>
  <c r="H73" i="33" s="1"/>
  <c r="E84" i="33"/>
  <c r="G84" i="33" s="1"/>
  <c r="H84" i="33" s="1"/>
  <c r="AB30" i="33"/>
  <c r="E91" i="27"/>
  <c r="G91" i="27" s="1"/>
  <c r="H91" i="27" s="1"/>
  <c r="E96" i="27"/>
  <c r="G96" i="27" s="1"/>
  <c r="H96" i="27" s="1"/>
  <c r="E98" i="27"/>
  <c r="G98" i="27" s="1"/>
  <c r="H98" i="27" s="1"/>
  <c r="E89" i="27"/>
  <c r="G89" i="27" s="1"/>
  <c r="H89" i="27" s="1"/>
  <c r="E92" i="27"/>
  <c r="G92" i="27" s="1"/>
  <c r="H92" i="27" s="1"/>
  <c r="E94" i="27"/>
  <c r="G94" i="27" s="1"/>
  <c r="H94" i="27" s="1"/>
  <c r="E97" i="27"/>
  <c r="G97" i="27" s="1"/>
  <c r="H97" i="27" s="1"/>
  <c r="E100" i="27"/>
  <c r="G100" i="27" s="1"/>
  <c r="H100" i="27" s="1"/>
  <c r="E102" i="27"/>
  <c r="G102" i="27" s="1"/>
  <c r="H102" i="27" s="1"/>
  <c r="E90" i="27"/>
  <c r="G90" i="27" s="1"/>
  <c r="H90" i="27" s="1"/>
  <c r="E93" i="27"/>
  <c r="G93" i="27" s="1"/>
  <c r="H93" i="27" s="1"/>
  <c r="E95" i="27"/>
  <c r="G95" i="27" s="1"/>
  <c r="H95" i="27" s="1"/>
  <c r="E99" i="27"/>
  <c r="G99" i="27" s="1"/>
  <c r="H99" i="27" s="1"/>
  <c r="E101" i="27"/>
  <c r="G101" i="27" s="1"/>
  <c r="H101" i="27" s="1"/>
  <c r="C55" i="26"/>
  <c r="D55" i="26" s="1"/>
  <c r="G67" i="20"/>
  <c r="H67" i="20" s="1"/>
  <c r="C55" i="20"/>
  <c r="D55" i="20" s="1"/>
  <c r="E94" i="20"/>
  <c r="G94" i="20" s="1"/>
  <c r="H94" i="20" s="1"/>
  <c r="C54" i="19"/>
  <c r="D54" i="19" s="1"/>
  <c r="E66" i="10"/>
  <c r="G66" i="10" s="1"/>
  <c r="H66" i="10" s="1"/>
  <c r="E65" i="10"/>
  <c r="C55" i="8"/>
  <c r="B113" i="8" s="1"/>
  <c r="E78" i="77"/>
  <c r="G78" i="77" s="1"/>
  <c r="H78" i="77" s="1"/>
  <c r="E77" i="77"/>
  <c r="G77" i="77" s="1"/>
  <c r="H77" i="77" s="1"/>
  <c r="E79" i="77"/>
  <c r="G79" i="77" s="1"/>
  <c r="H79" i="77" s="1"/>
  <c r="E81" i="77"/>
  <c r="G81" i="77" s="1"/>
  <c r="H81" i="77" s="1"/>
  <c r="E80" i="77"/>
  <c r="G80" i="77" s="1"/>
  <c r="H80" i="77" s="1"/>
  <c r="E82" i="77"/>
  <c r="G82" i="77" s="1"/>
  <c r="H82" i="77" s="1"/>
  <c r="AC30" i="77"/>
  <c r="AC25" i="77" s="1"/>
  <c r="I56" i="10"/>
  <c r="E67" i="10"/>
  <c r="G67" i="10" s="1"/>
  <c r="H67" i="10" s="1"/>
  <c r="E69" i="10"/>
  <c r="G69" i="10" s="1"/>
  <c r="H69" i="10" s="1"/>
  <c r="E68" i="10"/>
  <c r="G68" i="10" s="1"/>
  <c r="H68" i="10" s="1"/>
  <c r="I54" i="7"/>
  <c r="H52" i="7"/>
  <c r="D109" i="7"/>
  <c r="J55" i="7"/>
  <c r="B125" i="7" s="1"/>
  <c r="E92" i="7"/>
  <c r="G92" i="7" s="1"/>
  <c r="H92" i="7" s="1"/>
  <c r="E102" i="7"/>
  <c r="G102" i="7" s="1"/>
  <c r="H102" i="7" s="1"/>
  <c r="E101" i="7"/>
  <c r="G101" i="7" s="1"/>
  <c r="H101" i="7" s="1"/>
  <c r="E89" i="7"/>
  <c r="G89" i="7" s="1"/>
  <c r="H89" i="7" s="1"/>
  <c r="E96" i="7"/>
  <c r="G96" i="7" s="1"/>
  <c r="H96" i="7" s="1"/>
  <c r="E95" i="7"/>
  <c r="G95" i="7" s="1"/>
  <c r="H95" i="7" s="1"/>
  <c r="E91" i="7"/>
  <c r="G91" i="7" s="1"/>
  <c r="H91" i="7" s="1"/>
  <c r="E100" i="7"/>
  <c r="G100" i="7" s="1"/>
  <c r="H100" i="7" s="1"/>
  <c r="E99" i="7"/>
  <c r="G99" i="7" s="1"/>
  <c r="H99" i="7" s="1"/>
  <c r="E94" i="7"/>
  <c r="G94" i="7" s="1"/>
  <c r="H94" i="7" s="1"/>
  <c r="E90" i="7"/>
  <c r="G90" i="7" s="1"/>
  <c r="H90" i="7" s="1"/>
  <c r="E97" i="7"/>
  <c r="G97" i="7" s="1"/>
  <c r="H97" i="7" s="1"/>
  <c r="E98" i="7"/>
  <c r="G98" i="7" s="1"/>
  <c r="H98" i="7" s="1"/>
  <c r="E93" i="7"/>
  <c r="G93" i="7" s="1"/>
  <c r="H93" i="7" s="1"/>
  <c r="H51" i="7"/>
  <c r="H53" i="69"/>
  <c r="E65" i="69" s="1"/>
  <c r="G65" i="69" s="1"/>
  <c r="H65" i="69" s="1"/>
  <c r="E5" i="69"/>
  <c r="G5" i="69" s="1"/>
  <c r="H5" i="69" s="1"/>
  <c r="K5" i="69" s="1"/>
  <c r="L5" i="69" s="1"/>
  <c r="S35" i="69" s="1"/>
  <c r="J55" i="25"/>
  <c r="I55" i="25" s="1"/>
  <c r="I54" i="25"/>
  <c r="E98" i="45"/>
  <c r="G98" i="45" s="1"/>
  <c r="H98" i="45" s="1"/>
  <c r="E94" i="45"/>
  <c r="G94" i="45" s="1"/>
  <c r="H94" i="45" s="1"/>
  <c r="E95" i="45"/>
  <c r="G95" i="45" s="1"/>
  <c r="H95" i="45" s="1"/>
  <c r="E93" i="45"/>
  <c r="G93" i="45" s="1"/>
  <c r="H93" i="45" s="1"/>
  <c r="C55" i="45"/>
  <c r="D55" i="45" s="1"/>
  <c r="E99" i="45"/>
  <c r="G99" i="45" s="1"/>
  <c r="H99" i="45" s="1"/>
  <c r="E91" i="45"/>
  <c r="G91" i="45" s="1"/>
  <c r="H91" i="45" s="1"/>
  <c r="E96" i="45"/>
  <c r="G96" i="45" s="1"/>
  <c r="H96" i="45" s="1"/>
  <c r="E103" i="45"/>
  <c r="G103" i="45" s="1"/>
  <c r="H103" i="45" s="1"/>
  <c r="E100" i="45"/>
  <c r="G100" i="45" s="1"/>
  <c r="H100" i="45" s="1"/>
  <c r="E105" i="45"/>
  <c r="G105" i="45" s="1"/>
  <c r="H105" i="45" s="1"/>
  <c r="E92" i="45"/>
  <c r="G92" i="45" s="1"/>
  <c r="H92" i="45" s="1"/>
  <c r="E104" i="45"/>
  <c r="G104" i="45" s="1"/>
  <c r="H104" i="45" s="1"/>
  <c r="E102" i="45"/>
  <c r="G102" i="45" s="1"/>
  <c r="H102" i="45" s="1"/>
  <c r="E69" i="51"/>
  <c r="G69" i="51" s="1"/>
  <c r="H69" i="51" s="1"/>
  <c r="E67" i="51"/>
  <c r="G67" i="51" s="1"/>
  <c r="H67" i="51" s="1"/>
  <c r="E71" i="51"/>
  <c r="G71" i="51" s="1"/>
  <c r="H71" i="51" s="1"/>
  <c r="E65" i="51"/>
  <c r="G65" i="51" s="1"/>
  <c r="H65" i="51" s="1"/>
  <c r="E66" i="51"/>
  <c r="G66" i="51" s="1"/>
  <c r="H66" i="51" s="1"/>
  <c r="E70" i="51"/>
  <c r="G70" i="51" s="1"/>
  <c r="H70" i="51" s="1"/>
  <c r="E73" i="51"/>
  <c r="G73" i="51" s="1"/>
  <c r="H73" i="51" s="1"/>
  <c r="E68" i="51"/>
  <c r="G68" i="51" s="1"/>
  <c r="H68" i="51" s="1"/>
  <c r="E72" i="51"/>
  <c r="G72" i="51" s="1"/>
  <c r="H72" i="51" s="1"/>
  <c r="E75" i="51"/>
  <c r="G75" i="51" s="1"/>
  <c r="H75" i="51" s="1"/>
  <c r="E77" i="51"/>
  <c r="G77" i="51" s="1"/>
  <c r="H77" i="51" s="1"/>
  <c r="E74" i="51"/>
  <c r="G74" i="51" s="1"/>
  <c r="H74" i="51" s="1"/>
  <c r="E76" i="51"/>
  <c r="G76" i="51" s="1"/>
  <c r="H76" i="51" s="1"/>
  <c r="I55" i="51"/>
  <c r="H54" i="51"/>
  <c r="C53" i="60"/>
  <c r="E67" i="60" s="1"/>
  <c r="I54" i="60"/>
  <c r="I55" i="35"/>
  <c r="H54" i="35"/>
  <c r="E66" i="35"/>
  <c r="G66" i="35" s="1"/>
  <c r="H66" i="35" s="1"/>
  <c r="E67" i="35"/>
  <c r="G67" i="35" s="1"/>
  <c r="H67" i="35" s="1"/>
  <c r="E68" i="35"/>
  <c r="G68" i="35" s="1"/>
  <c r="H68" i="35" s="1"/>
  <c r="E69" i="35"/>
  <c r="G69" i="35" s="1"/>
  <c r="H69" i="35" s="1"/>
  <c r="E65" i="35"/>
  <c r="G65" i="35" s="1"/>
  <c r="H65" i="35" s="1"/>
  <c r="AB30" i="35"/>
  <c r="AC30" i="35" s="1"/>
  <c r="AC25" i="35" s="1"/>
  <c r="C55" i="27"/>
  <c r="E6" i="78"/>
  <c r="G6" i="78" s="1"/>
  <c r="H6" i="78" s="1"/>
  <c r="K6" i="78" s="1"/>
  <c r="L6" i="78" s="1"/>
  <c r="E7" i="78"/>
  <c r="G7" i="78" s="1"/>
  <c r="H7" i="78" s="1"/>
  <c r="K7" i="78" s="1"/>
  <c r="L7" i="78" s="1"/>
  <c r="E8" i="78"/>
  <c r="G8" i="78" s="1"/>
  <c r="H8" i="78" s="1"/>
  <c r="K8" i="78" s="1"/>
  <c r="L8" i="78" s="1"/>
  <c r="E9" i="78"/>
  <c r="G9" i="78" s="1"/>
  <c r="H9" i="78" s="1"/>
  <c r="K9" i="78" s="1"/>
  <c r="L9" i="78" s="1"/>
  <c r="E11" i="78"/>
  <c r="G11" i="78" s="1"/>
  <c r="H11" i="78" s="1"/>
  <c r="K11" i="78" s="1"/>
  <c r="L11" i="78" s="1"/>
  <c r="E10" i="78"/>
  <c r="G10" i="78" s="1"/>
  <c r="H10" i="78" s="1"/>
  <c r="K10" i="78" s="1"/>
  <c r="L10" i="78" s="1"/>
  <c r="E13" i="78"/>
  <c r="G13" i="78" s="1"/>
  <c r="H13" i="78" s="1"/>
  <c r="K13" i="78" s="1"/>
  <c r="L13" i="78" s="1"/>
  <c r="E14" i="78"/>
  <c r="G14" i="78" s="1"/>
  <c r="H14" i="78" s="1"/>
  <c r="K14" i="78" s="1"/>
  <c r="L14" i="78" s="1"/>
  <c r="E12" i="78"/>
  <c r="G12" i="78" s="1"/>
  <c r="H12" i="78" s="1"/>
  <c r="K12" i="78" s="1"/>
  <c r="L12" i="78" s="1"/>
  <c r="E11" i="55"/>
  <c r="G11" i="55" s="1"/>
  <c r="H11" i="55" s="1"/>
  <c r="K11" i="55" s="1"/>
  <c r="L11" i="55" s="1"/>
  <c r="E8" i="55"/>
  <c r="G8" i="55" s="1"/>
  <c r="H8" i="55" s="1"/>
  <c r="K8" i="55" s="1"/>
  <c r="L8" i="55" s="1"/>
  <c r="E7" i="55"/>
  <c r="G7" i="55" s="1"/>
  <c r="H7" i="55" s="1"/>
  <c r="K7" i="55" s="1"/>
  <c r="L7" i="55" s="1"/>
  <c r="E9" i="55"/>
  <c r="G9" i="55" s="1"/>
  <c r="H9" i="55" s="1"/>
  <c r="K9" i="55" s="1"/>
  <c r="L9" i="55" s="1"/>
  <c r="E6" i="55"/>
  <c r="G6" i="55" s="1"/>
  <c r="H6" i="55" s="1"/>
  <c r="K6" i="55" s="1"/>
  <c r="L6" i="55" s="1"/>
  <c r="E10" i="55"/>
  <c r="G10" i="55" s="1"/>
  <c r="H10" i="55" s="1"/>
  <c r="K10" i="55" s="1"/>
  <c r="L10" i="55" s="1"/>
  <c r="E14" i="55"/>
  <c r="G14" i="55" s="1"/>
  <c r="H14" i="55" s="1"/>
  <c r="K14" i="55" s="1"/>
  <c r="L14" i="55" s="1"/>
  <c r="E13" i="55"/>
  <c r="G13" i="55" s="1"/>
  <c r="H13" i="55" s="1"/>
  <c r="K13" i="55" s="1"/>
  <c r="L13" i="55" s="1"/>
  <c r="E12" i="55"/>
  <c r="G12" i="55" s="1"/>
  <c r="H12" i="55" s="1"/>
  <c r="K12" i="55" s="1"/>
  <c r="L12" i="55" s="1"/>
  <c r="E12" i="54"/>
  <c r="G12" i="54" s="1"/>
  <c r="H12" i="54" s="1"/>
  <c r="K12" i="54" s="1"/>
  <c r="L12" i="54" s="1"/>
  <c r="E7" i="54"/>
  <c r="G7" i="54" s="1"/>
  <c r="H7" i="54" s="1"/>
  <c r="K7" i="54" s="1"/>
  <c r="L7" i="54" s="1"/>
  <c r="E6" i="54"/>
  <c r="G6" i="54" s="1"/>
  <c r="H6" i="54" s="1"/>
  <c r="K6" i="54" s="1"/>
  <c r="L6" i="54" s="1"/>
  <c r="E10" i="54"/>
  <c r="G10" i="54" s="1"/>
  <c r="H10" i="54" s="1"/>
  <c r="K10" i="54" s="1"/>
  <c r="L10" i="54" s="1"/>
  <c r="E11" i="54"/>
  <c r="G11" i="54" s="1"/>
  <c r="H11" i="54" s="1"/>
  <c r="K11" i="54" s="1"/>
  <c r="L11" i="54" s="1"/>
  <c r="E9" i="54"/>
  <c r="G9" i="54" s="1"/>
  <c r="H9" i="54" s="1"/>
  <c r="K9" i="54" s="1"/>
  <c r="L9" i="54" s="1"/>
  <c r="E8" i="54"/>
  <c r="G8" i="54" s="1"/>
  <c r="H8" i="54" s="1"/>
  <c r="K8" i="54" s="1"/>
  <c r="L8" i="54" s="1"/>
  <c r="G66" i="39"/>
  <c r="H66" i="39" s="1"/>
  <c r="G69" i="39"/>
  <c r="H69" i="39" s="1"/>
  <c r="G68" i="39"/>
  <c r="H68" i="39" s="1"/>
  <c r="G71" i="39"/>
  <c r="H71" i="39" s="1"/>
  <c r="G70" i="39"/>
  <c r="H70" i="39" s="1"/>
  <c r="G67" i="39"/>
  <c r="H67" i="39" s="1"/>
  <c r="E12" i="38"/>
  <c r="G12" i="38" s="1"/>
  <c r="H12" i="38" s="1"/>
  <c r="K12" i="38" s="1"/>
  <c r="L12" i="38" s="1"/>
  <c r="E11" i="38"/>
  <c r="G11" i="38" s="1"/>
  <c r="H11" i="38" s="1"/>
  <c r="K11" i="38" s="1"/>
  <c r="L11" i="38" s="1"/>
  <c r="E9" i="38"/>
  <c r="G9" i="38" s="1"/>
  <c r="H9" i="38" s="1"/>
  <c r="K9" i="38" s="1"/>
  <c r="L9" i="38" s="1"/>
  <c r="E7" i="38"/>
  <c r="G7" i="38" s="1"/>
  <c r="H7" i="38" s="1"/>
  <c r="K7" i="38" s="1"/>
  <c r="L7" i="38" s="1"/>
  <c r="E8" i="38"/>
  <c r="G8" i="38" s="1"/>
  <c r="H8" i="38" s="1"/>
  <c r="K8" i="38" s="1"/>
  <c r="L8" i="38" s="1"/>
  <c r="E10" i="38"/>
  <c r="G10" i="38" s="1"/>
  <c r="H10" i="38" s="1"/>
  <c r="K10" i="38" s="1"/>
  <c r="L10" i="38" s="1"/>
  <c r="E6" i="38"/>
  <c r="G6" i="38" s="1"/>
  <c r="H6" i="38" s="1"/>
  <c r="K6" i="38" s="1"/>
  <c r="L6" i="38" s="1"/>
  <c r="T35" i="31"/>
  <c r="AC25" i="31" s="1"/>
  <c r="E11" i="14"/>
  <c r="G11" i="14" s="1"/>
  <c r="H11" i="14" s="1"/>
  <c r="K11" i="14" s="1"/>
  <c r="L11" i="14" s="1"/>
  <c r="E10" i="14"/>
  <c r="G10" i="14" s="1"/>
  <c r="H10" i="14" s="1"/>
  <c r="K10" i="14" s="1"/>
  <c r="L10" i="14" s="1"/>
  <c r="E7" i="14"/>
  <c r="G7" i="14" s="1"/>
  <c r="H7" i="14" s="1"/>
  <c r="K7" i="14" s="1"/>
  <c r="L7" i="14" s="1"/>
  <c r="E12" i="14"/>
  <c r="G12" i="14" s="1"/>
  <c r="H12" i="14" s="1"/>
  <c r="K12" i="14" s="1"/>
  <c r="L12" i="14" s="1"/>
  <c r="E9" i="14"/>
  <c r="G9" i="14" s="1"/>
  <c r="H9" i="14" s="1"/>
  <c r="K9" i="14" s="1"/>
  <c r="L9" i="14" s="1"/>
  <c r="E8" i="14"/>
  <c r="G8" i="14" s="1"/>
  <c r="H8" i="14" s="1"/>
  <c r="K8" i="14" s="1"/>
  <c r="L8" i="14" s="1"/>
  <c r="E6" i="14"/>
  <c r="G6" i="14" s="1"/>
  <c r="H6" i="14" s="1"/>
  <c r="K6" i="14" s="1"/>
  <c r="L6" i="14" s="1"/>
  <c r="E12" i="13"/>
  <c r="G12" i="13" s="1"/>
  <c r="H12" i="13" s="1"/>
  <c r="K12" i="13" s="1"/>
  <c r="L12" i="13" s="1"/>
  <c r="E13" i="13"/>
  <c r="G13" i="13" s="1"/>
  <c r="H13" i="13" s="1"/>
  <c r="K13" i="13" s="1"/>
  <c r="L13" i="13" s="1"/>
  <c r="E11" i="13"/>
  <c r="G11" i="13" s="1"/>
  <c r="H11" i="13" s="1"/>
  <c r="K11" i="13" s="1"/>
  <c r="L11" i="13" s="1"/>
  <c r="E8" i="13"/>
  <c r="G8" i="13" s="1"/>
  <c r="H8" i="13" s="1"/>
  <c r="K8" i="13" s="1"/>
  <c r="L8" i="13" s="1"/>
  <c r="E6" i="13"/>
  <c r="G6" i="13" s="1"/>
  <c r="H6" i="13" s="1"/>
  <c r="K6" i="13" s="1"/>
  <c r="L6" i="13" s="1"/>
  <c r="E14" i="13"/>
  <c r="G14" i="13" s="1"/>
  <c r="H14" i="13" s="1"/>
  <c r="K14" i="13" s="1"/>
  <c r="L14" i="13" s="1"/>
  <c r="E10" i="13"/>
  <c r="G10" i="13" s="1"/>
  <c r="H10" i="13" s="1"/>
  <c r="K10" i="13" s="1"/>
  <c r="L10" i="13" s="1"/>
  <c r="E9" i="13"/>
  <c r="G9" i="13" s="1"/>
  <c r="H9" i="13" s="1"/>
  <c r="K9" i="13" s="1"/>
  <c r="L9" i="13" s="1"/>
  <c r="E7" i="13"/>
  <c r="G7" i="13" s="1"/>
  <c r="H7" i="13" s="1"/>
  <c r="K7" i="13" s="1"/>
  <c r="L7" i="13" s="1"/>
  <c r="G72" i="12"/>
  <c r="H72" i="12" s="1"/>
  <c r="G66" i="12"/>
  <c r="H66" i="12" s="1"/>
  <c r="G71" i="12"/>
  <c r="H71" i="12" s="1"/>
  <c r="G68" i="12"/>
  <c r="H68" i="12" s="1"/>
  <c r="G69" i="12"/>
  <c r="H69" i="12" s="1"/>
  <c r="G65" i="12"/>
  <c r="H65" i="12" s="1"/>
  <c r="G67" i="12"/>
  <c r="H67" i="12" s="1"/>
  <c r="G70" i="12"/>
  <c r="H70" i="12" s="1"/>
  <c r="C53" i="37"/>
  <c r="D53" i="37" s="1"/>
  <c r="E71" i="23"/>
  <c r="G71" i="23" s="1"/>
  <c r="H71" i="23" s="1"/>
  <c r="E69" i="23"/>
  <c r="G69" i="23" s="1"/>
  <c r="H69" i="23" s="1"/>
  <c r="E77" i="23"/>
  <c r="G77" i="23" s="1"/>
  <c r="H77" i="23" s="1"/>
  <c r="E66" i="23"/>
  <c r="G66" i="23" s="1"/>
  <c r="H66" i="23" s="1"/>
  <c r="E74" i="23"/>
  <c r="G74" i="23" s="1"/>
  <c r="H74" i="23" s="1"/>
  <c r="E72" i="23"/>
  <c r="G72" i="23" s="1"/>
  <c r="H72" i="23" s="1"/>
  <c r="E67" i="23"/>
  <c r="G67" i="23" s="1"/>
  <c r="H67" i="23" s="1"/>
  <c r="E75" i="23"/>
  <c r="G75" i="23" s="1"/>
  <c r="H75" i="23" s="1"/>
  <c r="E65" i="23"/>
  <c r="G65" i="23" s="1"/>
  <c r="H65" i="23" s="1"/>
  <c r="E70" i="23"/>
  <c r="G70" i="23" s="1"/>
  <c r="H70" i="23" s="1"/>
  <c r="E78" i="23"/>
  <c r="G78" i="23" s="1"/>
  <c r="H78" i="23" s="1"/>
  <c r="E73" i="23"/>
  <c r="G73" i="23" s="1"/>
  <c r="H73" i="23" s="1"/>
  <c r="E68" i="23"/>
  <c r="G68" i="23" s="1"/>
  <c r="H68" i="23" s="1"/>
  <c r="E76" i="23"/>
  <c r="G76" i="23" s="1"/>
  <c r="H76" i="23" s="1"/>
  <c r="E90" i="20"/>
  <c r="G90" i="20" s="1"/>
  <c r="H90" i="20" s="1"/>
  <c r="E98" i="20"/>
  <c r="G98" i="20" s="1"/>
  <c r="H98" i="20" s="1"/>
  <c r="E93" i="20"/>
  <c r="G93" i="20" s="1"/>
  <c r="H93" i="20" s="1"/>
  <c r="E101" i="20"/>
  <c r="G101" i="20" s="1"/>
  <c r="H101" i="20" s="1"/>
  <c r="E88" i="20"/>
  <c r="G88" i="20" s="1"/>
  <c r="H88" i="20" s="1"/>
  <c r="E96" i="20"/>
  <c r="G96" i="20" s="1"/>
  <c r="H96" i="20" s="1"/>
  <c r="E89" i="20"/>
  <c r="G89" i="20" s="1"/>
  <c r="H89" i="20" s="1"/>
  <c r="E97" i="20"/>
  <c r="G97" i="20" s="1"/>
  <c r="H97" i="20" s="1"/>
  <c r="E92" i="20"/>
  <c r="G92" i="20" s="1"/>
  <c r="H92" i="20" s="1"/>
  <c r="E100" i="20"/>
  <c r="G100" i="20" s="1"/>
  <c r="H100" i="20" s="1"/>
  <c r="E95" i="20"/>
  <c r="G95" i="20" s="1"/>
  <c r="H95" i="20" s="1"/>
  <c r="E91" i="20"/>
  <c r="G91" i="20" s="1"/>
  <c r="H91" i="20" s="1"/>
  <c r="E99" i="20"/>
  <c r="G99" i="20" s="1"/>
  <c r="H99" i="20" s="1"/>
  <c r="E74" i="19"/>
  <c r="G74" i="19" s="1"/>
  <c r="H74" i="19" s="1"/>
  <c r="E70" i="19"/>
  <c r="G70" i="19" s="1"/>
  <c r="H70" i="19" s="1"/>
  <c r="E77" i="19"/>
  <c r="G77" i="19" s="1"/>
  <c r="H77" i="19" s="1"/>
  <c r="E67" i="19"/>
  <c r="G67" i="19" s="1"/>
  <c r="H67" i="19" s="1"/>
  <c r="E68" i="19"/>
  <c r="G68" i="19" s="1"/>
  <c r="H68" i="19" s="1"/>
  <c r="E75" i="19"/>
  <c r="G75" i="19" s="1"/>
  <c r="H75" i="19" s="1"/>
  <c r="E71" i="19"/>
  <c r="G71" i="19" s="1"/>
  <c r="H71" i="19" s="1"/>
  <c r="E72" i="19"/>
  <c r="G72" i="19" s="1"/>
  <c r="H72" i="19" s="1"/>
  <c r="E69" i="19"/>
  <c r="G69" i="19" s="1"/>
  <c r="H69" i="19" s="1"/>
  <c r="E76" i="19"/>
  <c r="G76" i="19" s="1"/>
  <c r="H76" i="19" s="1"/>
  <c r="E73" i="19"/>
  <c r="G73" i="19" s="1"/>
  <c r="H73" i="19" s="1"/>
  <c r="E66" i="19"/>
  <c r="G66" i="19" s="1"/>
  <c r="H66" i="19" s="1"/>
  <c r="E101" i="45"/>
  <c r="G101" i="45" s="1"/>
  <c r="H101" i="45" s="1"/>
  <c r="E97" i="45"/>
  <c r="G97" i="45" s="1"/>
  <c r="H97" i="45" s="1"/>
  <c r="I54" i="45"/>
  <c r="J55" i="45"/>
  <c r="E76" i="3"/>
  <c r="G76" i="3" s="1"/>
  <c r="H76" i="3" s="1"/>
  <c r="E82" i="3"/>
  <c r="G82" i="3" s="1"/>
  <c r="H82" i="3" s="1"/>
  <c r="E75" i="3"/>
  <c r="G75" i="3" s="1"/>
  <c r="H75" i="3" s="1"/>
  <c r="E77" i="3"/>
  <c r="G77" i="3" s="1"/>
  <c r="H77" i="3" s="1"/>
  <c r="E74" i="3"/>
  <c r="G74" i="3" s="1"/>
  <c r="H74" i="3" s="1"/>
  <c r="E73" i="3"/>
  <c r="G73" i="3" s="1"/>
  <c r="H73" i="3" s="1"/>
  <c r="E72" i="3"/>
  <c r="G72" i="3" s="1"/>
  <c r="H72" i="3" s="1"/>
  <c r="E71" i="3"/>
  <c r="G71" i="3" s="1"/>
  <c r="H71" i="3" s="1"/>
  <c r="E70" i="3"/>
  <c r="G70" i="3" s="1"/>
  <c r="H70" i="3" s="1"/>
  <c r="E69" i="3"/>
  <c r="G69" i="3" s="1"/>
  <c r="H69" i="3" s="1"/>
  <c r="E68" i="3"/>
  <c r="G68" i="3" s="1"/>
  <c r="H68" i="3" s="1"/>
  <c r="E67" i="3"/>
  <c r="G67" i="3" s="1"/>
  <c r="H67" i="3" s="1"/>
  <c r="E66" i="3"/>
  <c r="G66" i="3" s="1"/>
  <c r="H66" i="3" s="1"/>
  <c r="E81" i="3"/>
  <c r="G81" i="3" s="1"/>
  <c r="H81" i="3" s="1"/>
  <c r="E79" i="3"/>
  <c r="G79" i="3" s="1"/>
  <c r="H79" i="3" s="1"/>
  <c r="E80" i="3"/>
  <c r="G80" i="3" s="1"/>
  <c r="H80" i="3" s="1"/>
  <c r="E78" i="3"/>
  <c r="G78" i="3" s="1"/>
  <c r="H78" i="3" s="1"/>
  <c r="C54" i="3"/>
  <c r="D54" i="3" s="1"/>
  <c r="E69" i="6"/>
  <c r="G69" i="6" s="1"/>
  <c r="H69" i="6" s="1"/>
  <c r="E70" i="6"/>
  <c r="G70" i="6" s="1"/>
  <c r="H70" i="6" s="1"/>
  <c r="E67" i="6"/>
  <c r="G67" i="6" s="1"/>
  <c r="H67" i="6" s="1"/>
  <c r="E71" i="6"/>
  <c r="G71" i="6" s="1"/>
  <c r="H71" i="6" s="1"/>
  <c r="E68" i="6"/>
  <c r="G68" i="6" s="1"/>
  <c r="H68" i="6" s="1"/>
  <c r="E66" i="6"/>
  <c r="G66" i="6" s="1"/>
  <c r="H66" i="6" s="1"/>
  <c r="C54" i="6"/>
  <c r="D54" i="6" s="1"/>
  <c r="E108" i="8"/>
  <c r="G108" i="8" s="1"/>
  <c r="H108" i="8" s="1"/>
  <c r="E107" i="8"/>
  <c r="G107" i="8" s="1"/>
  <c r="H107" i="8" s="1"/>
  <c r="E106" i="8"/>
  <c r="G106" i="8" s="1"/>
  <c r="H106" i="8" s="1"/>
  <c r="E105" i="8"/>
  <c r="G105" i="8" s="1"/>
  <c r="H105" i="8" s="1"/>
  <c r="E104" i="8"/>
  <c r="G104" i="8" s="1"/>
  <c r="H104" i="8" s="1"/>
  <c r="E103" i="8"/>
  <c r="G103" i="8" s="1"/>
  <c r="H103" i="8" s="1"/>
  <c r="E102" i="8"/>
  <c r="G102" i="8" s="1"/>
  <c r="H102" i="8" s="1"/>
  <c r="E101" i="8"/>
  <c r="G101" i="8" s="1"/>
  <c r="H101" i="8" s="1"/>
  <c r="E100" i="8"/>
  <c r="G100" i="8" s="1"/>
  <c r="H100" i="8" s="1"/>
  <c r="E99" i="8"/>
  <c r="G99" i="8" s="1"/>
  <c r="H99" i="8" s="1"/>
  <c r="E98" i="8"/>
  <c r="G98" i="8" s="1"/>
  <c r="H98" i="8" s="1"/>
  <c r="E97" i="8"/>
  <c r="G97" i="8" s="1"/>
  <c r="H97" i="8" s="1"/>
  <c r="E94" i="8"/>
  <c r="G94" i="8" s="1"/>
  <c r="H94" i="8" s="1"/>
  <c r="E92" i="8"/>
  <c r="G92" i="8" s="1"/>
  <c r="H92" i="8" s="1"/>
  <c r="E91" i="8"/>
  <c r="G91" i="8" s="1"/>
  <c r="H91" i="8" s="1"/>
  <c r="E96" i="8"/>
  <c r="G96" i="8" s="1"/>
  <c r="H96" i="8" s="1"/>
  <c r="E95" i="8"/>
  <c r="G95" i="8" s="1"/>
  <c r="H95" i="8" s="1"/>
  <c r="E93" i="8"/>
  <c r="G93" i="8" s="1"/>
  <c r="H93" i="8" s="1"/>
  <c r="H55" i="9"/>
  <c r="C55" i="9"/>
  <c r="D55" i="9" s="1"/>
  <c r="E81" i="74"/>
  <c r="G81" i="74" s="1"/>
  <c r="H81" i="74" s="1"/>
  <c r="E80" i="74"/>
  <c r="G80" i="74" s="1"/>
  <c r="H80" i="74" s="1"/>
  <c r="E79" i="74"/>
  <c r="G79" i="74" s="1"/>
  <c r="H79" i="74" s="1"/>
  <c r="E78" i="74"/>
  <c r="G78" i="74" s="1"/>
  <c r="H78" i="74" s="1"/>
  <c r="E77" i="74"/>
  <c r="G77" i="74" s="1"/>
  <c r="H77" i="74" s="1"/>
  <c r="E76" i="74"/>
  <c r="G76" i="74" s="1"/>
  <c r="H76" i="74" s="1"/>
  <c r="E75" i="74"/>
  <c r="G75" i="74" s="1"/>
  <c r="H75" i="74" s="1"/>
  <c r="E74" i="74"/>
  <c r="G74" i="74" s="1"/>
  <c r="H74" i="74" s="1"/>
  <c r="E73" i="74"/>
  <c r="G73" i="74" s="1"/>
  <c r="H73" i="74" s="1"/>
  <c r="E72" i="74"/>
  <c r="G72" i="74" s="1"/>
  <c r="H72" i="74" s="1"/>
  <c r="E71" i="74"/>
  <c r="G71" i="74" s="1"/>
  <c r="H71" i="74" s="1"/>
  <c r="E70" i="74"/>
  <c r="G70" i="74" s="1"/>
  <c r="H70" i="74" s="1"/>
  <c r="E69" i="74"/>
  <c r="G69" i="74" s="1"/>
  <c r="H69" i="74" s="1"/>
  <c r="E68" i="74"/>
  <c r="G68" i="74" s="1"/>
  <c r="H68" i="74" s="1"/>
  <c r="E67" i="74"/>
  <c r="G67" i="74" s="1"/>
  <c r="H67" i="74" s="1"/>
  <c r="C54" i="74"/>
  <c r="E85" i="72"/>
  <c r="G85" i="72" s="1"/>
  <c r="H85" i="72" s="1"/>
  <c r="E84" i="72"/>
  <c r="G84" i="72" s="1"/>
  <c r="H84" i="72" s="1"/>
  <c r="E83" i="72"/>
  <c r="G83" i="72" s="1"/>
  <c r="H83" i="72" s="1"/>
  <c r="E69" i="72"/>
  <c r="G69" i="72" s="1"/>
  <c r="H69" i="72" s="1"/>
  <c r="E67" i="72"/>
  <c r="G67" i="72" s="1"/>
  <c r="H67" i="72" s="1"/>
  <c r="E87" i="72"/>
  <c r="G87" i="72" s="1"/>
  <c r="H87" i="72" s="1"/>
  <c r="E82" i="72"/>
  <c r="G82" i="72" s="1"/>
  <c r="H82" i="72" s="1"/>
  <c r="E78" i="72"/>
  <c r="G78" i="72" s="1"/>
  <c r="H78" i="72" s="1"/>
  <c r="E75" i="72"/>
  <c r="G75" i="72" s="1"/>
  <c r="H75" i="72" s="1"/>
  <c r="E74" i="72"/>
  <c r="G74" i="72" s="1"/>
  <c r="H74" i="72" s="1"/>
  <c r="E81" i="72"/>
  <c r="G81" i="72" s="1"/>
  <c r="H81" i="72" s="1"/>
  <c r="E79" i="72"/>
  <c r="G79" i="72" s="1"/>
  <c r="H79" i="72" s="1"/>
  <c r="E77" i="72"/>
  <c r="G77" i="72" s="1"/>
  <c r="H77" i="72" s="1"/>
  <c r="E73" i="72"/>
  <c r="G73" i="72" s="1"/>
  <c r="H73" i="72" s="1"/>
  <c r="E71" i="72"/>
  <c r="G71" i="72" s="1"/>
  <c r="H71" i="72" s="1"/>
  <c r="E70" i="72"/>
  <c r="G70" i="72" s="1"/>
  <c r="H70" i="72" s="1"/>
  <c r="E68" i="72"/>
  <c r="G68" i="72" s="1"/>
  <c r="H68" i="72" s="1"/>
  <c r="E86" i="72"/>
  <c r="G86" i="72" s="1"/>
  <c r="H86" i="72" s="1"/>
  <c r="E80" i="72"/>
  <c r="G80" i="72" s="1"/>
  <c r="H80" i="72" s="1"/>
  <c r="E76" i="72"/>
  <c r="G76" i="72" s="1"/>
  <c r="H76" i="72" s="1"/>
  <c r="E72" i="72"/>
  <c r="G72" i="72" s="1"/>
  <c r="H72" i="72" s="1"/>
  <c r="C54" i="72"/>
  <c r="D54" i="72" s="1"/>
  <c r="E73" i="71"/>
  <c r="G73" i="71" s="1"/>
  <c r="H73" i="71" s="1"/>
  <c r="E66" i="71"/>
  <c r="G66" i="71" s="1"/>
  <c r="H66" i="71" s="1"/>
  <c r="E74" i="71"/>
  <c r="G74" i="71" s="1"/>
  <c r="H74" i="71" s="1"/>
  <c r="E75" i="71"/>
  <c r="G75" i="71" s="1"/>
  <c r="H75" i="71" s="1"/>
  <c r="E71" i="71"/>
  <c r="G71" i="71" s="1"/>
  <c r="H71" i="71" s="1"/>
  <c r="E69" i="71"/>
  <c r="G69" i="71" s="1"/>
  <c r="H69" i="71" s="1"/>
  <c r="E67" i="71"/>
  <c r="G67" i="71" s="1"/>
  <c r="H67" i="71" s="1"/>
  <c r="E72" i="71"/>
  <c r="G72" i="71" s="1"/>
  <c r="H72" i="71" s="1"/>
  <c r="E70" i="71"/>
  <c r="G70" i="71" s="1"/>
  <c r="H70" i="71" s="1"/>
  <c r="E68" i="71"/>
  <c r="G68" i="71" s="1"/>
  <c r="H68" i="71" s="1"/>
  <c r="C54" i="71"/>
  <c r="D54" i="71" s="1"/>
  <c r="C53" i="70"/>
  <c r="D53" i="70" s="1"/>
  <c r="I55" i="66"/>
  <c r="E82" i="69"/>
  <c r="G82" i="69" s="1"/>
  <c r="H82" i="69" s="1"/>
  <c r="E81" i="69"/>
  <c r="G81" i="69" s="1"/>
  <c r="H81" i="69" s="1"/>
  <c r="E80" i="69"/>
  <c r="G80" i="69" s="1"/>
  <c r="H80" i="69" s="1"/>
  <c r="E79" i="69"/>
  <c r="G79" i="69" s="1"/>
  <c r="H79" i="69" s="1"/>
  <c r="E78" i="69"/>
  <c r="G78" i="69" s="1"/>
  <c r="H78" i="69" s="1"/>
  <c r="E77" i="69"/>
  <c r="G77" i="69" s="1"/>
  <c r="H77" i="69" s="1"/>
  <c r="E76" i="69"/>
  <c r="G76" i="69" s="1"/>
  <c r="H76" i="69" s="1"/>
  <c r="E75" i="69"/>
  <c r="G75" i="69" s="1"/>
  <c r="H75" i="69" s="1"/>
  <c r="E74" i="69"/>
  <c r="G74" i="69" s="1"/>
  <c r="H74" i="69" s="1"/>
  <c r="E73" i="69"/>
  <c r="G73" i="69" s="1"/>
  <c r="H73" i="69" s="1"/>
  <c r="E72" i="69"/>
  <c r="G72" i="69" s="1"/>
  <c r="H72" i="69" s="1"/>
  <c r="E71" i="69"/>
  <c r="G71" i="69" s="1"/>
  <c r="E66" i="69"/>
  <c r="G66" i="69" s="1"/>
  <c r="H66" i="69" s="1"/>
  <c r="E70" i="69"/>
  <c r="G70" i="69" s="1"/>
  <c r="H70" i="69" s="1"/>
  <c r="E67" i="69"/>
  <c r="G67" i="69" s="1"/>
  <c r="H67" i="69" s="1"/>
  <c r="E69" i="69"/>
  <c r="G69" i="69" s="1"/>
  <c r="H69" i="69" s="1"/>
  <c r="E68" i="69"/>
  <c r="G68" i="69" s="1"/>
  <c r="H68" i="69" s="1"/>
  <c r="C54" i="69"/>
  <c r="D54" i="69" s="1"/>
  <c r="H54" i="28" l="1"/>
  <c r="E65" i="28"/>
  <c r="G65" i="28" s="1"/>
  <c r="H65" i="28" s="1"/>
  <c r="B120" i="48"/>
  <c r="I55" i="48"/>
  <c r="D53" i="4"/>
  <c r="E109" i="4"/>
  <c r="G109" i="4" s="1"/>
  <c r="H109" i="4" s="1"/>
  <c r="E110" i="4"/>
  <c r="G110" i="4" s="1"/>
  <c r="H110" i="4" s="1"/>
  <c r="E111" i="4"/>
  <c r="G111" i="4" s="1"/>
  <c r="H111" i="4" s="1"/>
  <c r="E112" i="4"/>
  <c r="G112" i="4" s="1"/>
  <c r="H112" i="4" s="1"/>
  <c r="E77" i="71"/>
  <c r="G77" i="71"/>
  <c r="AF30" i="53"/>
  <c r="U35" i="53"/>
  <c r="I55" i="71"/>
  <c r="B112" i="71"/>
  <c r="AF30" i="29"/>
  <c r="AC25" i="29" s="1"/>
  <c r="AF30" i="57"/>
  <c r="AC25" i="57" s="1"/>
  <c r="AA30" i="51"/>
  <c r="AC30" i="51" s="1"/>
  <c r="AC25" i="51" s="1"/>
  <c r="T33" i="51"/>
  <c r="AD30" i="46"/>
  <c r="AC25" i="46" s="1"/>
  <c r="S31" i="40"/>
  <c r="AC25" i="40" s="1"/>
  <c r="AB30" i="48"/>
  <c r="AC30" i="48"/>
  <c r="AC25" i="39"/>
  <c r="T31" i="39"/>
  <c r="AC30" i="37"/>
  <c r="AF30" i="37" s="1"/>
  <c r="AC25" i="37" s="1"/>
  <c r="U35" i="37"/>
  <c r="S31" i="55"/>
  <c r="S31" i="78"/>
  <c r="AC25" i="78" s="1"/>
  <c r="AD30" i="72"/>
  <c r="AC30" i="72"/>
  <c r="U35" i="72"/>
  <c r="AB30" i="72"/>
  <c r="U35" i="71"/>
  <c r="AB30" i="71"/>
  <c r="AF30" i="71" s="1"/>
  <c r="AC25" i="71" s="1"/>
  <c r="AC30" i="70"/>
  <c r="AD30" i="70"/>
  <c r="AB30" i="70"/>
  <c r="U35" i="70"/>
  <c r="U35" i="69"/>
  <c r="AB30" i="69"/>
  <c r="AF30" i="69" s="1"/>
  <c r="AC25" i="69" s="1"/>
  <c r="AA30" i="66"/>
  <c r="AC30" i="66" s="1"/>
  <c r="AC25" i="66" s="1"/>
  <c r="T33" i="66"/>
  <c r="U35" i="61"/>
  <c r="AB30" i="61"/>
  <c r="AE30" i="61" s="1"/>
  <c r="AC25" i="61" s="1"/>
  <c r="S31" i="54"/>
  <c r="AA30" i="48"/>
  <c r="U35" i="48"/>
  <c r="S31" i="38"/>
  <c r="C81" i="27"/>
  <c r="AB30" i="26"/>
  <c r="AE30" i="26" s="1"/>
  <c r="AC25" i="26" s="1"/>
  <c r="U35" i="26"/>
  <c r="AB30" i="25"/>
  <c r="AE30" i="25" s="1"/>
  <c r="AC25" i="25" s="1"/>
  <c r="U35" i="25"/>
  <c r="S31" i="24"/>
  <c r="U35" i="22"/>
  <c r="AC30" i="22"/>
  <c r="AE30" i="22" s="1"/>
  <c r="AC25" i="22" s="1"/>
  <c r="AE30" i="20"/>
  <c r="AC25" i="20" s="1"/>
  <c r="AA31" i="20"/>
  <c r="AC30" i="60"/>
  <c r="S35" i="60"/>
  <c r="AA30" i="19"/>
  <c r="AD30" i="19" s="1"/>
  <c r="AC25" i="19" s="1"/>
  <c r="U35" i="19"/>
  <c r="AA30" i="10"/>
  <c r="AC30" i="10" s="1"/>
  <c r="T33" i="10"/>
  <c r="S31" i="14"/>
  <c r="AD32" i="8"/>
  <c r="AF30" i="8"/>
  <c r="AC25" i="8" s="1"/>
  <c r="S31" i="13"/>
  <c r="AC32" i="3"/>
  <c r="AC32" i="8"/>
  <c r="B112" i="8"/>
  <c r="H89" i="3"/>
  <c r="K5" i="3"/>
  <c r="L5" i="3" s="1"/>
  <c r="S35" i="3" s="1"/>
  <c r="U35" i="3" s="1"/>
  <c r="G86" i="28"/>
  <c r="E86" i="28"/>
  <c r="I55" i="28"/>
  <c r="B139" i="28"/>
  <c r="C85" i="8"/>
  <c r="H85" i="8"/>
  <c r="G110" i="8"/>
  <c r="E110" i="8"/>
  <c r="I55" i="8"/>
  <c r="B135" i="8"/>
  <c r="E120" i="8"/>
  <c r="G120" i="8" s="1"/>
  <c r="H120" i="8" s="1"/>
  <c r="E124" i="8"/>
  <c r="G124" i="8" s="1"/>
  <c r="H124" i="8" s="1"/>
  <c r="E126" i="8"/>
  <c r="G126" i="8" s="1"/>
  <c r="H126" i="8" s="1"/>
  <c r="E129" i="8"/>
  <c r="G129" i="8" s="1"/>
  <c r="H129" i="8" s="1"/>
  <c r="E132" i="8"/>
  <c r="G132" i="8" s="1"/>
  <c r="H132" i="8" s="1"/>
  <c r="E128" i="8"/>
  <c r="G128" i="8" s="1"/>
  <c r="H128" i="8" s="1"/>
  <c r="E131" i="8"/>
  <c r="G131" i="8" s="1"/>
  <c r="H131" i="8" s="1"/>
  <c r="E116" i="8"/>
  <c r="G116" i="8" s="1"/>
  <c r="H116" i="8" s="1"/>
  <c r="E117" i="8"/>
  <c r="G117" i="8" s="1"/>
  <c r="H117" i="8" s="1"/>
  <c r="E118" i="8"/>
  <c r="G118" i="8" s="1"/>
  <c r="H118" i="8" s="1"/>
  <c r="E119" i="8"/>
  <c r="G119" i="8" s="1"/>
  <c r="H119" i="8" s="1"/>
  <c r="E121" i="8"/>
  <c r="G121" i="8" s="1"/>
  <c r="H121" i="8" s="1"/>
  <c r="E122" i="8"/>
  <c r="G122" i="8" s="1"/>
  <c r="H122" i="8" s="1"/>
  <c r="E123" i="8"/>
  <c r="G123" i="8" s="1"/>
  <c r="H123" i="8" s="1"/>
  <c r="E125" i="8"/>
  <c r="G125" i="8" s="1"/>
  <c r="H125" i="8" s="1"/>
  <c r="E127" i="8"/>
  <c r="G127" i="8" s="1"/>
  <c r="H127" i="8" s="1"/>
  <c r="E130" i="8"/>
  <c r="G130" i="8" s="1"/>
  <c r="H130" i="8" s="1"/>
  <c r="E133" i="8"/>
  <c r="G133" i="8" s="1"/>
  <c r="H133" i="8" s="1"/>
  <c r="E80" i="61"/>
  <c r="G80" i="61"/>
  <c r="E79" i="56"/>
  <c r="H79" i="56" s="1"/>
  <c r="G79" i="56"/>
  <c r="G106" i="50"/>
  <c r="E106" i="50"/>
  <c r="E77" i="46"/>
  <c r="H77" i="46" s="1"/>
  <c r="G77" i="46"/>
  <c r="G76" i="41"/>
  <c r="E76" i="41"/>
  <c r="E72" i="73"/>
  <c r="G72" i="73"/>
  <c r="C84" i="3"/>
  <c r="E65" i="60"/>
  <c r="G65" i="60" s="1"/>
  <c r="H65" i="60" s="1"/>
  <c r="H54" i="60"/>
  <c r="G83" i="74"/>
  <c r="E83" i="74"/>
  <c r="E82" i="62"/>
  <c r="G82" i="62"/>
  <c r="D54" i="74"/>
  <c r="E90" i="74"/>
  <c r="G90" i="74" s="1"/>
  <c r="H90" i="74" s="1"/>
  <c r="E89" i="72"/>
  <c r="G89" i="72"/>
  <c r="D55" i="68"/>
  <c r="H54" i="61"/>
  <c r="H55" i="61" s="1"/>
  <c r="E65" i="61"/>
  <c r="G65" i="61" s="1"/>
  <c r="H65" i="61" s="1"/>
  <c r="D53" i="54"/>
  <c r="G65" i="54"/>
  <c r="H65" i="54" s="1"/>
  <c r="D53" i="53"/>
  <c r="E66" i="53"/>
  <c r="B110" i="50"/>
  <c r="E113" i="50"/>
  <c r="G113" i="50" s="1"/>
  <c r="H113" i="50" s="1"/>
  <c r="D53" i="47"/>
  <c r="E66" i="47"/>
  <c r="G66" i="47" s="1"/>
  <c r="H66" i="47" s="1"/>
  <c r="D54" i="42"/>
  <c r="E80" i="42"/>
  <c r="E81" i="42"/>
  <c r="E82" i="42"/>
  <c r="E83" i="42"/>
  <c r="E84" i="42"/>
  <c r="E85" i="42"/>
  <c r="E86" i="42"/>
  <c r="E79" i="42"/>
  <c r="B86" i="31"/>
  <c r="E67" i="31"/>
  <c r="G67" i="31" s="1"/>
  <c r="H67" i="31" s="1"/>
  <c r="E70" i="31"/>
  <c r="G70" i="31" s="1"/>
  <c r="H70" i="31" s="1"/>
  <c r="E74" i="31"/>
  <c r="G74" i="31" s="1"/>
  <c r="H74" i="31" s="1"/>
  <c r="E77" i="31"/>
  <c r="G77" i="31" s="1"/>
  <c r="H77" i="31" s="1"/>
  <c r="E83" i="31"/>
  <c r="G83" i="31" s="1"/>
  <c r="H83" i="31" s="1"/>
  <c r="E84" i="31"/>
  <c r="G84" i="31" s="1"/>
  <c r="H84" i="31" s="1"/>
  <c r="E69" i="31"/>
  <c r="G69" i="31" s="1"/>
  <c r="H69" i="31" s="1"/>
  <c r="E75" i="31"/>
  <c r="G75" i="31" s="1"/>
  <c r="H75" i="31" s="1"/>
  <c r="E79" i="31"/>
  <c r="G79" i="31" s="1"/>
  <c r="H79" i="31" s="1"/>
  <c r="E66" i="31"/>
  <c r="G66" i="31" s="1"/>
  <c r="H66" i="31" s="1"/>
  <c r="E72" i="31"/>
  <c r="G72" i="31" s="1"/>
  <c r="H72" i="31" s="1"/>
  <c r="E76" i="31"/>
  <c r="G76" i="31" s="1"/>
  <c r="H76" i="31" s="1"/>
  <c r="E80" i="31"/>
  <c r="G80" i="31" s="1"/>
  <c r="H80" i="31" s="1"/>
  <c r="E82" i="31"/>
  <c r="G82" i="31" s="1"/>
  <c r="H82" i="31" s="1"/>
  <c r="E68" i="31"/>
  <c r="G68" i="31" s="1"/>
  <c r="H68" i="31" s="1"/>
  <c r="E71" i="31"/>
  <c r="G71" i="31" s="1"/>
  <c r="H71" i="31" s="1"/>
  <c r="E73" i="31"/>
  <c r="G73" i="31" s="1"/>
  <c r="H73" i="31" s="1"/>
  <c r="E78" i="31"/>
  <c r="G78" i="31" s="1"/>
  <c r="H78" i="31" s="1"/>
  <c r="E81" i="31"/>
  <c r="G81" i="31" s="1"/>
  <c r="H81" i="31" s="1"/>
  <c r="D53" i="38"/>
  <c r="C54" i="38"/>
  <c r="C81" i="7"/>
  <c r="J56" i="7"/>
  <c r="D55" i="7"/>
  <c r="C56" i="7"/>
  <c r="B86" i="7" s="1"/>
  <c r="H83" i="50"/>
  <c r="G87" i="33"/>
  <c r="E87" i="33"/>
  <c r="H87" i="33" s="1"/>
  <c r="E104" i="4"/>
  <c r="G104" i="4" s="1"/>
  <c r="H104" i="4" s="1"/>
  <c r="E103" i="4"/>
  <c r="G103" i="4" s="1"/>
  <c r="H103" i="4" s="1"/>
  <c r="B109" i="50"/>
  <c r="D55" i="50"/>
  <c r="E120" i="50"/>
  <c r="G120" i="50" s="1"/>
  <c r="H120" i="50" s="1"/>
  <c r="E128" i="50"/>
  <c r="G128" i="50" s="1"/>
  <c r="H128" i="50" s="1"/>
  <c r="E121" i="50"/>
  <c r="G121" i="50" s="1"/>
  <c r="H121" i="50" s="1"/>
  <c r="E114" i="50"/>
  <c r="G114" i="50" s="1"/>
  <c r="H114" i="50" s="1"/>
  <c r="E122" i="50"/>
  <c r="G122" i="50" s="1"/>
  <c r="H122" i="50" s="1"/>
  <c r="E115" i="50"/>
  <c r="G115" i="50" s="1"/>
  <c r="H115" i="50" s="1"/>
  <c r="E123" i="50"/>
  <c r="G123" i="50" s="1"/>
  <c r="H123" i="50" s="1"/>
  <c r="E116" i="50"/>
  <c r="G116" i="50" s="1"/>
  <c r="H116" i="50" s="1"/>
  <c r="E124" i="50"/>
  <c r="G124" i="50" s="1"/>
  <c r="H124" i="50" s="1"/>
  <c r="E125" i="50"/>
  <c r="G125" i="50" s="1"/>
  <c r="H125" i="50" s="1"/>
  <c r="E117" i="50"/>
  <c r="G117" i="50" s="1"/>
  <c r="H117" i="50" s="1"/>
  <c r="E118" i="50"/>
  <c r="G118" i="50" s="1"/>
  <c r="H118" i="50" s="1"/>
  <c r="E126" i="50"/>
  <c r="G126" i="50" s="1"/>
  <c r="H126" i="50" s="1"/>
  <c r="E119" i="50"/>
  <c r="G119" i="50" s="1"/>
  <c r="H119" i="50" s="1"/>
  <c r="E127" i="50"/>
  <c r="G127" i="50" s="1"/>
  <c r="H127" i="50" s="1"/>
  <c r="H117" i="3"/>
  <c r="E108" i="4"/>
  <c r="G108" i="4" s="1"/>
  <c r="H108" i="4" s="1"/>
  <c r="C54" i="4"/>
  <c r="G99" i="49"/>
  <c r="E99" i="49"/>
  <c r="G79" i="48"/>
  <c r="E79" i="48"/>
  <c r="H107" i="45"/>
  <c r="C107" i="45"/>
  <c r="G129" i="45"/>
  <c r="E129" i="45"/>
  <c r="I55" i="45"/>
  <c r="B129" i="45"/>
  <c r="E107" i="44"/>
  <c r="G107" i="44"/>
  <c r="E98" i="43"/>
  <c r="G98" i="43"/>
  <c r="E92" i="41"/>
  <c r="G92" i="41"/>
  <c r="E114" i="33"/>
  <c r="G114" i="33"/>
  <c r="G82" i="32"/>
  <c r="E82" i="32"/>
  <c r="G126" i="29"/>
  <c r="E126" i="29"/>
  <c r="E112" i="28"/>
  <c r="G112" i="28"/>
  <c r="H81" i="16"/>
  <c r="C81" i="16"/>
  <c r="E101" i="16"/>
  <c r="G101" i="16"/>
  <c r="E112" i="7"/>
  <c r="G112" i="7" s="1"/>
  <c r="H112" i="7" s="1"/>
  <c r="G124" i="20"/>
  <c r="E124" i="20"/>
  <c r="G107" i="18"/>
  <c r="E107" i="18"/>
  <c r="E121" i="17"/>
  <c r="G121" i="17"/>
  <c r="G101" i="19"/>
  <c r="E101" i="19"/>
  <c r="G123" i="15"/>
  <c r="E123" i="15"/>
  <c r="E123" i="7"/>
  <c r="G123" i="7" s="1"/>
  <c r="H123" i="7" s="1"/>
  <c r="G86" i="6"/>
  <c r="E86" i="6"/>
  <c r="E105" i="4"/>
  <c r="G105" i="4" s="1"/>
  <c r="H105" i="4" s="1"/>
  <c r="E106" i="4"/>
  <c r="G106" i="4" s="1"/>
  <c r="H106" i="4" s="1"/>
  <c r="E107" i="4"/>
  <c r="G107" i="4" s="1"/>
  <c r="H107" i="4" s="1"/>
  <c r="E102" i="4"/>
  <c r="G102" i="4" s="1"/>
  <c r="H102" i="4" s="1"/>
  <c r="G108" i="3"/>
  <c r="E108" i="3"/>
  <c r="D56" i="83"/>
  <c r="E120" i="7"/>
  <c r="G120" i="7" s="1"/>
  <c r="H120" i="7" s="1"/>
  <c r="E118" i="72"/>
  <c r="G118" i="72"/>
  <c r="E94" i="71"/>
  <c r="G94" i="71"/>
  <c r="I55" i="70"/>
  <c r="E85" i="70"/>
  <c r="G85" i="70"/>
  <c r="G108" i="69"/>
  <c r="E108" i="69"/>
  <c r="D53" i="60"/>
  <c r="C54" i="60"/>
  <c r="E105" i="59"/>
  <c r="G105" i="59"/>
  <c r="E106" i="58"/>
  <c r="G106" i="58"/>
  <c r="I55" i="57"/>
  <c r="E115" i="57"/>
  <c r="G115" i="57"/>
  <c r="E99" i="56"/>
  <c r="G99" i="56"/>
  <c r="H54" i="48"/>
  <c r="E65" i="48"/>
  <c r="G65" i="48" s="1"/>
  <c r="H65" i="48" s="1"/>
  <c r="B86" i="27"/>
  <c r="D55" i="27"/>
  <c r="E85" i="23"/>
  <c r="G85" i="23" s="1"/>
  <c r="H85" i="23" s="1"/>
  <c r="H55" i="23"/>
  <c r="E98" i="23"/>
  <c r="G98" i="23" s="1"/>
  <c r="H98" i="23" s="1"/>
  <c r="E90" i="23"/>
  <c r="G90" i="23" s="1"/>
  <c r="H90" i="23" s="1"/>
  <c r="E92" i="23"/>
  <c r="G92" i="23" s="1"/>
  <c r="H92" i="23" s="1"/>
  <c r="E95" i="23"/>
  <c r="G95" i="23" s="1"/>
  <c r="H95" i="23" s="1"/>
  <c r="E87" i="23"/>
  <c r="G87" i="23" s="1"/>
  <c r="H87" i="23" s="1"/>
  <c r="E97" i="23"/>
  <c r="G97" i="23" s="1"/>
  <c r="H97" i="23" s="1"/>
  <c r="E89" i="23"/>
  <c r="G89" i="23" s="1"/>
  <c r="H89" i="23" s="1"/>
  <c r="E94" i="23"/>
  <c r="G94" i="23" s="1"/>
  <c r="H94" i="23" s="1"/>
  <c r="E86" i="23"/>
  <c r="G86" i="23" s="1"/>
  <c r="H86" i="23" s="1"/>
  <c r="E96" i="23"/>
  <c r="G96" i="23" s="1"/>
  <c r="H96" i="23" s="1"/>
  <c r="E91" i="23"/>
  <c r="G91" i="23" s="1"/>
  <c r="H91" i="23" s="1"/>
  <c r="E88" i="23"/>
  <c r="G88" i="23" s="1"/>
  <c r="H88" i="23" s="1"/>
  <c r="E93" i="23"/>
  <c r="G93" i="23" s="1"/>
  <c r="H93" i="23" s="1"/>
  <c r="B87" i="8"/>
  <c r="D55" i="8"/>
  <c r="E117" i="7"/>
  <c r="G117" i="7" s="1"/>
  <c r="H117" i="7" s="1"/>
  <c r="I54" i="4"/>
  <c r="B133" i="4"/>
  <c r="H55" i="66"/>
  <c r="E83" i="66"/>
  <c r="G83" i="66" s="1"/>
  <c r="H83" i="66" s="1"/>
  <c r="E87" i="66"/>
  <c r="G87" i="66" s="1"/>
  <c r="H87" i="66" s="1"/>
  <c r="E86" i="66"/>
  <c r="G86" i="66" s="1"/>
  <c r="H86" i="66" s="1"/>
  <c r="E85" i="66"/>
  <c r="G85" i="66" s="1"/>
  <c r="H85" i="66" s="1"/>
  <c r="E84" i="66"/>
  <c r="G84" i="66" s="1"/>
  <c r="H84" i="66" s="1"/>
  <c r="E81" i="66"/>
  <c r="G81" i="66" s="1"/>
  <c r="H81" i="66" s="1"/>
  <c r="E82" i="66"/>
  <c r="G82" i="66" s="1"/>
  <c r="H82" i="66" s="1"/>
  <c r="E80" i="66"/>
  <c r="G80" i="66" s="1"/>
  <c r="H80" i="66" s="1"/>
  <c r="E88" i="66"/>
  <c r="G88" i="66" s="1"/>
  <c r="H88" i="66" s="1"/>
  <c r="I56" i="77"/>
  <c r="J58" i="77"/>
  <c r="I58" i="77" s="1"/>
  <c r="I56" i="66"/>
  <c r="B123" i="66"/>
  <c r="H123" i="66" s="1"/>
  <c r="J57" i="66"/>
  <c r="J58" i="66" s="1"/>
  <c r="H82" i="59"/>
  <c r="C82" i="59"/>
  <c r="H83" i="58"/>
  <c r="C83" i="58"/>
  <c r="H87" i="57"/>
  <c r="C87" i="57"/>
  <c r="I56" i="51"/>
  <c r="H79" i="49"/>
  <c r="C79" i="49"/>
  <c r="H82" i="44"/>
  <c r="C82" i="44"/>
  <c r="H79" i="43"/>
  <c r="C79" i="43"/>
  <c r="C55" i="42"/>
  <c r="G74" i="37"/>
  <c r="E74" i="37"/>
  <c r="H103" i="29"/>
  <c r="C103" i="29"/>
  <c r="E116" i="29"/>
  <c r="G116" i="29" s="1"/>
  <c r="H116" i="29" s="1"/>
  <c r="E104" i="28"/>
  <c r="G104" i="28" s="1"/>
  <c r="H104" i="28" s="1"/>
  <c r="H104" i="27"/>
  <c r="C104" i="27"/>
  <c r="H54" i="25"/>
  <c r="G100" i="23"/>
  <c r="E100" i="23"/>
  <c r="H80" i="23"/>
  <c r="C80" i="23"/>
  <c r="J57" i="23"/>
  <c r="B162" i="23" s="1"/>
  <c r="B142" i="23"/>
  <c r="H82" i="21"/>
  <c r="C82" i="21"/>
  <c r="H103" i="20"/>
  <c r="C103" i="20"/>
  <c r="B106" i="20"/>
  <c r="H82" i="18"/>
  <c r="C82" i="18"/>
  <c r="H90" i="17"/>
  <c r="C90" i="17"/>
  <c r="H79" i="19"/>
  <c r="C79" i="19"/>
  <c r="H91" i="15"/>
  <c r="C91" i="15"/>
  <c r="E111" i="7"/>
  <c r="G111" i="7" s="1"/>
  <c r="H111" i="7" s="1"/>
  <c r="E122" i="7"/>
  <c r="G122" i="7" s="1"/>
  <c r="H122" i="7" s="1"/>
  <c r="E119" i="7"/>
  <c r="G119" i="7" s="1"/>
  <c r="H119" i="7" s="1"/>
  <c r="E116" i="7"/>
  <c r="G116" i="7" s="1"/>
  <c r="H116" i="7" s="1"/>
  <c r="E113" i="7"/>
  <c r="G113" i="7" s="1"/>
  <c r="H113" i="7" s="1"/>
  <c r="E114" i="7"/>
  <c r="G114" i="7" s="1"/>
  <c r="H114" i="7" s="1"/>
  <c r="E110" i="7"/>
  <c r="G110" i="7" s="1"/>
  <c r="H110" i="7" s="1"/>
  <c r="E121" i="7"/>
  <c r="G121" i="7" s="1"/>
  <c r="H121" i="7" s="1"/>
  <c r="E115" i="7"/>
  <c r="G115" i="7" s="1"/>
  <c r="H115" i="7" s="1"/>
  <c r="E118" i="7"/>
  <c r="G118" i="7" s="1"/>
  <c r="H118" i="7" s="1"/>
  <c r="H104" i="7"/>
  <c r="C104" i="7"/>
  <c r="H73" i="6"/>
  <c r="C73" i="6"/>
  <c r="E114" i="4"/>
  <c r="G114" i="4"/>
  <c r="H94" i="4"/>
  <c r="C94" i="4"/>
  <c r="I55" i="3"/>
  <c r="H84" i="3"/>
  <c r="C54" i="55"/>
  <c r="C54" i="54"/>
  <c r="C54" i="31"/>
  <c r="D54" i="31" s="1"/>
  <c r="C71" i="10"/>
  <c r="H71" i="10"/>
  <c r="E82" i="10"/>
  <c r="G82" i="10"/>
  <c r="H54" i="19"/>
  <c r="E87" i="19" s="1"/>
  <c r="G87" i="19" s="1"/>
  <c r="H87" i="19" s="1"/>
  <c r="H53" i="4"/>
  <c r="E89" i="3"/>
  <c r="H55" i="3"/>
  <c r="E117" i="3" s="1"/>
  <c r="B63" i="8"/>
  <c r="B62" i="8"/>
  <c r="B88" i="8"/>
  <c r="H65" i="3"/>
  <c r="C55" i="12"/>
  <c r="D55" i="12" s="1"/>
  <c r="C55" i="46"/>
  <c r="D55" i="46" s="1"/>
  <c r="C54" i="40"/>
  <c r="D54" i="40" s="1"/>
  <c r="C55" i="39"/>
  <c r="D55" i="39" s="1"/>
  <c r="C54" i="24"/>
  <c r="D54" i="24" s="1"/>
  <c r="C54" i="14"/>
  <c r="D54" i="14" s="1"/>
  <c r="C54" i="13"/>
  <c r="D54" i="13" s="1"/>
  <c r="C56" i="82"/>
  <c r="E95" i="16"/>
  <c r="G95" i="16" s="1"/>
  <c r="H95" i="16" s="1"/>
  <c r="E98" i="16"/>
  <c r="G98" i="16" s="1"/>
  <c r="H98" i="16" s="1"/>
  <c r="E99" i="16"/>
  <c r="G99" i="16" s="1"/>
  <c r="H99" i="16" s="1"/>
  <c r="E96" i="16"/>
  <c r="G96" i="16" s="1"/>
  <c r="H96" i="16" s="1"/>
  <c r="E97" i="16"/>
  <c r="G97" i="16" s="1"/>
  <c r="H97" i="16" s="1"/>
  <c r="E68" i="48"/>
  <c r="G68" i="48" s="1"/>
  <c r="H68" i="48" s="1"/>
  <c r="E76" i="48"/>
  <c r="G76" i="48" s="1"/>
  <c r="H76" i="48" s="1"/>
  <c r="E65" i="70"/>
  <c r="G65" i="70" s="1"/>
  <c r="H65" i="70" s="1"/>
  <c r="H54" i="70"/>
  <c r="E75" i="48"/>
  <c r="G75" i="48" s="1"/>
  <c r="H75" i="48" s="1"/>
  <c r="E71" i="48"/>
  <c r="G71" i="48" s="1"/>
  <c r="H71" i="48" s="1"/>
  <c r="E72" i="48"/>
  <c r="G72" i="48" s="1"/>
  <c r="H72" i="48" s="1"/>
  <c r="E67" i="48"/>
  <c r="G67" i="48" s="1"/>
  <c r="H67" i="48" s="1"/>
  <c r="E66" i="48"/>
  <c r="G66" i="48" s="1"/>
  <c r="H66" i="48" s="1"/>
  <c r="E69" i="48"/>
  <c r="G69" i="48" s="1"/>
  <c r="H69" i="48" s="1"/>
  <c r="C54" i="48"/>
  <c r="D54" i="48" s="1"/>
  <c r="E77" i="48"/>
  <c r="G77" i="48" s="1"/>
  <c r="H77" i="48" s="1"/>
  <c r="E73" i="48"/>
  <c r="G73" i="48" s="1"/>
  <c r="H73" i="48" s="1"/>
  <c r="E70" i="48"/>
  <c r="G70" i="48" s="1"/>
  <c r="H70" i="48" s="1"/>
  <c r="E74" i="48"/>
  <c r="G74" i="48" s="1"/>
  <c r="H74" i="48" s="1"/>
  <c r="C55" i="62"/>
  <c r="D55" i="62" s="1"/>
  <c r="E67" i="47"/>
  <c r="G67" i="47" s="1"/>
  <c r="H67" i="47" s="1"/>
  <c r="E68" i="47"/>
  <c r="G68" i="47" s="1"/>
  <c r="H68" i="47" s="1"/>
  <c r="E76" i="47"/>
  <c r="G76" i="47" s="1"/>
  <c r="H76" i="47" s="1"/>
  <c r="C54" i="47"/>
  <c r="D54" i="47" s="1"/>
  <c r="E107" i="47" s="1"/>
  <c r="AC25" i="62"/>
  <c r="E8" i="64"/>
  <c r="G8" i="64" s="1"/>
  <c r="H8" i="64" s="1"/>
  <c r="K8" i="64" s="1"/>
  <c r="L8" i="64" s="1"/>
  <c r="E10" i="64"/>
  <c r="G10" i="64" s="1"/>
  <c r="H10" i="64" s="1"/>
  <c r="K10" i="64" s="1"/>
  <c r="L10" i="64" s="1"/>
  <c r="E12" i="64"/>
  <c r="G12" i="64" s="1"/>
  <c r="H12" i="64" s="1"/>
  <c r="K12" i="64" s="1"/>
  <c r="L12" i="64" s="1"/>
  <c r="E5" i="64"/>
  <c r="G5" i="64" s="1"/>
  <c r="H5" i="64" s="1"/>
  <c r="K5" i="64" s="1"/>
  <c r="L5" i="64" s="1"/>
  <c r="E7" i="64"/>
  <c r="G7" i="64" s="1"/>
  <c r="H7" i="64" s="1"/>
  <c r="K7" i="64" s="1"/>
  <c r="L7" i="64" s="1"/>
  <c r="E6" i="64"/>
  <c r="G6" i="64" s="1"/>
  <c r="H6" i="64" s="1"/>
  <c r="K6" i="64" s="1"/>
  <c r="L6" i="64" s="1"/>
  <c r="E9" i="64"/>
  <c r="G9" i="64" s="1"/>
  <c r="H9" i="64" s="1"/>
  <c r="K9" i="64" s="1"/>
  <c r="L9" i="64" s="1"/>
  <c r="I1" i="64"/>
  <c r="C52" i="64" s="1"/>
  <c r="E93" i="57"/>
  <c r="G93" i="57" s="1"/>
  <c r="H93" i="57" s="1"/>
  <c r="H55" i="57"/>
  <c r="E120" i="57" s="1"/>
  <c r="G120" i="57" s="1"/>
  <c r="H120" i="57" s="1"/>
  <c r="E73" i="47"/>
  <c r="G73" i="47" s="1"/>
  <c r="H73" i="47" s="1"/>
  <c r="E71" i="47"/>
  <c r="G71" i="47" s="1"/>
  <c r="H71" i="47" s="1"/>
  <c r="E77" i="47"/>
  <c r="G77" i="47" s="1"/>
  <c r="H77" i="47" s="1"/>
  <c r="E70" i="47"/>
  <c r="G70" i="47" s="1"/>
  <c r="H70" i="47" s="1"/>
  <c r="E69" i="47"/>
  <c r="G69" i="47" s="1"/>
  <c r="H69" i="47" s="1"/>
  <c r="E72" i="47"/>
  <c r="G72" i="47" s="1"/>
  <c r="H72" i="47" s="1"/>
  <c r="E81" i="47"/>
  <c r="G81" i="47" s="1"/>
  <c r="H81" i="47" s="1"/>
  <c r="E80" i="47"/>
  <c r="G80" i="47" s="1"/>
  <c r="H80" i="47" s="1"/>
  <c r="E78" i="47"/>
  <c r="G78" i="47" s="1"/>
  <c r="H78" i="47" s="1"/>
  <c r="E74" i="47"/>
  <c r="G74" i="47" s="1"/>
  <c r="H74" i="47" s="1"/>
  <c r="E75" i="47"/>
  <c r="G75" i="47" s="1"/>
  <c r="H75" i="47" s="1"/>
  <c r="E79" i="47"/>
  <c r="G79" i="47" s="1"/>
  <c r="H79" i="47" s="1"/>
  <c r="E84" i="41"/>
  <c r="G84" i="41" s="1"/>
  <c r="H84" i="41" s="1"/>
  <c r="E87" i="41"/>
  <c r="G87" i="41" s="1"/>
  <c r="H87" i="41" s="1"/>
  <c r="E82" i="41"/>
  <c r="G82" i="41" s="1"/>
  <c r="H82" i="41" s="1"/>
  <c r="E85" i="41"/>
  <c r="G85" i="41" s="1"/>
  <c r="H85" i="41" s="1"/>
  <c r="E86" i="41"/>
  <c r="G86" i="41" s="1"/>
  <c r="H86" i="41" s="1"/>
  <c r="E88" i="41"/>
  <c r="G88" i="41" s="1"/>
  <c r="H88" i="41" s="1"/>
  <c r="E89" i="41"/>
  <c r="G89" i="41" s="1"/>
  <c r="H89" i="41" s="1"/>
  <c r="E90" i="41"/>
  <c r="G90" i="41" s="1"/>
  <c r="H90" i="41" s="1"/>
  <c r="E83" i="41"/>
  <c r="G83" i="41" s="1"/>
  <c r="H83" i="41" s="1"/>
  <c r="C55" i="41"/>
  <c r="D55" i="41" s="1"/>
  <c r="G67" i="24"/>
  <c r="H67" i="24" s="1"/>
  <c r="G66" i="24"/>
  <c r="H66" i="24" s="1"/>
  <c r="G72" i="24"/>
  <c r="H72" i="24" s="1"/>
  <c r="G71" i="24"/>
  <c r="H71" i="24" s="1"/>
  <c r="G68" i="24"/>
  <c r="H68" i="24" s="1"/>
  <c r="G65" i="24"/>
  <c r="H65" i="24" s="1"/>
  <c r="G69" i="24"/>
  <c r="H69" i="24" s="1"/>
  <c r="G70" i="24"/>
  <c r="H70" i="24" s="1"/>
  <c r="E11" i="64"/>
  <c r="G11" i="64" s="1"/>
  <c r="H11" i="64" s="1"/>
  <c r="K11" i="64" s="1"/>
  <c r="L11" i="64" s="1"/>
  <c r="C55" i="61"/>
  <c r="D55" i="61" s="1"/>
  <c r="C55" i="57"/>
  <c r="D55" i="57" s="1"/>
  <c r="E108" i="57"/>
  <c r="G108" i="57" s="1"/>
  <c r="H108" i="57" s="1"/>
  <c r="E107" i="57"/>
  <c r="G107" i="57" s="1"/>
  <c r="H107" i="57" s="1"/>
  <c r="E97" i="57"/>
  <c r="G97" i="57" s="1"/>
  <c r="H97" i="57" s="1"/>
  <c r="E101" i="57"/>
  <c r="G101" i="57" s="1"/>
  <c r="H101" i="57" s="1"/>
  <c r="E98" i="57"/>
  <c r="G98" i="57" s="1"/>
  <c r="H98" i="57" s="1"/>
  <c r="E100" i="57"/>
  <c r="G100" i="57" s="1"/>
  <c r="H100" i="57" s="1"/>
  <c r="E103" i="57"/>
  <c r="G103" i="57" s="1"/>
  <c r="H103" i="57" s="1"/>
  <c r="E113" i="57"/>
  <c r="G113" i="57" s="1"/>
  <c r="H113" i="57" s="1"/>
  <c r="E94" i="57"/>
  <c r="G94" i="57" s="1"/>
  <c r="H94" i="57" s="1"/>
  <c r="E105" i="57"/>
  <c r="G105" i="57" s="1"/>
  <c r="H105" i="57" s="1"/>
  <c r="E109" i="57"/>
  <c r="G109" i="57" s="1"/>
  <c r="H109" i="57" s="1"/>
  <c r="E111" i="57"/>
  <c r="G111" i="57" s="1"/>
  <c r="H111" i="57" s="1"/>
  <c r="C54" i="78"/>
  <c r="C55" i="65"/>
  <c r="D55" i="65" s="1"/>
  <c r="E106" i="57"/>
  <c r="G106" i="57" s="1"/>
  <c r="H106" i="57" s="1"/>
  <c r="E104" i="57"/>
  <c r="G104" i="57" s="1"/>
  <c r="H104" i="57" s="1"/>
  <c r="E102" i="57"/>
  <c r="G102" i="57" s="1"/>
  <c r="H102" i="57" s="1"/>
  <c r="E96" i="57"/>
  <c r="G96" i="57" s="1"/>
  <c r="H96" i="57" s="1"/>
  <c r="I55" i="20"/>
  <c r="E13" i="64"/>
  <c r="G13" i="64" s="1"/>
  <c r="H13" i="64" s="1"/>
  <c r="K13" i="64" s="1"/>
  <c r="L13" i="64" s="1"/>
  <c r="E95" i="57"/>
  <c r="G95" i="57" s="1"/>
  <c r="H95" i="57" s="1"/>
  <c r="E110" i="57"/>
  <c r="G110" i="57" s="1"/>
  <c r="H110" i="57" s="1"/>
  <c r="E112" i="57"/>
  <c r="G112" i="57" s="1"/>
  <c r="H112" i="57" s="1"/>
  <c r="E99" i="57"/>
  <c r="G99" i="57" s="1"/>
  <c r="H99" i="57" s="1"/>
  <c r="E88" i="49"/>
  <c r="G88" i="49" s="1"/>
  <c r="H88" i="49" s="1"/>
  <c r="E97" i="49"/>
  <c r="G97" i="49" s="1"/>
  <c r="H97" i="49" s="1"/>
  <c r="E94" i="49"/>
  <c r="G94" i="49" s="1"/>
  <c r="H94" i="49" s="1"/>
  <c r="E93" i="49"/>
  <c r="G93" i="49" s="1"/>
  <c r="H93" i="49" s="1"/>
  <c r="E92" i="49"/>
  <c r="G92" i="49" s="1"/>
  <c r="H92" i="49" s="1"/>
  <c r="E90" i="49"/>
  <c r="G90" i="49" s="1"/>
  <c r="H90" i="49" s="1"/>
  <c r="E89" i="49"/>
  <c r="G89" i="49" s="1"/>
  <c r="H89" i="49" s="1"/>
  <c r="E96" i="49"/>
  <c r="G96" i="49" s="1"/>
  <c r="H96" i="49" s="1"/>
  <c r="E91" i="49"/>
  <c r="G91" i="49" s="1"/>
  <c r="H91" i="49" s="1"/>
  <c r="H55" i="43"/>
  <c r="H55" i="41"/>
  <c r="B62" i="34"/>
  <c r="H55" i="29"/>
  <c r="E110" i="29" s="1"/>
  <c r="G110" i="29" s="1"/>
  <c r="H110" i="29" s="1"/>
  <c r="E65" i="71"/>
  <c r="G65" i="71" s="1"/>
  <c r="H65" i="71" s="1"/>
  <c r="H54" i="71"/>
  <c r="C55" i="67"/>
  <c r="D55" i="67" s="1"/>
  <c r="E95" i="49"/>
  <c r="G95" i="49" s="1"/>
  <c r="H95" i="49" s="1"/>
  <c r="E86" i="49"/>
  <c r="G86" i="49" s="1"/>
  <c r="H86" i="49" s="1"/>
  <c r="B75" i="34"/>
  <c r="B89" i="34"/>
  <c r="C55" i="17"/>
  <c r="B94" i="17" s="1"/>
  <c r="C55" i="15"/>
  <c r="D55" i="15" s="1"/>
  <c r="E109" i="15"/>
  <c r="G109" i="15" s="1"/>
  <c r="H109" i="15" s="1"/>
  <c r="E116" i="15"/>
  <c r="G116" i="15" s="1"/>
  <c r="H116" i="15" s="1"/>
  <c r="E115" i="15"/>
  <c r="G115" i="15" s="1"/>
  <c r="H115" i="15" s="1"/>
  <c r="E110" i="15"/>
  <c r="G110" i="15" s="1"/>
  <c r="H110" i="15" s="1"/>
  <c r="E105" i="15"/>
  <c r="G105" i="15" s="1"/>
  <c r="H105" i="15" s="1"/>
  <c r="E101" i="15"/>
  <c r="G101" i="15" s="1"/>
  <c r="H101" i="15" s="1"/>
  <c r="E117" i="15"/>
  <c r="G117" i="15" s="1"/>
  <c r="H117" i="15" s="1"/>
  <c r="E104" i="15"/>
  <c r="G104" i="15" s="1"/>
  <c r="H104" i="15" s="1"/>
  <c r="E112" i="15"/>
  <c r="G112" i="15" s="1"/>
  <c r="H112" i="15" s="1"/>
  <c r="E120" i="15"/>
  <c r="G120" i="15" s="1"/>
  <c r="H120" i="15" s="1"/>
  <c r="E108" i="15"/>
  <c r="G108" i="15" s="1"/>
  <c r="H108" i="15" s="1"/>
  <c r="E99" i="15"/>
  <c r="G99" i="15" s="1"/>
  <c r="H99" i="15" s="1"/>
  <c r="E107" i="15"/>
  <c r="G107" i="15" s="1"/>
  <c r="H107" i="15" s="1"/>
  <c r="E102" i="15"/>
  <c r="G102" i="15" s="1"/>
  <c r="H102" i="15" s="1"/>
  <c r="E118" i="15"/>
  <c r="G118" i="15" s="1"/>
  <c r="H118" i="15" s="1"/>
  <c r="E121" i="15"/>
  <c r="G121" i="15" s="1"/>
  <c r="H121" i="15" s="1"/>
  <c r="B62" i="5"/>
  <c r="E93" i="77"/>
  <c r="G93" i="77" s="1"/>
  <c r="H93" i="77" s="1"/>
  <c r="H56" i="77"/>
  <c r="H57" i="77" s="1"/>
  <c r="E96" i="59"/>
  <c r="G96" i="59" s="1"/>
  <c r="H96" i="59" s="1"/>
  <c r="E102" i="59"/>
  <c r="G102" i="59" s="1"/>
  <c r="H102" i="59" s="1"/>
  <c r="E90" i="59"/>
  <c r="G90" i="59" s="1"/>
  <c r="H90" i="59" s="1"/>
  <c r="E91" i="59"/>
  <c r="G91" i="59" s="1"/>
  <c r="H91" i="59" s="1"/>
  <c r="E92" i="59"/>
  <c r="G92" i="59" s="1"/>
  <c r="H92" i="59" s="1"/>
  <c r="E93" i="59"/>
  <c r="G93" i="59" s="1"/>
  <c r="H93" i="59" s="1"/>
  <c r="E94" i="59"/>
  <c r="G94" i="59" s="1"/>
  <c r="H94" i="59" s="1"/>
  <c r="E97" i="59"/>
  <c r="G97" i="59" s="1"/>
  <c r="H97" i="59" s="1"/>
  <c r="E98" i="59"/>
  <c r="G98" i="59" s="1"/>
  <c r="H98" i="59" s="1"/>
  <c r="E99" i="59"/>
  <c r="G99" i="59" s="1"/>
  <c r="H99" i="59" s="1"/>
  <c r="E100" i="59"/>
  <c r="G100" i="59" s="1"/>
  <c r="H100" i="59" s="1"/>
  <c r="E101" i="59"/>
  <c r="G101" i="59" s="1"/>
  <c r="H101" i="59" s="1"/>
  <c r="E103" i="59"/>
  <c r="G103" i="59" s="1"/>
  <c r="H103" i="59" s="1"/>
  <c r="E89" i="59"/>
  <c r="G89" i="59" s="1"/>
  <c r="H89" i="59" s="1"/>
  <c r="E95" i="59"/>
  <c r="G95" i="59" s="1"/>
  <c r="H95" i="59" s="1"/>
  <c r="C55" i="59"/>
  <c r="D55" i="59" s="1"/>
  <c r="E69" i="53"/>
  <c r="G69" i="53" s="1"/>
  <c r="H69" i="53" s="1"/>
  <c r="E70" i="53"/>
  <c r="G70" i="53" s="1"/>
  <c r="H70" i="53" s="1"/>
  <c r="E67" i="53"/>
  <c r="G67" i="53" s="1"/>
  <c r="H67" i="53" s="1"/>
  <c r="E68" i="53"/>
  <c r="G68" i="53" s="1"/>
  <c r="H68" i="53" s="1"/>
  <c r="C54" i="53"/>
  <c r="D54" i="53" s="1"/>
  <c r="E87" i="49"/>
  <c r="G87" i="49" s="1"/>
  <c r="H87" i="49" s="1"/>
  <c r="E96" i="34"/>
  <c r="G96" i="34" s="1"/>
  <c r="H96" i="34" s="1"/>
  <c r="E91" i="34"/>
  <c r="G91" i="34" s="1"/>
  <c r="H91" i="34" s="1"/>
  <c r="H56" i="34"/>
  <c r="E95" i="34"/>
  <c r="G95" i="34" s="1"/>
  <c r="H95" i="34" s="1"/>
  <c r="E94" i="34"/>
  <c r="G94" i="34" s="1"/>
  <c r="H94" i="34" s="1"/>
  <c r="B88" i="34"/>
  <c r="B63" i="34"/>
  <c r="E92" i="34"/>
  <c r="G92" i="34" s="1"/>
  <c r="H92" i="34" s="1"/>
  <c r="E93" i="34"/>
  <c r="G93" i="34" s="1"/>
  <c r="H93" i="34" s="1"/>
  <c r="E100" i="18"/>
  <c r="G100" i="18" s="1"/>
  <c r="H100" i="18" s="1"/>
  <c r="E103" i="18"/>
  <c r="G103" i="18" s="1"/>
  <c r="H103" i="18" s="1"/>
  <c r="E92" i="18"/>
  <c r="G92" i="18" s="1"/>
  <c r="H92" i="18" s="1"/>
  <c r="E105" i="18"/>
  <c r="G105" i="18" s="1"/>
  <c r="H105" i="18" s="1"/>
  <c r="E96" i="18"/>
  <c r="G96" i="18" s="1"/>
  <c r="H96" i="18" s="1"/>
  <c r="E99" i="18"/>
  <c r="G99" i="18" s="1"/>
  <c r="H99" i="18" s="1"/>
  <c r="E94" i="18"/>
  <c r="G94" i="18" s="1"/>
  <c r="H94" i="18" s="1"/>
  <c r="E97" i="18"/>
  <c r="G97" i="18" s="1"/>
  <c r="H97" i="18" s="1"/>
  <c r="E101" i="18"/>
  <c r="G101" i="18" s="1"/>
  <c r="H101" i="18" s="1"/>
  <c r="E91" i="18"/>
  <c r="G91" i="18" s="1"/>
  <c r="H91" i="18" s="1"/>
  <c r="E104" i="18"/>
  <c r="G104" i="18" s="1"/>
  <c r="H104" i="18" s="1"/>
  <c r="E93" i="18"/>
  <c r="G93" i="18" s="1"/>
  <c r="H93" i="18" s="1"/>
  <c r="C55" i="18"/>
  <c r="D55" i="18" s="1"/>
  <c r="E100" i="15"/>
  <c r="G100" i="15" s="1"/>
  <c r="H100" i="15" s="1"/>
  <c r="E103" i="15"/>
  <c r="G103" i="15" s="1"/>
  <c r="H103" i="15" s="1"/>
  <c r="E111" i="15"/>
  <c r="G111" i="15" s="1"/>
  <c r="H111" i="15" s="1"/>
  <c r="E119" i="15"/>
  <c r="G119" i="15" s="1"/>
  <c r="H119" i="15" s="1"/>
  <c r="E98" i="15"/>
  <c r="G98" i="15" s="1"/>
  <c r="H98" i="15" s="1"/>
  <c r="E106" i="15"/>
  <c r="G106" i="15" s="1"/>
  <c r="H106" i="15" s="1"/>
  <c r="E114" i="15"/>
  <c r="G114" i="15" s="1"/>
  <c r="H114" i="15" s="1"/>
  <c r="C55" i="69"/>
  <c r="G65" i="72"/>
  <c r="H65" i="72" s="1"/>
  <c r="H54" i="72"/>
  <c r="E94" i="72" s="1"/>
  <c r="G94" i="72" s="1"/>
  <c r="H94" i="72" s="1"/>
  <c r="E91" i="77"/>
  <c r="G91" i="77" s="1"/>
  <c r="H91" i="77" s="1"/>
  <c r="E95" i="77"/>
  <c r="G95" i="77" s="1"/>
  <c r="H95" i="77" s="1"/>
  <c r="E92" i="77"/>
  <c r="G92" i="77" s="1"/>
  <c r="H92" i="77" s="1"/>
  <c r="E96" i="77"/>
  <c r="G96" i="77" s="1"/>
  <c r="H96" i="77" s="1"/>
  <c r="E94" i="77"/>
  <c r="G94" i="77" s="1"/>
  <c r="H94" i="77" s="1"/>
  <c r="E92" i="16"/>
  <c r="G92" i="16" s="1"/>
  <c r="H92" i="16" s="1"/>
  <c r="J56" i="65"/>
  <c r="J57" i="65" s="1"/>
  <c r="I57" i="65" s="1"/>
  <c r="AC25" i="59"/>
  <c r="C55" i="49"/>
  <c r="D55" i="49" s="1"/>
  <c r="E113" i="17"/>
  <c r="G113" i="17" s="1"/>
  <c r="H113" i="17" s="1"/>
  <c r="E116" i="17"/>
  <c r="G116" i="17" s="1"/>
  <c r="H116" i="17" s="1"/>
  <c r="E111" i="17"/>
  <c r="G111" i="17" s="1"/>
  <c r="H111" i="17" s="1"/>
  <c r="E97" i="17"/>
  <c r="G97" i="17" s="1"/>
  <c r="H97" i="17" s="1"/>
  <c r="G67" i="17"/>
  <c r="H67" i="17" s="1"/>
  <c r="E91" i="16"/>
  <c r="G91" i="16" s="1"/>
  <c r="H91" i="16" s="1"/>
  <c r="E94" i="16"/>
  <c r="G94" i="16" s="1"/>
  <c r="H94" i="16" s="1"/>
  <c r="E113" i="15"/>
  <c r="G113" i="15" s="1"/>
  <c r="H113" i="15" s="1"/>
  <c r="I55" i="65"/>
  <c r="E96" i="56"/>
  <c r="G96" i="56" s="1"/>
  <c r="H96" i="56" s="1"/>
  <c r="E97" i="56"/>
  <c r="G97" i="56" s="1"/>
  <c r="H97" i="56" s="1"/>
  <c r="E88" i="56"/>
  <c r="G88" i="56" s="1"/>
  <c r="H88" i="56" s="1"/>
  <c r="E89" i="56"/>
  <c r="G89" i="56" s="1"/>
  <c r="H89" i="56" s="1"/>
  <c r="E86" i="56"/>
  <c r="G86" i="56" s="1"/>
  <c r="H86" i="56" s="1"/>
  <c r="E91" i="56"/>
  <c r="G91" i="56" s="1"/>
  <c r="H91" i="56" s="1"/>
  <c r="E94" i="56"/>
  <c r="G94" i="56" s="1"/>
  <c r="H94" i="56" s="1"/>
  <c r="E92" i="56"/>
  <c r="G92" i="56" s="1"/>
  <c r="H92" i="56" s="1"/>
  <c r="E87" i="56"/>
  <c r="G87" i="56" s="1"/>
  <c r="H87" i="56" s="1"/>
  <c r="E93" i="56"/>
  <c r="G93" i="56" s="1"/>
  <c r="H93" i="56" s="1"/>
  <c r="C55" i="56"/>
  <c r="D55" i="56" s="1"/>
  <c r="E95" i="56"/>
  <c r="G95" i="56" s="1"/>
  <c r="H95" i="56" s="1"/>
  <c r="E90" i="56"/>
  <c r="G90" i="56" s="1"/>
  <c r="H90" i="56" s="1"/>
  <c r="E100" i="44"/>
  <c r="G100" i="44" s="1"/>
  <c r="H100" i="44" s="1"/>
  <c r="E103" i="44"/>
  <c r="G103" i="44" s="1"/>
  <c r="H103" i="44" s="1"/>
  <c r="E101" i="44"/>
  <c r="G101" i="44" s="1"/>
  <c r="H101" i="44" s="1"/>
  <c r="E93" i="44"/>
  <c r="G93" i="44" s="1"/>
  <c r="H93" i="44" s="1"/>
  <c r="E105" i="44"/>
  <c r="G105" i="44" s="1"/>
  <c r="H105" i="44" s="1"/>
  <c r="E91" i="44"/>
  <c r="G91" i="44" s="1"/>
  <c r="H91" i="44" s="1"/>
  <c r="E99" i="44"/>
  <c r="G99" i="44" s="1"/>
  <c r="H99" i="44" s="1"/>
  <c r="E98" i="44"/>
  <c r="G98" i="44" s="1"/>
  <c r="H98" i="44" s="1"/>
  <c r="C55" i="44"/>
  <c r="D55" i="44" s="1"/>
  <c r="E94" i="44"/>
  <c r="G94" i="44" s="1"/>
  <c r="H94" i="44" s="1"/>
  <c r="E96" i="44"/>
  <c r="G96" i="44" s="1"/>
  <c r="H96" i="44" s="1"/>
  <c r="E92" i="44"/>
  <c r="G92" i="44" s="1"/>
  <c r="H92" i="44" s="1"/>
  <c r="E95" i="44"/>
  <c r="G95" i="44" s="1"/>
  <c r="H95" i="44" s="1"/>
  <c r="E104" i="44"/>
  <c r="G104" i="44" s="1"/>
  <c r="H104" i="44" s="1"/>
  <c r="E97" i="44"/>
  <c r="G97" i="44" s="1"/>
  <c r="H97" i="44" s="1"/>
  <c r="E102" i="44"/>
  <c r="G102" i="44" s="1"/>
  <c r="H102" i="44" s="1"/>
  <c r="G66" i="42"/>
  <c r="H66" i="42" s="1"/>
  <c r="G70" i="42"/>
  <c r="H70" i="42" s="1"/>
  <c r="G68" i="42"/>
  <c r="H68" i="42" s="1"/>
  <c r="G65" i="42"/>
  <c r="H65" i="42" s="1"/>
  <c r="G71" i="42"/>
  <c r="H71" i="42" s="1"/>
  <c r="G69" i="42"/>
  <c r="H69" i="42" s="1"/>
  <c r="G72" i="42"/>
  <c r="H72" i="42" s="1"/>
  <c r="G67" i="42"/>
  <c r="H67" i="42" s="1"/>
  <c r="T34" i="42"/>
  <c r="AC25" i="42" s="1"/>
  <c r="AF30" i="17"/>
  <c r="AC25" i="17" s="1"/>
  <c r="C55" i="28"/>
  <c r="D55" i="28" s="1"/>
  <c r="E92" i="28"/>
  <c r="G92" i="28" s="1"/>
  <c r="H92" i="28" s="1"/>
  <c r="E101" i="28"/>
  <c r="G101" i="28" s="1"/>
  <c r="H101" i="28" s="1"/>
  <c r="E105" i="28"/>
  <c r="G105" i="28" s="1"/>
  <c r="H105" i="28" s="1"/>
  <c r="E97" i="28"/>
  <c r="G97" i="28" s="1"/>
  <c r="H97" i="28" s="1"/>
  <c r="E106" i="28"/>
  <c r="G106" i="28" s="1"/>
  <c r="H106" i="28" s="1"/>
  <c r="E98" i="28"/>
  <c r="G98" i="28" s="1"/>
  <c r="H98" i="28" s="1"/>
  <c r="E96" i="28"/>
  <c r="G96" i="28" s="1"/>
  <c r="H96" i="28" s="1"/>
  <c r="E103" i="28"/>
  <c r="G103" i="28" s="1"/>
  <c r="H103" i="28" s="1"/>
  <c r="C55" i="21"/>
  <c r="D55" i="21" s="1"/>
  <c r="E87" i="20"/>
  <c r="G87" i="20" s="1"/>
  <c r="H87" i="20" s="1"/>
  <c r="H55" i="20"/>
  <c r="G90" i="18"/>
  <c r="H90" i="18" s="1"/>
  <c r="H55" i="18"/>
  <c r="E110" i="17"/>
  <c r="G110" i="17" s="1"/>
  <c r="H110" i="17" s="1"/>
  <c r="E100" i="17"/>
  <c r="G100" i="17" s="1"/>
  <c r="H100" i="17" s="1"/>
  <c r="E102" i="17"/>
  <c r="G102" i="17" s="1"/>
  <c r="H102" i="17" s="1"/>
  <c r="C55" i="16"/>
  <c r="D55" i="16" s="1"/>
  <c r="E93" i="16"/>
  <c r="G93" i="16" s="1"/>
  <c r="H93" i="16" s="1"/>
  <c r="E90" i="16"/>
  <c r="G90" i="16" s="1"/>
  <c r="H90" i="16" s="1"/>
  <c r="E87" i="16"/>
  <c r="G87" i="16" s="1"/>
  <c r="H87" i="16" s="1"/>
  <c r="E89" i="16"/>
  <c r="G89" i="16" s="1"/>
  <c r="H89" i="16" s="1"/>
  <c r="E88" i="16"/>
  <c r="G88" i="16" s="1"/>
  <c r="H88" i="16" s="1"/>
  <c r="E77" i="10"/>
  <c r="G77" i="10" s="1"/>
  <c r="H77" i="10" s="1"/>
  <c r="E80" i="10"/>
  <c r="G80" i="10" s="1"/>
  <c r="H80" i="10" s="1"/>
  <c r="E76" i="10"/>
  <c r="G76" i="10" s="1"/>
  <c r="H76" i="10" s="1"/>
  <c r="E78" i="10"/>
  <c r="G78" i="10" s="1"/>
  <c r="H78" i="10" s="1"/>
  <c r="E79" i="10"/>
  <c r="G79" i="10" s="1"/>
  <c r="H79" i="10" s="1"/>
  <c r="H55" i="10"/>
  <c r="G71" i="40"/>
  <c r="H71" i="40" s="1"/>
  <c r="G68" i="40"/>
  <c r="H68" i="40" s="1"/>
  <c r="G69" i="40"/>
  <c r="H69" i="40" s="1"/>
  <c r="G73" i="40"/>
  <c r="H73" i="40" s="1"/>
  <c r="G65" i="40"/>
  <c r="H65" i="40" s="1"/>
  <c r="G66" i="40"/>
  <c r="H66" i="40" s="1"/>
  <c r="G70" i="40"/>
  <c r="H70" i="40" s="1"/>
  <c r="G67" i="40"/>
  <c r="H67" i="40" s="1"/>
  <c r="G72" i="40"/>
  <c r="H72" i="40" s="1"/>
  <c r="I55" i="29"/>
  <c r="E94" i="28"/>
  <c r="G94" i="28" s="1"/>
  <c r="H94" i="28" s="1"/>
  <c r="E110" i="28"/>
  <c r="G110" i="28" s="1"/>
  <c r="H110" i="28" s="1"/>
  <c r="E109" i="28"/>
  <c r="G109" i="28" s="1"/>
  <c r="H109" i="28" s="1"/>
  <c r="E100" i="28"/>
  <c r="G100" i="28" s="1"/>
  <c r="H100" i="28" s="1"/>
  <c r="E95" i="28"/>
  <c r="G95" i="28" s="1"/>
  <c r="H95" i="28" s="1"/>
  <c r="E108" i="28"/>
  <c r="G108" i="28" s="1"/>
  <c r="H108" i="28" s="1"/>
  <c r="E99" i="28"/>
  <c r="G99" i="28" s="1"/>
  <c r="H99" i="28" s="1"/>
  <c r="E102" i="28"/>
  <c r="G102" i="28" s="1"/>
  <c r="H102" i="28" s="1"/>
  <c r="E107" i="28"/>
  <c r="G107" i="28" s="1"/>
  <c r="H107" i="28" s="1"/>
  <c r="E93" i="28"/>
  <c r="G93" i="28" s="1"/>
  <c r="H93" i="28" s="1"/>
  <c r="B63" i="26"/>
  <c r="B63" i="20"/>
  <c r="B105" i="20"/>
  <c r="B85" i="20"/>
  <c r="B62" i="20"/>
  <c r="E102" i="18"/>
  <c r="G102" i="18" s="1"/>
  <c r="H102" i="18" s="1"/>
  <c r="E98" i="18"/>
  <c r="G98" i="18" s="1"/>
  <c r="H98" i="18" s="1"/>
  <c r="E95" i="18"/>
  <c r="G95" i="18" s="1"/>
  <c r="H95" i="18" s="1"/>
  <c r="E105" i="17"/>
  <c r="G105" i="17" s="1"/>
  <c r="H105" i="17" s="1"/>
  <c r="E107" i="17"/>
  <c r="G107" i="17" s="1"/>
  <c r="H107" i="17" s="1"/>
  <c r="E108" i="17"/>
  <c r="G108" i="17" s="1"/>
  <c r="H108" i="17" s="1"/>
  <c r="E103" i="17"/>
  <c r="G103" i="17" s="1"/>
  <c r="H103" i="17" s="1"/>
  <c r="E98" i="17"/>
  <c r="G98" i="17" s="1"/>
  <c r="H98" i="17" s="1"/>
  <c r="E101" i="17"/>
  <c r="G101" i="17" s="1"/>
  <c r="H101" i="17" s="1"/>
  <c r="E117" i="17"/>
  <c r="G117" i="17" s="1"/>
  <c r="H117" i="17" s="1"/>
  <c r="E112" i="17"/>
  <c r="G112" i="17" s="1"/>
  <c r="H112" i="17" s="1"/>
  <c r="E99" i="17"/>
  <c r="G99" i="17" s="1"/>
  <c r="H99" i="17" s="1"/>
  <c r="E119" i="17"/>
  <c r="G119" i="17" s="1"/>
  <c r="H119" i="17" s="1"/>
  <c r="E106" i="17"/>
  <c r="G106" i="17" s="1"/>
  <c r="H106" i="17" s="1"/>
  <c r="E114" i="17"/>
  <c r="G114" i="17" s="1"/>
  <c r="H114" i="17" s="1"/>
  <c r="E109" i="17"/>
  <c r="G109" i="17" s="1"/>
  <c r="H109" i="17" s="1"/>
  <c r="E104" i="17"/>
  <c r="G104" i="17" s="1"/>
  <c r="H104" i="17" s="1"/>
  <c r="E115" i="17"/>
  <c r="G115" i="17" s="1"/>
  <c r="H115" i="17" s="1"/>
  <c r="E118" i="17"/>
  <c r="G118" i="17" s="1"/>
  <c r="H118" i="17" s="1"/>
  <c r="H55" i="8"/>
  <c r="E115" i="8" s="1"/>
  <c r="G115" i="8" s="1"/>
  <c r="H115" i="8" s="1"/>
  <c r="E113" i="29"/>
  <c r="G113" i="29" s="1"/>
  <c r="H113" i="29" s="1"/>
  <c r="B62" i="27"/>
  <c r="C54" i="37"/>
  <c r="D54" i="37" s="1"/>
  <c r="B62" i="26"/>
  <c r="B85" i="27"/>
  <c r="I56" i="23"/>
  <c r="E114" i="20"/>
  <c r="G114" i="20" s="1"/>
  <c r="H114" i="20" s="1"/>
  <c r="E122" i="20"/>
  <c r="G122" i="20" s="1"/>
  <c r="H122" i="20" s="1"/>
  <c r="E110" i="20"/>
  <c r="G110" i="20" s="1"/>
  <c r="H110" i="20" s="1"/>
  <c r="E113" i="20"/>
  <c r="G113" i="20" s="1"/>
  <c r="H113" i="20" s="1"/>
  <c r="E116" i="20"/>
  <c r="G116" i="20" s="1"/>
  <c r="H116" i="20" s="1"/>
  <c r="E117" i="20"/>
  <c r="G117" i="20" s="1"/>
  <c r="H117" i="20" s="1"/>
  <c r="E109" i="20"/>
  <c r="G109" i="20" s="1"/>
  <c r="H109" i="20" s="1"/>
  <c r="E121" i="20"/>
  <c r="G121" i="20" s="1"/>
  <c r="H121" i="20" s="1"/>
  <c r="B63" i="5"/>
  <c r="H55" i="59"/>
  <c r="E88" i="59"/>
  <c r="G88" i="59" s="1"/>
  <c r="H88" i="59" s="1"/>
  <c r="B63" i="73"/>
  <c r="B62" i="73"/>
  <c r="C55" i="73"/>
  <c r="D55" i="73" s="1"/>
  <c r="U35" i="65"/>
  <c r="E104" i="58"/>
  <c r="G104" i="58" s="1"/>
  <c r="H104" i="58" s="1"/>
  <c r="E89" i="58"/>
  <c r="G89" i="58" s="1"/>
  <c r="H89" i="58" s="1"/>
  <c r="E94" i="58"/>
  <c r="G94" i="58" s="1"/>
  <c r="H94" i="58" s="1"/>
  <c r="E91" i="58"/>
  <c r="G91" i="58" s="1"/>
  <c r="H91" i="58" s="1"/>
  <c r="E96" i="58"/>
  <c r="G96" i="58" s="1"/>
  <c r="H96" i="58" s="1"/>
  <c r="E92" i="58"/>
  <c r="G92" i="58" s="1"/>
  <c r="H92" i="58" s="1"/>
  <c r="E100" i="58"/>
  <c r="G100" i="58" s="1"/>
  <c r="H100" i="58" s="1"/>
  <c r="E93" i="58"/>
  <c r="G93" i="58" s="1"/>
  <c r="H93" i="58" s="1"/>
  <c r="E98" i="58"/>
  <c r="G98" i="58" s="1"/>
  <c r="H98" i="58" s="1"/>
  <c r="E102" i="58"/>
  <c r="G102" i="58" s="1"/>
  <c r="H102" i="58" s="1"/>
  <c r="E99" i="58"/>
  <c r="G99" i="58" s="1"/>
  <c r="H99" i="58" s="1"/>
  <c r="E101" i="58"/>
  <c r="G101" i="58" s="1"/>
  <c r="H101" i="58" s="1"/>
  <c r="E103" i="58"/>
  <c r="G103" i="58" s="1"/>
  <c r="H103" i="58" s="1"/>
  <c r="E97" i="58"/>
  <c r="G97" i="58" s="1"/>
  <c r="H97" i="58" s="1"/>
  <c r="E95" i="58"/>
  <c r="G95" i="58" s="1"/>
  <c r="H95" i="58" s="1"/>
  <c r="E90" i="58"/>
  <c r="G90" i="58" s="1"/>
  <c r="H90" i="58" s="1"/>
  <c r="C55" i="58"/>
  <c r="D55" i="58" s="1"/>
  <c r="E5" i="56"/>
  <c r="G5" i="56" s="1"/>
  <c r="H5" i="56" s="1"/>
  <c r="K5" i="56" s="1"/>
  <c r="L5" i="56" s="1"/>
  <c r="S35" i="56" s="1"/>
  <c r="H53" i="56"/>
  <c r="E65" i="56" s="1"/>
  <c r="G65" i="56" s="1"/>
  <c r="H65" i="56" s="1"/>
  <c r="E5" i="58"/>
  <c r="G5" i="58" s="1"/>
  <c r="H5" i="58" s="1"/>
  <c r="K5" i="58" s="1"/>
  <c r="L5" i="58" s="1"/>
  <c r="S35" i="58" s="1"/>
  <c r="H53" i="58"/>
  <c r="E65" i="58" s="1"/>
  <c r="G65" i="58" s="1"/>
  <c r="H65" i="58" s="1"/>
  <c r="I55" i="74"/>
  <c r="H53" i="74"/>
  <c r="E65" i="74" s="1"/>
  <c r="G65" i="74" s="1"/>
  <c r="H65" i="74" s="1"/>
  <c r="E5" i="74"/>
  <c r="G5" i="74" s="1"/>
  <c r="H5" i="74" s="1"/>
  <c r="K5" i="74" s="1"/>
  <c r="L5" i="74" s="1"/>
  <c r="S35" i="74" s="1"/>
  <c r="H65" i="73"/>
  <c r="K5" i="73"/>
  <c r="L5" i="73" s="1"/>
  <c r="S35" i="73" s="1"/>
  <c r="H54" i="65"/>
  <c r="C55" i="74"/>
  <c r="D55" i="74" s="1"/>
  <c r="C55" i="71"/>
  <c r="B62" i="71" s="1"/>
  <c r="I54" i="47"/>
  <c r="J55" i="47"/>
  <c r="I55" i="47" s="1"/>
  <c r="E5" i="47"/>
  <c r="G5" i="47" s="1"/>
  <c r="H5" i="47" s="1"/>
  <c r="K5" i="47" s="1"/>
  <c r="L5" i="47" s="1"/>
  <c r="S35" i="47" s="1"/>
  <c r="H53" i="47"/>
  <c r="E65" i="47" s="1"/>
  <c r="B63" i="50"/>
  <c r="B62" i="50"/>
  <c r="B86" i="50"/>
  <c r="E112" i="33"/>
  <c r="G112" i="33" s="1"/>
  <c r="H112" i="33" s="1"/>
  <c r="C55" i="43"/>
  <c r="D55" i="43" s="1"/>
  <c r="E96" i="43"/>
  <c r="G96" i="43" s="1"/>
  <c r="H96" i="43" s="1"/>
  <c r="E94" i="43"/>
  <c r="G94" i="43" s="1"/>
  <c r="H94" i="43" s="1"/>
  <c r="E92" i="43"/>
  <c r="G92" i="43" s="1"/>
  <c r="H92" i="43" s="1"/>
  <c r="E93" i="43"/>
  <c r="G93" i="43" s="1"/>
  <c r="H93" i="43" s="1"/>
  <c r="E85" i="43"/>
  <c r="G85" i="43" s="1"/>
  <c r="H85" i="43" s="1"/>
  <c r="E86" i="43"/>
  <c r="G86" i="43" s="1"/>
  <c r="H86" i="43" s="1"/>
  <c r="E88" i="43"/>
  <c r="G88" i="43" s="1"/>
  <c r="H88" i="43" s="1"/>
  <c r="E90" i="43"/>
  <c r="G90" i="43" s="1"/>
  <c r="H90" i="43" s="1"/>
  <c r="E95" i="43"/>
  <c r="G95" i="43" s="1"/>
  <c r="H95" i="43" s="1"/>
  <c r="E87" i="43"/>
  <c r="G87" i="43" s="1"/>
  <c r="H87" i="43" s="1"/>
  <c r="E89" i="43"/>
  <c r="G89" i="43" s="1"/>
  <c r="H89" i="43" s="1"/>
  <c r="E91" i="43"/>
  <c r="G91" i="43" s="1"/>
  <c r="H91" i="43" s="1"/>
  <c r="AB30" i="32"/>
  <c r="AD30" i="32" s="1"/>
  <c r="AC25" i="32" s="1"/>
  <c r="H55" i="35"/>
  <c r="B87" i="35" s="1"/>
  <c r="C54" i="32"/>
  <c r="D54" i="32" s="1"/>
  <c r="E80" i="32"/>
  <c r="G80" i="32" s="1"/>
  <c r="H80" i="32" s="1"/>
  <c r="E79" i="32"/>
  <c r="G79" i="32" s="1"/>
  <c r="H79" i="32" s="1"/>
  <c r="E78" i="32"/>
  <c r="G78" i="32" s="1"/>
  <c r="H78" i="32" s="1"/>
  <c r="E77" i="32"/>
  <c r="G77" i="32" s="1"/>
  <c r="H77" i="32" s="1"/>
  <c r="E76" i="32"/>
  <c r="G76" i="32" s="1"/>
  <c r="H76" i="32" s="1"/>
  <c r="E75" i="32"/>
  <c r="G75" i="32" s="1"/>
  <c r="H75" i="32" s="1"/>
  <c r="E74" i="32"/>
  <c r="G74" i="32" s="1"/>
  <c r="H74" i="32" s="1"/>
  <c r="E73" i="32"/>
  <c r="G73" i="32" s="1"/>
  <c r="H73" i="32" s="1"/>
  <c r="E72" i="32"/>
  <c r="G72" i="32" s="1"/>
  <c r="H72" i="32" s="1"/>
  <c r="E71" i="32"/>
  <c r="G71" i="32" s="1"/>
  <c r="H71" i="32" s="1"/>
  <c r="E70" i="32"/>
  <c r="G70" i="32" s="1"/>
  <c r="H70" i="32" s="1"/>
  <c r="E69" i="32"/>
  <c r="G69" i="32" s="1"/>
  <c r="H69" i="32" s="1"/>
  <c r="E68" i="32"/>
  <c r="G68" i="32" s="1"/>
  <c r="H68" i="32" s="1"/>
  <c r="E67" i="32"/>
  <c r="G67" i="32" s="1"/>
  <c r="H67" i="32" s="1"/>
  <c r="B64" i="31"/>
  <c r="B85" i="29"/>
  <c r="B62" i="29"/>
  <c r="B63" i="29"/>
  <c r="B84" i="29"/>
  <c r="B107" i="29"/>
  <c r="E119" i="29"/>
  <c r="G119" i="29" s="1"/>
  <c r="H119" i="29" s="1"/>
  <c r="E112" i="29"/>
  <c r="G112" i="29" s="1"/>
  <c r="H112" i="29" s="1"/>
  <c r="E121" i="29"/>
  <c r="G121" i="29" s="1"/>
  <c r="H121" i="29" s="1"/>
  <c r="E111" i="29"/>
  <c r="G111" i="29" s="1"/>
  <c r="H111" i="29" s="1"/>
  <c r="E118" i="29"/>
  <c r="G118" i="29" s="1"/>
  <c r="H118" i="29" s="1"/>
  <c r="E122" i="29"/>
  <c r="G122" i="29" s="1"/>
  <c r="H122" i="29" s="1"/>
  <c r="E120" i="29"/>
  <c r="G120" i="29" s="1"/>
  <c r="H120" i="29" s="1"/>
  <c r="E123" i="29"/>
  <c r="G123" i="29" s="1"/>
  <c r="H123" i="29" s="1"/>
  <c r="E115" i="29"/>
  <c r="G115" i="29" s="1"/>
  <c r="H115" i="29" s="1"/>
  <c r="E124" i="29"/>
  <c r="G124" i="29" s="1"/>
  <c r="H124" i="29" s="1"/>
  <c r="E117" i="29"/>
  <c r="G117" i="29" s="1"/>
  <c r="H117" i="29" s="1"/>
  <c r="E114" i="29"/>
  <c r="G114" i="29" s="1"/>
  <c r="H114" i="29" s="1"/>
  <c r="B85" i="50"/>
  <c r="B110" i="45"/>
  <c r="B109" i="45"/>
  <c r="B63" i="45"/>
  <c r="E113" i="45"/>
  <c r="G113" i="45" s="1"/>
  <c r="H113" i="45" s="1"/>
  <c r="E114" i="45"/>
  <c r="G114" i="45" s="1"/>
  <c r="H114" i="45" s="1"/>
  <c r="E115" i="45"/>
  <c r="G115" i="45" s="1"/>
  <c r="H115" i="45" s="1"/>
  <c r="E116" i="45"/>
  <c r="G116" i="45" s="1"/>
  <c r="H116" i="45" s="1"/>
  <c r="E117" i="45"/>
  <c r="G117" i="45" s="1"/>
  <c r="H117" i="45" s="1"/>
  <c r="E118" i="45"/>
  <c r="G118" i="45" s="1"/>
  <c r="H118" i="45" s="1"/>
  <c r="E119" i="45"/>
  <c r="G119" i="45" s="1"/>
  <c r="H119" i="45" s="1"/>
  <c r="E120" i="45"/>
  <c r="G120" i="45" s="1"/>
  <c r="H120" i="45" s="1"/>
  <c r="E121" i="45"/>
  <c r="G121" i="45" s="1"/>
  <c r="H121" i="45" s="1"/>
  <c r="E122" i="45"/>
  <c r="G122" i="45" s="1"/>
  <c r="H122" i="45" s="1"/>
  <c r="E123" i="45"/>
  <c r="G123" i="45" s="1"/>
  <c r="H123" i="45" s="1"/>
  <c r="E124" i="45"/>
  <c r="G124" i="45" s="1"/>
  <c r="H124" i="45" s="1"/>
  <c r="E125" i="45"/>
  <c r="G125" i="45" s="1"/>
  <c r="H125" i="45" s="1"/>
  <c r="E126" i="45"/>
  <c r="G126" i="45" s="1"/>
  <c r="H126" i="45" s="1"/>
  <c r="E127" i="45"/>
  <c r="G127" i="45" s="1"/>
  <c r="H127" i="45" s="1"/>
  <c r="E5" i="33"/>
  <c r="G5" i="33" s="1"/>
  <c r="H5" i="33" s="1"/>
  <c r="K5" i="33" s="1"/>
  <c r="L5" i="33" s="1"/>
  <c r="S35" i="33" s="1"/>
  <c r="H53" i="33"/>
  <c r="E65" i="33" s="1"/>
  <c r="G65" i="33" s="1"/>
  <c r="H65" i="33" s="1"/>
  <c r="E105" i="33"/>
  <c r="G105" i="33" s="1"/>
  <c r="H105" i="33" s="1"/>
  <c r="E96" i="33"/>
  <c r="G96" i="33" s="1"/>
  <c r="H96" i="33" s="1"/>
  <c r="E94" i="33"/>
  <c r="G94" i="33" s="1"/>
  <c r="H94" i="33" s="1"/>
  <c r="E102" i="33"/>
  <c r="E106" i="33"/>
  <c r="G106" i="33" s="1"/>
  <c r="H106" i="33" s="1"/>
  <c r="E95" i="33"/>
  <c r="E103" i="33"/>
  <c r="E107" i="33"/>
  <c r="G107" i="33" s="1"/>
  <c r="H107" i="33" s="1"/>
  <c r="E100" i="33"/>
  <c r="G100" i="33" s="1"/>
  <c r="H100" i="33" s="1"/>
  <c r="E104" i="33"/>
  <c r="E99" i="33"/>
  <c r="G99" i="33" s="1"/>
  <c r="H99" i="33" s="1"/>
  <c r="E108" i="33"/>
  <c r="E93" i="33"/>
  <c r="E101" i="33"/>
  <c r="E98" i="33"/>
  <c r="E111" i="33"/>
  <c r="E109" i="33"/>
  <c r="E97" i="33"/>
  <c r="E110" i="33"/>
  <c r="C55" i="33"/>
  <c r="B84" i="20"/>
  <c r="E112" i="20"/>
  <c r="G112" i="20" s="1"/>
  <c r="H112" i="20" s="1"/>
  <c r="E120" i="20"/>
  <c r="G120" i="20" s="1"/>
  <c r="H120" i="20" s="1"/>
  <c r="E111" i="20"/>
  <c r="G111" i="20" s="1"/>
  <c r="H111" i="20" s="1"/>
  <c r="E115" i="20"/>
  <c r="G115" i="20" s="1"/>
  <c r="H115" i="20" s="1"/>
  <c r="E118" i="20"/>
  <c r="G118" i="20" s="1"/>
  <c r="H118" i="20" s="1"/>
  <c r="E119" i="20"/>
  <c r="G119" i="20" s="1"/>
  <c r="H119" i="20" s="1"/>
  <c r="E94" i="19"/>
  <c r="G94" i="19" s="1"/>
  <c r="H94" i="19" s="1"/>
  <c r="E97" i="19"/>
  <c r="G97" i="19" s="1"/>
  <c r="H97" i="19" s="1"/>
  <c r="E92" i="19"/>
  <c r="G92" i="19" s="1"/>
  <c r="H92" i="19" s="1"/>
  <c r="E95" i="19"/>
  <c r="G95" i="19" s="1"/>
  <c r="H95" i="19" s="1"/>
  <c r="E98" i="19"/>
  <c r="G98" i="19" s="1"/>
  <c r="H98" i="19" s="1"/>
  <c r="E93" i="19"/>
  <c r="G93" i="19" s="1"/>
  <c r="H93" i="19" s="1"/>
  <c r="E91" i="19"/>
  <c r="G91" i="19" s="1"/>
  <c r="H91" i="19" s="1"/>
  <c r="E88" i="19"/>
  <c r="G88" i="19" s="1"/>
  <c r="H88" i="19" s="1"/>
  <c r="E96" i="19"/>
  <c r="G96" i="19" s="1"/>
  <c r="H96" i="19" s="1"/>
  <c r="E99" i="19"/>
  <c r="G99" i="19" s="1"/>
  <c r="H99" i="19" s="1"/>
  <c r="E89" i="19"/>
  <c r="G89" i="19" s="1"/>
  <c r="H89" i="19" s="1"/>
  <c r="C55" i="19"/>
  <c r="D55" i="19" s="1"/>
  <c r="E79" i="6"/>
  <c r="G79" i="6" s="1"/>
  <c r="H79" i="6" s="1"/>
  <c r="E81" i="6"/>
  <c r="G81" i="6" s="1"/>
  <c r="H81" i="6" s="1"/>
  <c r="E80" i="6"/>
  <c r="G80" i="6" s="1"/>
  <c r="H80" i="6" s="1"/>
  <c r="E83" i="6"/>
  <c r="G83" i="6" s="1"/>
  <c r="H83" i="6" s="1"/>
  <c r="E82" i="6"/>
  <c r="G82" i="6" s="1"/>
  <c r="H82" i="6" s="1"/>
  <c r="E84" i="6"/>
  <c r="G84" i="6" s="1"/>
  <c r="H84" i="6" s="1"/>
  <c r="E90" i="19"/>
  <c r="G90" i="19" s="1"/>
  <c r="H90" i="19" s="1"/>
  <c r="G65" i="10"/>
  <c r="H65" i="10" s="1"/>
  <c r="H53" i="7"/>
  <c r="E5" i="7"/>
  <c r="G5" i="7" s="1"/>
  <c r="H5" i="7" s="1"/>
  <c r="K5" i="7" s="1"/>
  <c r="L5" i="7" s="1"/>
  <c r="S35" i="7" s="1"/>
  <c r="I55" i="7"/>
  <c r="H54" i="69"/>
  <c r="E89" i="69" s="1"/>
  <c r="G89" i="69" s="1"/>
  <c r="H89" i="69" s="1"/>
  <c r="B87" i="45"/>
  <c r="B88" i="45"/>
  <c r="B62" i="45"/>
  <c r="E85" i="51"/>
  <c r="G85" i="51" s="1"/>
  <c r="H85" i="51" s="1"/>
  <c r="E86" i="51"/>
  <c r="G86" i="51" s="1"/>
  <c r="H86" i="51" s="1"/>
  <c r="E95" i="51"/>
  <c r="G95" i="51" s="1"/>
  <c r="H95" i="51" s="1"/>
  <c r="E92" i="51"/>
  <c r="G92" i="51" s="1"/>
  <c r="H92" i="51" s="1"/>
  <c r="E90" i="51"/>
  <c r="G90" i="51" s="1"/>
  <c r="H90" i="51" s="1"/>
  <c r="E91" i="51"/>
  <c r="G91" i="51" s="1"/>
  <c r="H91" i="51" s="1"/>
  <c r="E87" i="51"/>
  <c r="G87" i="51" s="1"/>
  <c r="H87" i="51" s="1"/>
  <c r="E84" i="51"/>
  <c r="G84" i="51" s="1"/>
  <c r="H84" i="51" s="1"/>
  <c r="E94" i="51"/>
  <c r="G94" i="51" s="1"/>
  <c r="H94" i="51" s="1"/>
  <c r="E96" i="51"/>
  <c r="G96" i="51" s="1"/>
  <c r="H96" i="51" s="1"/>
  <c r="E88" i="51"/>
  <c r="G88" i="51" s="1"/>
  <c r="H88" i="51" s="1"/>
  <c r="E89" i="51"/>
  <c r="G89" i="51" s="1"/>
  <c r="H89" i="51" s="1"/>
  <c r="E93" i="51"/>
  <c r="G93" i="51" s="1"/>
  <c r="H93" i="51" s="1"/>
  <c r="H55" i="51"/>
  <c r="G67" i="60"/>
  <c r="H67" i="60" s="1"/>
  <c r="E69" i="60"/>
  <c r="G69" i="60" s="1"/>
  <c r="H69" i="60" s="1"/>
  <c r="E75" i="60"/>
  <c r="G75" i="60" s="1"/>
  <c r="H75" i="60" s="1"/>
  <c r="E76" i="60"/>
  <c r="G76" i="60" s="1"/>
  <c r="H76" i="60" s="1"/>
  <c r="E70" i="60"/>
  <c r="G70" i="60" s="1"/>
  <c r="H70" i="60" s="1"/>
  <c r="E68" i="60"/>
  <c r="G68" i="60" s="1"/>
  <c r="H68" i="60" s="1"/>
  <c r="E74" i="60"/>
  <c r="G74" i="60" s="1"/>
  <c r="H74" i="60" s="1"/>
  <c r="E77" i="60"/>
  <c r="G77" i="60" s="1"/>
  <c r="H77" i="60" s="1"/>
  <c r="E73" i="60"/>
  <c r="G73" i="60" s="1"/>
  <c r="H73" i="60" s="1"/>
  <c r="E72" i="60"/>
  <c r="G72" i="60" s="1"/>
  <c r="H72" i="60" s="1"/>
  <c r="E71" i="60"/>
  <c r="G71" i="60" s="1"/>
  <c r="H71" i="60" s="1"/>
  <c r="E66" i="60"/>
  <c r="G66" i="60" s="1"/>
  <c r="H66" i="60" s="1"/>
  <c r="AD30" i="60"/>
  <c r="E76" i="35"/>
  <c r="G76" i="35" s="1"/>
  <c r="H76" i="35" s="1"/>
  <c r="E77" i="35"/>
  <c r="G77" i="35" s="1"/>
  <c r="H77" i="35" s="1"/>
  <c r="E79" i="35"/>
  <c r="G79" i="35" s="1"/>
  <c r="H79" i="35" s="1"/>
  <c r="E78" i="35"/>
  <c r="G78" i="35" s="1"/>
  <c r="H78" i="35" s="1"/>
  <c r="B63" i="27"/>
  <c r="G72" i="78"/>
  <c r="H72" i="78" s="1"/>
  <c r="G74" i="78"/>
  <c r="H74" i="78" s="1"/>
  <c r="G73" i="78"/>
  <c r="H73" i="78" s="1"/>
  <c r="G66" i="78"/>
  <c r="H66" i="78" s="1"/>
  <c r="G68" i="78"/>
  <c r="H68" i="78" s="1"/>
  <c r="G70" i="78"/>
  <c r="H70" i="78" s="1"/>
  <c r="G71" i="78"/>
  <c r="H71" i="78" s="1"/>
  <c r="G69" i="78"/>
  <c r="H69" i="78" s="1"/>
  <c r="G67" i="78"/>
  <c r="H67" i="78" s="1"/>
  <c r="G67" i="55"/>
  <c r="H67" i="55" s="1"/>
  <c r="G66" i="55"/>
  <c r="H66" i="55" s="1"/>
  <c r="G71" i="55"/>
  <c r="H71" i="55" s="1"/>
  <c r="G70" i="55"/>
  <c r="H70" i="55" s="1"/>
  <c r="G68" i="55"/>
  <c r="H68" i="55" s="1"/>
  <c r="G73" i="55"/>
  <c r="H73" i="55" s="1"/>
  <c r="G74" i="55"/>
  <c r="H74" i="55" s="1"/>
  <c r="G69" i="55"/>
  <c r="H69" i="55" s="1"/>
  <c r="G72" i="55"/>
  <c r="H72" i="55" s="1"/>
  <c r="G71" i="54"/>
  <c r="H71" i="54" s="1"/>
  <c r="G70" i="54"/>
  <c r="H70" i="54" s="1"/>
  <c r="G69" i="54"/>
  <c r="H69" i="54" s="1"/>
  <c r="G68" i="54"/>
  <c r="H68" i="54" s="1"/>
  <c r="G67" i="54"/>
  <c r="H67" i="54" s="1"/>
  <c r="G66" i="54"/>
  <c r="H66" i="54" s="1"/>
  <c r="G68" i="38"/>
  <c r="H68" i="38" s="1"/>
  <c r="G67" i="38"/>
  <c r="H67" i="38" s="1"/>
  <c r="G66" i="38"/>
  <c r="H66" i="38" s="1"/>
  <c r="G65" i="38"/>
  <c r="H65" i="38" s="1"/>
  <c r="G71" i="38"/>
  <c r="H71" i="38" s="1"/>
  <c r="G70" i="38"/>
  <c r="H70" i="38" s="1"/>
  <c r="G69" i="38"/>
  <c r="H69" i="38" s="1"/>
  <c r="U35" i="31"/>
  <c r="G66" i="14"/>
  <c r="H66" i="14" s="1"/>
  <c r="G68" i="14"/>
  <c r="H68" i="14" s="1"/>
  <c r="G65" i="14"/>
  <c r="H65" i="14" s="1"/>
  <c r="G71" i="14"/>
  <c r="H71" i="14" s="1"/>
  <c r="G67" i="14"/>
  <c r="H67" i="14" s="1"/>
  <c r="G69" i="14"/>
  <c r="H69" i="14" s="1"/>
  <c r="G70" i="14"/>
  <c r="H70" i="14" s="1"/>
  <c r="G69" i="13"/>
  <c r="H69" i="13" s="1"/>
  <c r="G72" i="13"/>
  <c r="H72" i="13" s="1"/>
  <c r="G67" i="13"/>
  <c r="H67" i="13" s="1"/>
  <c r="G65" i="13"/>
  <c r="H65" i="13" s="1"/>
  <c r="G73" i="13"/>
  <c r="H73" i="13" s="1"/>
  <c r="G70" i="13"/>
  <c r="H70" i="13" s="1"/>
  <c r="G71" i="13"/>
  <c r="H71" i="13" s="1"/>
  <c r="G68" i="13"/>
  <c r="H68" i="13" s="1"/>
  <c r="G66" i="13"/>
  <c r="H66" i="13" s="1"/>
  <c r="E66" i="37"/>
  <c r="G66" i="37" s="1"/>
  <c r="H66" i="37" s="1"/>
  <c r="E69" i="37"/>
  <c r="G69" i="37" s="1"/>
  <c r="H69" i="37" s="1"/>
  <c r="E72" i="37"/>
  <c r="G72" i="37" s="1"/>
  <c r="H72" i="37" s="1"/>
  <c r="E67" i="37"/>
  <c r="G67" i="37" s="1"/>
  <c r="H67" i="37" s="1"/>
  <c r="E70" i="37"/>
  <c r="G70" i="37" s="1"/>
  <c r="H70" i="37" s="1"/>
  <c r="E68" i="37"/>
  <c r="G68" i="37" s="1"/>
  <c r="H68" i="37" s="1"/>
  <c r="E71" i="37"/>
  <c r="G71" i="37" s="1"/>
  <c r="H71" i="37" s="1"/>
  <c r="G131" i="16"/>
  <c r="H131" i="16" s="1"/>
  <c r="G130" i="16"/>
  <c r="H130" i="16" s="1"/>
  <c r="E92" i="3"/>
  <c r="G92" i="3" s="1"/>
  <c r="H92" i="3" s="1"/>
  <c r="E90" i="3"/>
  <c r="G90" i="3" s="1"/>
  <c r="H90" i="3" s="1"/>
  <c r="E98" i="3"/>
  <c r="G98" i="3" s="1"/>
  <c r="H98" i="3" s="1"/>
  <c r="E102" i="3"/>
  <c r="G102" i="3" s="1"/>
  <c r="H102" i="3" s="1"/>
  <c r="E106" i="3"/>
  <c r="G106" i="3" s="1"/>
  <c r="H106" i="3" s="1"/>
  <c r="E93" i="3"/>
  <c r="G93" i="3" s="1"/>
  <c r="H93" i="3" s="1"/>
  <c r="E96" i="3"/>
  <c r="G96" i="3" s="1"/>
  <c r="H96" i="3" s="1"/>
  <c r="E99" i="3"/>
  <c r="G99" i="3" s="1"/>
  <c r="H99" i="3" s="1"/>
  <c r="E97" i="3"/>
  <c r="G97" i="3" s="1"/>
  <c r="H97" i="3" s="1"/>
  <c r="E104" i="3"/>
  <c r="G104" i="3" s="1"/>
  <c r="H104" i="3" s="1"/>
  <c r="E101" i="3"/>
  <c r="G101" i="3" s="1"/>
  <c r="H101" i="3" s="1"/>
  <c r="E103" i="3"/>
  <c r="G103" i="3" s="1"/>
  <c r="H103" i="3" s="1"/>
  <c r="E95" i="3"/>
  <c r="G95" i="3" s="1"/>
  <c r="H95" i="3" s="1"/>
  <c r="E100" i="3"/>
  <c r="G100" i="3" s="1"/>
  <c r="H100" i="3" s="1"/>
  <c r="E94" i="3"/>
  <c r="G94" i="3" s="1"/>
  <c r="H94" i="3" s="1"/>
  <c r="E105" i="3"/>
  <c r="G105" i="3" s="1"/>
  <c r="H105" i="3" s="1"/>
  <c r="E91" i="3"/>
  <c r="G91" i="3" s="1"/>
  <c r="H91" i="3" s="1"/>
  <c r="C55" i="3"/>
  <c r="D55" i="3" s="1"/>
  <c r="R48" i="3" s="1"/>
  <c r="C55" i="6"/>
  <c r="E89" i="74"/>
  <c r="G89" i="74" s="1"/>
  <c r="H89" i="74" s="1"/>
  <c r="E92" i="74"/>
  <c r="G92" i="74" s="1"/>
  <c r="H92" i="74" s="1"/>
  <c r="E93" i="74"/>
  <c r="G93" i="74" s="1"/>
  <c r="H93" i="74" s="1"/>
  <c r="E94" i="74"/>
  <c r="G94" i="74" s="1"/>
  <c r="H94" i="74" s="1"/>
  <c r="E91" i="74"/>
  <c r="G91" i="74" s="1"/>
  <c r="H91" i="74" s="1"/>
  <c r="E97" i="74"/>
  <c r="G97" i="74" s="1"/>
  <c r="H97" i="74" s="1"/>
  <c r="E99" i="74"/>
  <c r="G99" i="74" s="1"/>
  <c r="H99" i="74" s="1"/>
  <c r="E100" i="74"/>
  <c r="G100" i="74" s="1"/>
  <c r="H100" i="74" s="1"/>
  <c r="E101" i="74"/>
  <c r="G101" i="74" s="1"/>
  <c r="H101" i="74" s="1"/>
  <c r="E95" i="74"/>
  <c r="G95" i="74" s="1"/>
  <c r="H95" i="74" s="1"/>
  <c r="E96" i="74"/>
  <c r="G96" i="74" s="1"/>
  <c r="H96" i="74" s="1"/>
  <c r="E98" i="74"/>
  <c r="G98" i="74" s="1"/>
  <c r="H98" i="74" s="1"/>
  <c r="E102" i="74"/>
  <c r="G102" i="74" s="1"/>
  <c r="H102" i="74" s="1"/>
  <c r="E103" i="74"/>
  <c r="G103" i="74" s="1"/>
  <c r="H103" i="74" s="1"/>
  <c r="E104" i="74"/>
  <c r="G104" i="74" s="1"/>
  <c r="H104" i="74" s="1"/>
  <c r="E101" i="72"/>
  <c r="G101" i="72" s="1"/>
  <c r="H101" i="72" s="1"/>
  <c r="E103" i="72"/>
  <c r="G103" i="72" s="1"/>
  <c r="H103" i="72" s="1"/>
  <c r="E106" i="72"/>
  <c r="G106" i="72" s="1"/>
  <c r="H106" i="72" s="1"/>
  <c r="E109" i="72"/>
  <c r="G109" i="72" s="1"/>
  <c r="H109" i="72" s="1"/>
  <c r="E107" i="72"/>
  <c r="G107" i="72" s="1"/>
  <c r="H107" i="72" s="1"/>
  <c r="E96" i="72"/>
  <c r="G96" i="72" s="1"/>
  <c r="H96" i="72" s="1"/>
  <c r="E116" i="72"/>
  <c r="G116" i="72" s="1"/>
  <c r="H116" i="72" s="1"/>
  <c r="E98" i="72"/>
  <c r="G98" i="72" s="1"/>
  <c r="H98" i="72" s="1"/>
  <c r="E110" i="72"/>
  <c r="G110" i="72" s="1"/>
  <c r="H110" i="72" s="1"/>
  <c r="E97" i="72"/>
  <c r="G97" i="72" s="1"/>
  <c r="H97" i="72" s="1"/>
  <c r="E100" i="72"/>
  <c r="G100" i="72" s="1"/>
  <c r="H100" i="72" s="1"/>
  <c r="E105" i="72"/>
  <c r="G105" i="72" s="1"/>
  <c r="H105" i="72" s="1"/>
  <c r="E111" i="72"/>
  <c r="G111" i="72" s="1"/>
  <c r="H111" i="72" s="1"/>
  <c r="E112" i="72"/>
  <c r="G112" i="72" s="1"/>
  <c r="H112" i="72" s="1"/>
  <c r="E113" i="72"/>
  <c r="G113" i="72" s="1"/>
  <c r="H113" i="72" s="1"/>
  <c r="E115" i="72"/>
  <c r="G115" i="72" s="1"/>
  <c r="H115" i="72" s="1"/>
  <c r="E95" i="72"/>
  <c r="G95" i="72" s="1"/>
  <c r="H95" i="72" s="1"/>
  <c r="E99" i="72"/>
  <c r="G99" i="72" s="1"/>
  <c r="H99" i="72" s="1"/>
  <c r="E102" i="72"/>
  <c r="G102" i="72" s="1"/>
  <c r="H102" i="72" s="1"/>
  <c r="E104" i="72"/>
  <c r="G104" i="72" s="1"/>
  <c r="H104" i="72" s="1"/>
  <c r="E114" i="72"/>
  <c r="G114" i="72" s="1"/>
  <c r="H114" i="72" s="1"/>
  <c r="E108" i="72"/>
  <c r="G108" i="72" s="1"/>
  <c r="H108" i="72" s="1"/>
  <c r="C55" i="72"/>
  <c r="E83" i="71"/>
  <c r="G83" i="71" s="1"/>
  <c r="H83" i="71" s="1"/>
  <c r="E90" i="71"/>
  <c r="G90" i="71" s="1"/>
  <c r="H90" i="71" s="1"/>
  <c r="E92" i="71"/>
  <c r="G92" i="71" s="1"/>
  <c r="H92" i="71" s="1"/>
  <c r="E84" i="71"/>
  <c r="G84" i="71" s="1"/>
  <c r="H84" i="71" s="1"/>
  <c r="E89" i="71"/>
  <c r="G89" i="71" s="1"/>
  <c r="H89" i="71" s="1"/>
  <c r="E87" i="71"/>
  <c r="G87" i="71" s="1"/>
  <c r="H87" i="71" s="1"/>
  <c r="E88" i="71"/>
  <c r="G88" i="71" s="1"/>
  <c r="H88" i="71" s="1"/>
  <c r="E91" i="71"/>
  <c r="G91" i="71" s="1"/>
  <c r="H91" i="71" s="1"/>
  <c r="E85" i="71"/>
  <c r="G85" i="71" s="1"/>
  <c r="H85" i="71" s="1"/>
  <c r="E86" i="71"/>
  <c r="G86" i="71" s="1"/>
  <c r="H86" i="71" s="1"/>
  <c r="E80" i="70"/>
  <c r="G80" i="70" s="1"/>
  <c r="H80" i="70" s="1"/>
  <c r="E79" i="70"/>
  <c r="G79" i="70" s="1"/>
  <c r="H79" i="70" s="1"/>
  <c r="E78" i="70"/>
  <c r="G78" i="70" s="1"/>
  <c r="H78" i="70" s="1"/>
  <c r="E75" i="70"/>
  <c r="G75" i="70" s="1"/>
  <c r="H75" i="70" s="1"/>
  <c r="E74" i="70"/>
  <c r="G74" i="70" s="1"/>
  <c r="H74" i="70" s="1"/>
  <c r="E69" i="70"/>
  <c r="G69" i="70" s="1"/>
  <c r="H69" i="70" s="1"/>
  <c r="E68" i="70"/>
  <c r="G68" i="70" s="1"/>
  <c r="H68" i="70" s="1"/>
  <c r="E67" i="70"/>
  <c r="G67" i="70" s="1"/>
  <c r="H67" i="70" s="1"/>
  <c r="E83" i="70"/>
  <c r="G83" i="70" s="1"/>
  <c r="H83" i="70" s="1"/>
  <c r="E77" i="70"/>
  <c r="G77" i="70" s="1"/>
  <c r="H77" i="70" s="1"/>
  <c r="E76" i="70"/>
  <c r="G76" i="70" s="1"/>
  <c r="H76" i="70" s="1"/>
  <c r="E73" i="70"/>
  <c r="G73" i="70" s="1"/>
  <c r="H73" i="70" s="1"/>
  <c r="E72" i="70"/>
  <c r="G72" i="70" s="1"/>
  <c r="H72" i="70" s="1"/>
  <c r="E71" i="70"/>
  <c r="G71" i="70" s="1"/>
  <c r="H71" i="70" s="1"/>
  <c r="E66" i="70"/>
  <c r="G66" i="70" s="1"/>
  <c r="H66" i="70" s="1"/>
  <c r="E82" i="70"/>
  <c r="G82" i="70" s="1"/>
  <c r="H82" i="70" s="1"/>
  <c r="E81" i="70"/>
  <c r="G81" i="70" s="1"/>
  <c r="H81" i="70" s="1"/>
  <c r="E70" i="70"/>
  <c r="G70" i="70" s="1"/>
  <c r="H70" i="70" s="1"/>
  <c r="C54" i="70"/>
  <c r="D54" i="70" s="1"/>
  <c r="E106" i="69"/>
  <c r="G106" i="69" s="1"/>
  <c r="H106" i="69" s="1"/>
  <c r="E105" i="69"/>
  <c r="G105" i="69" s="1"/>
  <c r="H105" i="69" s="1"/>
  <c r="E104" i="69"/>
  <c r="G104" i="69" s="1"/>
  <c r="H104" i="69" s="1"/>
  <c r="E103" i="69"/>
  <c r="G103" i="69" s="1"/>
  <c r="H103" i="69" s="1"/>
  <c r="E102" i="69"/>
  <c r="G102" i="69" s="1"/>
  <c r="H102" i="69" s="1"/>
  <c r="E101" i="69"/>
  <c r="G101" i="69" s="1"/>
  <c r="H101" i="69" s="1"/>
  <c r="E99" i="69"/>
  <c r="G99" i="69" s="1"/>
  <c r="H99" i="69" s="1"/>
  <c r="E98" i="69"/>
  <c r="G98" i="69" s="1"/>
  <c r="H98" i="69" s="1"/>
  <c r="E92" i="69"/>
  <c r="G92" i="69" s="1"/>
  <c r="H92" i="69" s="1"/>
  <c r="E91" i="69"/>
  <c r="G91" i="69" s="1"/>
  <c r="H91" i="69" s="1"/>
  <c r="E90" i="69"/>
  <c r="G90" i="69" s="1"/>
  <c r="H90" i="69" s="1"/>
  <c r="E94" i="69"/>
  <c r="G94" i="69" s="1"/>
  <c r="H94" i="69" s="1"/>
  <c r="E96" i="69"/>
  <c r="G96" i="69" s="1"/>
  <c r="H96" i="69" s="1"/>
  <c r="E95" i="69"/>
  <c r="G95" i="69" s="1"/>
  <c r="E100" i="69"/>
  <c r="G100" i="69" s="1"/>
  <c r="H100" i="69" s="1"/>
  <c r="E97" i="69"/>
  <c r="G97" i="69" s="1"/>
  <c r="H97" i="69" s="1"/>
  <c r="E93" i="69"/>
  <c r="G93" i="69" s="1"/>
  <c r="H93" i="69" s="1"/>
  <c r="H55" i="28" l="1"/>
  <c r="E118" i="28" s="1"/>
  <c r="G118" i="28" s="1"/>
  <c r="H118" i="28" s="1"/>
  <c r="E91" i="28"/>
  <c r="G91" i="28" s="1"/>
  <c r="H91" i="28" s="1"/>
  <c r="E131" i="4"/>
  <c r="G131" i="4" s="1"/>
  <c r="H131" i="4" s="1"/>
  <c r="E128" i="4"/>
  <c r="G128" i="4" s="1"/>
  <c r="H128" i="4" s="1"/>
  <c r="E129" i="4"/>
  <c r="G129" i="4" s="1"/>
  <c r="H129" i="4" s="1"/>
  <c r="E130" i="4"/>
  <c r="G130" i="4" s="1"/>
  <c r="H130" i="4" s="1"/>
  <c r="H77" i="71"/>
  <c r="C77" i="71"/>
  <c r="AE30" i="48"/>
  <c r="AC25" i="48" s="1"/>
  <c r="B63" i="71"/>
  <c r="D55" i="71"/>
  <c r="E109" i="71"/>
  <c r="G109" i="71" s="1"/>
  <c r="H109" i="71" s="1"/>
  <c r="E101" i="71"/>
  <c r="G101" i="71" s="1"/>
  <c r="H101" i="71" s="1"/>
  <c r="E108" i="71"/>
  <c r="G108" i="71" s="1"/>
  <c r="H108" i="71" s="1"/>
  <c r="E107" i="71"/>
  <c r="G107" i="71" s="1"/>
  <c r="H107" i="71" s="1"/>
  <c r="E106" i="71"/>
  <c r="G106" i="71" s="1"/>
  <c r="H106" i="71" s="1"/>
  <c r="E105" i="71"/>
  <c r="G105" i="71" s="1"/>
  <c r="H105" i="71" s="1"/>
  <c r="E103" i="71"/>
  <c r="G103" i="71" s="1"/>
  <c r="H103" i="71" s="1"/>
  <c r="E104" i="71"/>
  <c r="G104" i="71" s="1"/>
  <c r="H104" i="71" s="1"/>
  <c r="E110" i="71"/>
  <c r="G110" i="71" s="1"/>
  <c r="H110" i="71" s="1"/>
  <c r="E102" i="71"/>
  <c r="G102" i="71" s="1"/>
  <c r="H102" i="71" s="1"/>
  <c r="B79" i="71"/>
  <c r="B98" i="71"/>
  <c r="B97" i="71"/>
  <c r="B80" i="71"/>
  <c r="T31" i="40"/>
  <c r="AF30" i="72"/>
  <c r="AC25" i="72" s="1"/>
  <c r="T31" i="24"/>
  <c r="AC25" i="24"/>
  <c r="AF30" i="70"/>
  <c r="AC25" i="70" s="1"/>
  <c r="AC25" i="54"/>
  <c r="T31" i="54"/>
  <c r="T31" i="38"/>
  <c r="AC25" i="38"/>
  <c r="AC25" i="55"/>
  <c r="T31" i="55"/>
  <c r="U35" i="74"/>
  <c r="AA30" i="74"/>
  <c r="AD30" i="74" s="1"/>
  <c r="AC25" i="74" s="1"/>
  <c r="U35" i="73"/>
  <c r="AB30" i="73"/>
  <c r="AE30" i="73" s="1"/>
  <c r="AC25" i="73" s="1"/>
  <c r="U35" i="60"/>
  <c r="AB30" i="60"/>
  <c r="AF30" i="60" s="1"/>
  <c r="AC25" i="60" s="1"/>
  <c r="U35" i="58"/>
  <c r="AA30" i="58"/>
  <c r="AD30" i="58" s="1"/>
  <c r="AC25" i="58" s="1"/>
  <c r="AB30" i="56"/>
  <c r="AE30" i="56" s="1"/>
  <c r="AC25" i="56" s="1"/>
  <c r="U35" i="56"/>
  <c r="U35" i="47"/>
  <c r="AA30" i="47"/>
  <c r="AD30" i="47" s="1"/>
  <c r="AC25" i="47" s="1"/>
  <c r="AA30" i="33"/>
  <c r="AD30" i="33" s="1"/>
  <c r="AC25" i="33" s="1"/>
  <c r="U35" i="33"/>
  <c r="T35" i="64"/>
  <c r="AC25" i="64" s="1"/>
  <c r="C77" i="46"/>
  <c r="B63" i="17"/>
  <c r="B62" i="43"/>
  <c r="B62" i="41"/>
  <c r="AC25" i="14"/>
  <c r="T31" i="14"/>
  <c r="AC25" i="13"/>
  <c r="T31" i="13"/>
  <c r="AB30" i="3"/>
  <c r="AA30" i="7"/>
  <c r="U35" i="7"/>
  <c r="V48" i="3"/>
  <c r="Y48" i="3" s="1"/>
  <c r="W48" i="3"/>
  <c r="AC25" i="53"/>
  <c r="H106" i="50"/>
  <c r="C106" i="50"/>
  <c r="H86" i="28"/>
  <c r="C86" i="28"/>
  <c r="E121" i="28"/>
  <c r="G121" i="28" s="1"/>
  <c r="H121" i="28" s="1"/>
  <c r="E125" i="28"/>
  <c r="G125" i="28" s="1"/>
  <c r="H125" i="28" s="1"/>
  <c r="E128" i="28"/>
  <c r="G128" i="28" s="1"/>
  <c r="H128" i="28" s="1"/>
  <c r="E133" i="28"/>
  <c r="G133" i="28" s="1"/>
  <c r="H133" i="28" s="1"/>
  <c r="E136" i="28"/>
  <c r="G136" i="28" s="1"/>
  <c r="H136" i="28" s="1"/>
  <c r="E122" i="28"/>
  <c r="G122" i="28" s="1"/>
  <c r="H122" i="28" s="1"/>
  <c r="E124" i="28"/>
  <c r="G124" i="28" s="1"/>
  <c r="H124" i="28" s="1"/>
  <c r="E127" i="28"/>
  <c r="G127" i="28" s="1"/>
  <c r="H127" i="28" s="1"/>
  <c r="E130" i="28"/>
  <c r="G130" i="28" s="1"/>
  <c r="H130" i="28" s="1"/>
  <c r="E134" i="28"/>
  <c r="G134" i="28" s="1"/>
  <c r="H134" i="28" s="1"/>
  <c r="E119" i="28"/>
  <c r="G119" i="28" s="1"/>
  <c r="H119" i="28" s="1"/>
  <c r="E126" i="28"/>
  <c r="G126" i="28" s="1"/>
  <c r="H126" i="28" s="1"/>
  <c r="E131" i="28"/>
  <c r="G131" i="28" s="1"/>
  <c r="H131" i="28" s="1"/>
  <c r="E137" i="28"/>
  <c r="G137" i="28" s="1"/>
  <c r="H137" i="28" s="1"/>
  <c r="E120" i="28"/>
  <c r="G120" i="28" s="1"/>
  <c r="H120" i="28" s="1"/>
  <c r="E123" i="28"/>
  <c r="G123" i="28" s="1"/>
  <c r="H123" i="28" s="1"/>
  <c r="E129" i="28"/>
  <c r="G129" i="28" s="1"/>
  <c r="H129" i="28" s="1"/>
  <c r="E132" i="28"/>
  <c r="G132" i="28" s="1"/>
  <c r="H132" i="28" s="1"/>
  <c r="E135" i="28"/>
  <c r="G135" i="28" s="1"/>
  <c r="H135" i="28" s="1"/>
  <c r="B116" i="28"/>
  <c r="B115" i="28"/>
  <c r="C79" i="56"/>
  <c r="H110" i="8"/>
  <c r="C110" i="8"/>
  <c r="G135" i="8"/>
  <c r="E135" i="8"/>
  <c r="H80" i="61"/>
  <c r="C80" i="61"/>
  <c r="H76" i="41"/>
  <c r="C76" i="41"/>
  <c r="H72" i="73"/>
  <c r="C72" i="73"/>
  <c r="D55" i="69"/>
  <c r="B62" i="69"/>
  <c r="C82" i="62"/>
  <c r="H82" i="62"/>
  <c r="E84" i="60"/>
  <c r="G84" i="60" s="1"/>
  <c r="H84" i="60" s="1"/>
  <c r="H55" i="60"/>
  <c r="C83" i="74"/>
  <c r="H83" i="74"/>
  <c r="E106" i="74"/>
  <c r="G106" i="74"/>
  <c r="H89" i="72"/>
  <c r="C89" i="72"/>
  <c r="D54" i="60"/>
  <c r="E85" i="60"/>
  <c r="G85" i="60" s="1"/>
  <c r="H85" i="60" s="1"/>
  <c r="D54" i="54"/>
  <c r="G72" i="53"/>
  <c r="E72" i="53"/>
  <c r="G83" i="47"/>
  <c r="E83" i="47"/>
  <c r="D55" i="42"/>
  <c r="B91" i="42"/>
  <c r="B62" i="42"/>
  <c r="B63" i="42"/>
  <c r="B77" i="42"/>
  <c r="B92" i="42"/>
  <c r="B76" i="42"/>
  <c r="E95" i="42"/>
  <c r="G95" i="42" s="1"/>
  <c r="H95" i="42" s="1"/>
  <c r="E96" i="42"/>
  <c r="G96" i="42" s="1"/>
  <c r="H96" i="42" s="1"/>
  <c r="E97" i="42"/>
  <c r="G97" i="42" s="1"/>
  <c r="H97" i="42" s="1"/>
  <c r="E98" i="42"/>
  <c r="G98" i="42" s="1"/>
  <c r="H98" i="42" s="1"/>
  <c r="E99" i="42"/>
  <c r="G99" i="42" s="1"/>
  <c r="H99" i="42" s="1"/>
  <c r="E100" i="42"/>
  <c r="G100" i="42" s="1"/>
  <c r="H100" i="42" s="1"/>
  <c r="E101" i="42"/>
  <c r="G101" i="42" s="1"/>
  <c r="H101" i="42" s="1"/>
  <c r="E94" i="42"/>
  <c r="G94" i="42" s="1"/>
  <c r="H94" i="42" s="1"/>
  <c r="B111" i="31"/>
  <c r="E93" i="31"/>
  <c r="G93" i="31" s="1"/>
  <c r="H93" i="31" s="1"/>
  <c r="E100" i="31"/>
  <c r="G100" i="31" s="1"/>
  <c r="H100" i="31" s="1"/>
  <c r="E105" i="31"/>
  <c r="G105" i="31" s="1"/>
  <c r="H105" i="31" s="1"/>
  <c r="E106" i="31"/>
  <c r="G106" i="31" s="1"/>
  <c r="H106" i="31" s="1"/>
  <c r="E108" i="31"/>
  <c r="G108" i="31" s="1"/>
  <c r="H108" i="31" s="1"/>
  <c r="E109" i="31"/>
  <c r="G109" i="31" s="1"/>
  <c r="H109" i="31" s="1"/>
  <c r="E92" i="31"/>
  <c r="G92" i="31" s="1"/>
  <c r="H92" i="31" s="1"/>
  <c r="E94" i="31"/>
  <c r="G94" i="31" s="1"/>
  <c r="H94" i="31" s="1"/>
  <c r="E95" i="31"/>
  <c r="G95" i="31" s="1"/>
  <c r="H95" i="31" s="1"/>
  <c r="E96" i="31"/>
  <c r="G96" i="31" s="1"/>
  <c r="H96" i="31" s="1"/>
  <c r="E98" i="31"/>
  <c r="G98" i="31" s="1"/>
  <c r="H98" i="31" s="1"/>
  <c r="E99" i="31"/>
  <c r="G99" i="31" s="1"/>
  <c r="H99" i="31" s="1"/>
  <c r="E102" i="31"/>
  <c r="G102" i="31" s="1"/>
  <c r="H102" i="31" s="1"/>
  <c r="E104" i="31"/>
  <c r="G104" i="31" s="1"/>
  <c r="H104" i="31" s="1"/>
  <c r="E107" i="31"/>
  <c r="G107" i="31" s="1"/>
  <c r="H107" i="31" s="1"/>
  <c r="E91" i="31"/>
  <c r="G91" i="31" s="1"/>
  <c r="H91" i="31" s="1"/>
  <c r="E97" i="31"/>
  <c r="G97" i="31" s="1"/>
  <c r="H97" i="31" s="1"/>
  <c r="E101" i="31"/>
  <c r="G101" i="31" s="1"/>
  <c r="H101" i="31" s="1"/>
  <c r="E103" i="31"/>
  <c r="G103" i="31" s="1"/>
  <c r="H103" i="31" s="1"/>
  <c r="C55" i="55"/>
  <c r="D54" i="55"/>
  <c r="C55" i="38"/>
  <c r="D54" i="38"/>
  <c r="B61" i="4"/>
  <c r="B118" i="4"/>
  <c r="E125" i="7"/>
  <c r="H125" i="7" s="1"/>
  <c r="G125" i="7"/>
  <c r="B87" i="69"/>
  <c r="B86" i="69"/>
  <c r="C53" i="64"/>
  <c r="D53" i="64" s="1"/>
  <c r="C87" i="33"/>
  <c r="B129" i="7"/>
  <c r="B106" i="7"/>
  <c r="B63" i="7"/>
  <c r="E138" i="7"/>
  <c r="G138" i="7" s="1"/>
  <c r="H138" i="7" s="1"/>
  <c r="E146" i="7"/>
  <c r="G146" i="7" s="1"/>
  <c r="H146" i="7" s="1"/>
  <c r="E143" i="7"/>
  <c r="G143" i="7" s="1"/>
  <c r="H143" i="7" s="1"/>
  <c r="E137" i="7"/>
  <c r="G137" i="7" s="1"/>
  <c r="H137" i="7" s="1"/>
  <c r="E145" i="7"/>
  <c r="G145" i="7" s="1"/>
  <c r="H145" i="7" s="1"/>
  <c r="E139" i="7"/>
  <c r="G139" i="7" s="1"/>
  <c r="H139" i="7" s="1"/>
  <c r="E133" i="7"/>
  <c r="G133" i="7" s="1"/>
  <c r="H133" i="7" s="1"/>
  <c r="D56" i="7"/>
  <c r="E134" i="7"/>
  <c r="G134" i="7" s="1"/>
  <c r="H134" i="7" s="1"/>
  <c r="E142" i="7"/>
  <c r="G142" i="7" s="1"/>
  <c r="H142" i="7" s="1"/>
  <c r="E140" i="7"/>
  <c r="G140" i="7" s="1"/>
  <c r="H140" i="7" s="1"/>
  <c r="E141" i="7"/>
  <c r="G141" i="7" s="1"/>
  <c r="H141" i="7" s="1"/>
  <c r="E144" i="7"/>
  <c r="G144" i="7" s="1"/>
  <c r="H144" i="7" s="1"/>
  <c r="E135" i="7"/>
  <c r="G135" i="7" s="1"/>
  <c r="H135" i="7" s="1"/>
  <c r="E136" i="7"/>
  <c r="G136" i="7" s="1"/>
  <c r="H136" i="7" s="1"/>
  <c r="I56" i="7"/>
  <c r="B148" i="7"/>
  <c r="B62" i="7"/>
  <c r="B107" i="7"/>
  <c r="B130" i="7"/>
  <c r="B85" i="7"/>
  <c r="E122" i="4"/>
  <c r="G122" i="4" s="1"/>
  <c r="H122" i="4" s="1"/>
  <c r="D54" i="4"/>
  <c r="B98" i="4"/>
  <c r="E133" i="4"/>
  <c r="H133" i="4" s="1"/>
  <c r="E124" i="4"/>
  <c r="G124" i="4" s="1"/>
  <c r="H124" i="4" s="1"/>
  <c r="E125" i="4"/>
  <c r="G125" i="4" s="1"/>
  <c r="H125" i="4" s="1"/>
  <c r="B60" i="4"/>
  <c r="B79" i="4"/>
  <c r="B78" i="4"/>
  <c r="E127" i="4"/>
  <c r="G127" i="4" s="1"/>
  <c r="H127" i="4" s="1"/>
  <c r="B99" i="4"/>
  <c r="E123" i="4"/>
  <c r="G123" i="4" s="1"/>
  <c r="H123" i="4" s="1"/>
  <c r="E121" i="4"/>
  <c r="G121" i="4" s="1"/>
  <c r="H121" i="4" s="1"/>
  <c r="B117" i="4"/>
  <c r="E126" i="4"/>
  <c r="G126" i="4" s="1"/>
  <c r="H126" i="4" s="1"/>
  <c r="G130" i="50"/>
  <c r="E130" i="50"/>
  <c r="B63" i="69"/>
  <c r="C129" i="45"/>
  <c r="H129" i="45"/>
  <c r="G133" i="4"/>
  <c r="G101" i="48"/>
  <c r="E101" i="48"/>
  <c r="E103" i="32"/>
  <c r="G103" i="32"/>
  <c r="H101" i="16"/>
  <c r="C101" i="16"/>
  <c r="E123" i="16"/>
  <c r="G123" i="16"/>
  <c r="G136" i="3"/>
  <c r="E136" i="3"/>
  <c r="E122" i="23"/>
  <c r="G122" i="23"/>
  <c r="E120" i="23"/>
  <c r="G120" i="23" s="1"/>
  <c r="H120" i="23" s="1"/>
  <c r="E108" i="23"/>
  <c r="G108" i="23" s="1"/>
  <c r="H108" i="23" s="1"/>
  <c r="B93" i="17"/>
  <c r="G131" i="74"/>
  <c r="E131" i="74"/>
  <c r="B62" i="72"/>
  <c r="D55" i="72"/>
  <c r="H85" i="70"/>
  <c r="C85" i="70"/>
  <c r="E110" i="70"/>
  <c r="G110" i="70"/>
  <c r="G79" i="60"/>
  <c r="E79" i="60"/>
  <c r="E142" i="57"/>
  <c r="G142" i="57"/>
  <c r="H55" i="48"/>
  <c r="E106" i="48" s="1"/>
  <c r="G106" i="48" s="1"/>
  <c r="H106" i="48" s="1"/>
  <c r="E87" i="48"/>
  <c r="G87" i="48" s="1"/>
  <c r="H87" i="48" s="1"/>
  <c r="G107" i="47"/>
  <c r="B89" i="33"/>
  <c r="D55" i="33"/>
  <c r="E118" i="23"/>
  <c r="G118" i="23" s="1"/>
  <c r="H118" i="23" s="1"/>
  <c r="E111" i="23"/>
  <c r="G111" i="23" s="1"/>
  <c r="H111" i="23" s="1"/>
  <c r="H56" i="23"/>
  <c r="E107" i="23"/>
  <c r="G107" i="23" s="1"/>
  <c r="H107" i="23" s="1"/>
  <c r="E115" i="23"/>
  <c r="G115" i="23" s="1"/>
  <c r="H115" i="23" s="1"/>
  <c r="E113" i="23"/>
  <c r="G113" i="23" s="1"/>
  <c r="H113" i="23" s="1"/>
  <c r="E110" i="23"/>
  <c r="G110" i="23" s="1"/>
  <c r="H110" i="23" s="1"/>
  <c r="E116" i="23"/>
  <c r="G116" i="23" s="1"/>
  <c r="H116" i="23" s="1"/>
  <c r="E119" i="23"/>
  <c r="G119" i="23" s="1"/>
  <c r="H119" i="23" s="1"/>
  <c r="E117" i="23"/>
  <c r="G117" i="23" s="1"/>
  <c r="H117" i="23" s="1"/>
  <c r="E114" i="23"/>
  <c r="G114" i="23" s="1"/>
  <c r="H114" i="23" s="1"/>
  <c r="E109" i="23"/>
  <c r="G109" i="23" s="1"/>
  <c r="H109" i="23" s="1"/>
  <c r="E112" i="23"/>
  <c r="G112" i="23" s="1"/>
  <c r="H112" i="23" s="1"/>
  <c r="I57" i="23"/>
  <c r="B62" i="17"/>
  <c r="D55" i="17"/>
  <c r="B75" i="6"/>
  <c r="D55" i="6"/>
  <c r="D54" i="78"/>
  <c r="E103" i="66"/>
  <c r="G103" i="66" s="1"/>
  <c r="H103" i="66" s="1"/>
  <c r="E97" i="66"/>
  <c r="G97" i="66" s="1"/>
  <c r="H97" i="66" s="1"/>
  <c r="H56" i="66"/>
  <c r="E99" i="66"/>
  <c r="G99" i="66" s="1"/>
  <c r="H99" i="66" s="1"/>
  <c r="E105" i="66"/>
  <c r="G105" i="66" s="1"/>
  <c r="H105" i="66" s="1"/>
  <c r="E102" i="66"/>
  <c r="G102" i="66" s="1"/>
  <c r="H102" i="66" s="1"/>
  <c r="E104" i="66"/>
  <c r="G104" i="66" s="1"/>
  <c r="H104" i="66" s="1"/>
  <c r="E101" i="66"/>
  <c r="G101" i="66" s="1"/>
  <c r="H101" i="66" s="1"/>
  <c r="E100" i="66"/>
  <c r="G100" i="66" s="1"/>
  <c r="H100" i="66" s="1"/>
  <c r="E98" i="66"/>
  <c r="G98" i="66" s="1"/>
  <c r="H98" i="66" s="1"/>
  <c r="B62" i="74"/>
  <c r="H94" i="71"/>
  <c r="C94" i="71"/>
  <c r="H108" i="69"/>
  <c r="C108" i="69"/>
  <c r="B155" i="66"/>
  <c r="H155" i="66" s="1"/>
  <c r="I58" i="66"/>
  <c r="B139" i="66"/>
  <c r="H139" i="66" s="1"/>
  <c r="I57" i="66"/>
  <c r="H105" i="59"/>
  <c r="C105" i="59"/>
  <c r="H106" i="58"/>
  <c r="C106" i="58"/>
  <c r="H115" i="57"/>
  <c r="C115" i="57"/>
  <c r="B62" i="57"/>
  <c r="H99" i="56"/>
  <c r="C99" i="56"/>
  <c r="G66" i="53"/>
  <c r="H66" i="53" s="1"/>
  <c r="H99" i="49"/>
  <c r="C99" i="49"/>
  <c r="H79" i="48"/>
  <c r="C79" i="48"/>
  <c r="H107" i="44"/>
  <c r="C107" i="44"/>
  <c r="H98" i="43"/>
  <c r="C98" i="43"/>
  <c r="H92" i="41"/>
  <c r="C92" i="41"/>
  <c r="H74" i="37"/>
  <c r="C74" i="37"/>
  <c r="H114" i="33"/>
  <c r="C114" i="33"/>
  <c r="H82" i="32"/>
  <c r="C82" i="32"/>
  <c r="H126" i="29"/>
  <c r="C126" i="29"/>
  <c r="B108" i="29" s="1"/>
  <c r="H112" i="28"/>
  <c r="C112" i="28"/>
  <c r="H55" i="25"/>
  <c r="H100" i="23"/>
  <c r="C100" i="23"/>
  <c r="H124" i="20"/>
  <c r="C124" i="20"/>
  <c r="H107" i="18"/>
  <c r="C107" i="18"/>
  <c r="H121" i="17"/>
  <c r="C121" i="17"/>
  <c r="H101" i="19"/>
  <c r="C101" i="19"/>
  <c r="B106" i="16"/>
  <c r="H123" i="15"/>
  <c r="C123" i="15"/>
  <c r="H86" i="6"/>
  <c r="C86" i="6"/>
  <c r="H114" i="4"/>
  <c r="C114" i="4"/>
  <c r="H108" i="3"/>
  <c r="C108" i="3"/>
  <c r="B63" i="3"/>
  <c r="H118" i="72"/>
  <c r="C118" i="72"/>
  <c r="C55" i="54"/>
  <c r="D55" i="54" s="1"/>
  <c r="C55" i="31"/>
  <c r="D55" i="31" s="1"/>
  <c r="H82" i="10"/>
  <c r="C82" i="10"/>
  <c r="E95" i="10"/>
  <c r="G95" i="10"/>
  <c r="H55" i="19"/>
  <c r="H54" i="4"/>
  <c r="E120" i="4" s="1"/>
  <c r="G120" i="4" s="1"/>
  <c r="H120" i="4" s="1"/>
  <c r="E101" i="4"/>
  <c r="G101" i="4" s="1"/>
  <c r="H101" i="4" s="1"/>
  <c r="B62" i="46"/>
  <c r="B63" i="46"/>
  <c r="B105" i="16"/>
  <c r="C55" i="40"/>
  <c r="D55" i="40" s="1"/>
  <c r="C56" i="39"/>
  <c r="D56" i="39" s="1"/>
  <c r="C55" i="24"/>
  <c r="C55" i="14"/>
  <c r="D55" i="14" s="1"/>
  <c r="C55" i="13"/>
  <c r="D55" i="13" s="1"/>
  <c r="D56" i="82"/>
  <c r="E117" i="16"/>
  <c r="G117" i="16" s="1"/>
  <c r="H117" i="16" s="1"/>
  <c r="E118" i="16"/>
  <c r="G118" i="16" s="1"/>
  <c r="H118" i="16" s="1"/>
  <c r="E119" i="16"/>
  <c r="G119" i="16" s="1"/>
  <c r="H119" i="16" s="1"/>
  <c r="E120" i="16"/>
  <c r="G120" i="16" s="1"/>
  <c r="H120" i="16" s="1"/>
  <c r="E121" i="16"/>
  <c r="G121" i="16" s="1"/>
  <c r="H121" i="16" s="1"/>
  <c r="E115" i="16"/>
  <c r="G115" i="16" s="1"/>
  <c r="H115" i="16" s="1"/>
  <c r="E114" i="16"/>
  <c r="G114" i="16" s="1"/>
  <c r="H114" i="16" s="1"/>
  <c r="E116" i="16"/>
  <c r="G116" i="16" s="1"/>
  <c r="H116" i="16" s="1"/>
  <c r="B63" i="16"/>
  <c r="B83" i="16"/>
  <c r="B84" i="16"/>
  <c r="B64" i="16"/>
  <c r="B79" i="41"/>
  <c r="B63" i="41"/>
  <c r="B78" i="41"/>
  <c r="H55" i="70"/>
  <c r="E116" i="70" s="1"/>
  <c r="G116" i="70" s="1"/>
  <c r="H116" i="70" s="1"/>
  <c r="E90" i="70"/>
  <c r="G90" i="70" s="1"/>
  <c r="H90" i="70" s="1"/>
  <c r="B90" i="57"/>
  <c r="E98" i="48"/>
  <c r="G98" i="48" s="1"/>
  <c r="H98" i="48" s="1"/>
  <c r="C55" i="48"/>
  <c r="D55" i="48" s="1"/>
  <c r="E88" i="48"/>
  <c r="G88" i="48" s="1"/>
  <c r="H88" i="48" s="1"/>
  <c r="E93" i="48"/>
  <c r="G93" i="48" s="1"/>
  <c r="H93" i="48" s="1"/>
  <c r="E92" i="48"/>
  <c r="G92" i="48" s="1"/>
  <c r="H92" i="48" s="1"/>
  <c r="E97" i="48"/>
  <c r="G97" i="48" s="1"/>
  <c r="H97" i="48" s="1"/>
  <c r="E90" i="48"/>
  <c r="G90" i="48" s="1"/>
  <c r="H90" i="48" s="1"/>
  <c r="E94" i="48"/>
  <c r="G94" i="48" s="1"/>
  <c r="H94" i="48" s="1"/>
  <c r="E89" i="48"/>
  <c r="G89" i="48" s="1"/>
  <c r="H89" i="48" s="1"/>
  <c r="E99" i="48"/>
  <c r="G99" i="48" s="1"/>
  <c r="H99" i="48" s="1"/>
  <c r="E91" i="48"/>
  <c r="G91" i="48" s="1"/>
  <c r="H91" i="48" s="1"/>
  <c r="E96" i="48"/>
  <c r="G96" i="48" s="1"/>
  <c r="H96" i="48" s="1"/>
  <c r="E95" i="48"/>
  <c r="G95" i="48" s="1"/>
  <c r="H95" i="48" s="1"/>
  <c r="B63" i="62"/>
  <c r="B62" i="62"/>
  <c r="E100" i="47"/>
  <c r="G100" i="47" s="1"/>
  <c r="H100" i="47" s="1"/>
  <c r="E93" i="47"/>
  <c r="G93" i="47" s="1"/>
  <c r="H93" i="47" s="1"/>
  <c r="E91" i="47"/>
  <c r="G91" i="47" s="1"/>
  <c r="H91" i="47" s="1"/>
  <c r="E97" i="47"/>
  <c r="G97" i="47" s="1"/>
  <c r="H97" i="47" s="1"/>
  <c r="E103" i="47"/>
  <c r="G103" i="47" s="1"/>
  <c r="H103" i="47" s="1"/>
  <c r="E99" i="47"/>
  <c r="G99" i="47" s="1"/>
  <c r="H99" i="47" s="1"/>
  <c r="E95" i="47"/>
  <c r="G95" i="47" s="1"/>
  <c r="H95" i="47" s="1"/>
  <c r="E102" i="47"/>
  <c r="G102" i="47" s="1"/>
  <c r="H102" i="47" s="1"/>
  <c r="E96" i="47"/>
  <c r="G96" i="47" s="1"/>
  <c r="H96" i="47" s="1"/>
  <c r="E94" i="47"/>
  <c r="G94" i="47" s="1"/>
  <c r="H94" i="47" s="1"/>
  <c r="E105" i="47"/>
  <c r="G105" i="47" s="1"/>
  <c r="H105" i="47" s="1"/>
  <c r="E98" i="47"/>
  <c r="G98" i="47" s="1"/>
  <c r="H98" i="47" s="1"/>
  <c r="E101" i="47"/>
  <c r="G101" i="47" s="1"/>
  <c r="H101" i="47" s="1"/>
  <c r="E92" i="47"/>
  <c r="G92" i="47" s="1"/>
  <c r="H92" i="47" s="1"/>
  <c r="E90" i="47"/>
  <c r="G90" i="47" s="1"/>
  <c r="H90" i="47" s="1"/>
  <c r="E104" i="47"/>
  <c r="G104" i="47" s="1"/>
  <c r="H104" i="47" s="1"/>
  <c r="C55" i="47"/>
  <c r="D55" i="47" s="1"/>
  <c r="C56" i="65"/>
  <c r="B63" i="28"/>
  <c r="B62" i="28"/>
  <c r="B88" i="28"/>
  <c r="B89" i="28"/>
  <c r="B63" i="61"/>
  <c r="C55" i="78"/>
  <c r="E136" i="57"/>
  <c r="G136" i="57" s="1"/>
  <c r="H136" i="57" s="1"/>
  <c r="E124" i="57"/>
  <c r="G124" i="57" s="1"/>
  <c r="H124" i="57" s="1"/>
  <c r="E123" i="57"/>
  <c r="G123" i="57" s="1"/>
  <c r="H123" i="57" s="1"/>
  <c r="E132" i="57"/>
  <c r="G132" i="57" s="1"/>
  <c r="H132" i="57" s="1"/>
  <c r="B63" i="15"/>
  <c r="B95" i="15"/>
  <c r="B94" i="15"/>
  <c r="B62" i="61"/>
  <c r="B63" i="57"/>
  <c r="B91" i="57"/>
  <c r="B117" i="57"/>
  <c r="B118" i="57"/>
  <c r="E134" i="57"/>
  <c r="G134" i="57" s="1"/>
  <c r="H134" i="57" s="1"/>
  <c r="E138" i="57"/>
  <c r="G138" i="57" s="1"/>
  <c r="H138" i="57" s="1"/>
  <c r="E137" i="57"/>
  <c r="G137" i="57" s="1"/>
  <c r="H137" i="57" s="1"/>
  <c r="E140" i="57"/>
  <c r="G140" i="57" s="1"/>
  <c r="H140" i="57" s="1"/>
  <c r="E122" i="57"/>
  <c r="G122" i="57" s="1"/>
  <c r="H122" i="57" s="1"/>
  <c r="E130" i="57"/>
  <c r="G130" i="57" s="1"/>
  <c r="H130" i="57" s="1"/>
  <c r="E133" i="57"/>
  <c r="G133" i="57" s="1"/>
  <c r="H133" i="57" s="1"/>
  <c r="E127" i="57"/>
  <c r="G127" i="57" s="1"/>
  <c r="H127" i="57" s="1"/>
  <c r="E135" i="57"/>
  <c r="G135" i="57" s="1"/>
  <c r="H135" i="57" s="1"/>
  <c r="E121" i="57"/>
  <c r="G121" i="57" s="1"/>
  <c r="H121" i="57" s="1"/>
  <c r="E125" i="57"/>
  <c r="G125" i="57" s="1"/>
  <c r="H125" i="57" s="1"/>
  <c r="E131" i="57"/>
  <c r="G131" i="57" s="1"/>
  <c r="H131" i="57" s="1"/>
  <c r="E128" i="57"/>
  <c r="G128" i="57" s="1"/>
  <c r="H128" i="57" s="1"/>
  <c r="E129" i="57"/>
  <c r="G129" i="57" s="1"/>
  <c r="H129" i="57" s="1"/>
  <c r="E139" i="57"/>
  <c r="G139" i="57" s="1"/>
  <c r="H139" i="57" s="1"/>
  <c r="E126" i="57"/>
  <c r="G126" i="57" s="1"/>
  <c r="H126" i="57" s="1"/>
  <c r="G81" i="42"/>
  <c r="H81" i="42" s="1"/>
  <c r="G86" i="42"/>
  <c r="H86" i="42" s="1"/>
  <c r="G85" i="42"/>
  <c r="H85" i="42" s="1"/>
  <c r="G79" i="42"/>
  <c r="H79" i="42" s="1"/>
  <c r="G80" i="42"/>
  <c r="H80" i="42" s="1"/>
  <c r="G82" i="42"/>
  <c r="H82" i="42" s="1"/>
  <c r="G83" i="42"/>
  <c r="H83" i="42" s="1"/>
  <c r="G84" i="42"/>
  <c r="H84" i="42" s="1"/>
  <c r="B62" i="15"/>
  <c r="B62" i="49"/>
  <c r="B83" i="49"/>
  <c r="E82" i="71"/>
  <c r="G82" i="71" s="1"/>
  <c r="H82" i="71" s="1"/>
  <c r="H55" i="71"/>
  <c r="E100" i="71" s="1"/>
  <c r="G100" i="71" s="1"/>
  <c r="H100" i="71" s="1"/>
  <c r="B62" i="59"/>
  <c r="B86" i="59"/>
  <c r="B63" i="59"/>
  <c r="B85" i="58"/>
  <c r="B86" i="58"/>
  <c r="B63" i="58"/>
  <c r="B82" i="49"/>
  <c r="H58" i="77"/>
  <c r="B85" i="59"/>
  <c r="B82" i="56"/>
  <c r="C55" i="53"/>
  <c r="B63" i="49"/>
  <c r="B82" i="43"/>
  <c r="B81" i="43"/>
  <c r="B63" i="43"/>
  <c r="B87" i="18"/>
  <c r="B62" i="18"/>
  <c r="B63" i="18"/>
  <c r="B88" i="18"/>
  <c r="H55" i="72"/>
  <c r="I56" i="65"/>
  <c r="B83" i="56"/>
  <c r="B62" i="44"/>
  <c r="B62" i="21"/>
  <c r="B63" i="21"/>
  <c r="E112" i="16"/>
  <c r="G112" i="16" s="1"/>
  <c r="H112" i="16" s="1"/>
  <c r="E109" i="16"/>
  <c r="G109" i="16" s="1"/>
  <c r="H109" i="16" s="1"/>
  <c r="E110" i="16"/>
  <c r="G110" i="16" s="1"/>
  <c r="H110" i="16" s="1"/>
  <c r="E111" i="16"/>
  <c r="G111" i="16" s="1"/>
  <c r="H111" i="16" s="1"/>
  <c r="E113" i="16"/>
  <c r="G113" i="16" s="1"/>
  <c r="H113" i="16" s="1"/>
  <c r="B127" i="16"/>
  <c r="B126" i="16"/>
  <c r="B62" i="56"/>
  <c r="B63" i="56"/>
  <c r="H56" i="51"/>
  <c r="B63" i="44"/>
  <c r="B87" i="44"/>
  <c r="B88" i="44"/>
  <c r="E108" i="20"/>
  <c r="B63" i="19"/>
  <c r="E90" i="10"/>
  <c r="G90" i="10" s="1"/>
  <c r="H90" i="10" s="1"/>
  <c r="E91" i="10"/>
  <c r="G91" i="10" s="1"/>
  <c r="H91" i="10" s="1"/>
  <c r="E92" i="10"/>
  <c r="G92" i="10" s="1"/>
  <c r="H92" i="10" s="1"/>
  <c r="E89" i="10"/>
  <c r="G89" i="10" s="1"/>
  <c r="H89" i="10" s="1"/>
  <c r="E93" i="10"/>
  <c r="G93" i="10" s="1"/>
  <c r="H93" i="10" s="1"/>
  <c r="H56" i="10"/>
  <c r="C55" i="37"/>
  <c r="D55" i="37" s="1"/>
  <c r="B85" i="19"/>
  <c r="B62" i="19"/>
  <c r="B84" i="19"/>
  <c r="B63" i="35"/>
  <c r="E93" i="35"/>
  <c r="G93" i="35" s="1"/>
  <c r="H93" i="35" s="1"/>
  <c r="B73" i="35"/>
  <c r="E92" i="35"/>
  <c r="G92" i="35" s="1"/>
  <c r="H92" i="35" s="1"/>
  <c r="E90" i="35"/>
  <c r="G90" i="35" s="1"/>
  <c r="H90" i="35" s="1"/>
  <c r="B87" i="3"/>
  <c r="E89" i="35"/>
  <c r="G89" i="35" s="1"/>
  <c r="H89" i="35" s="1"/>
  <c r="B62" i="35"/>
  <c r="E91" i="35"/>
  <c r="G91" i="35" s="1"/>
  <c r="H91" i="35" s="1"/>
  <c r="B74" i="35"/>
  <c r="B86" i="35"/>
  <c r="B63" i="33"/>
  <c r="B62" i="33"/>
  <c r="B63" i="31"/>
  <c r="B89" i="31"/>
  <c r="B88" i="31"/>
  <c r="B76" i="6"/>
  <c r="B62" i="3"/>
  <c r="B115" i="3"/>
  <c r="B114" i="3"/>
  <c r="B110" i="74"/>
  <c r="B63" i="74"/>
  <c r="B85" i="74"/>
  <c r="B111" i="74"/>
  <c r="B86" i="74"/>
  <c r="E126" i="74"/>
  <c r="G126" i="74" s="1"/>
  <c r="H126" i="74" s="1"/>
  <c r="E120" i="74"/>
  <c r="G120" i="74" s="1"/>
  <c r="H120" i="74" s="1"/>
  <c r="E124" i="74"/>
  <c r="G124" i="74" s="1"/>
  <c r="H124" i="74" s="1"/>
  <c r="E119" i="74"/>
  <c r="G119" i="74" s="1"/>
  <c r="H119" i="74" s="1"/>
  <c r="E117" i="74"/>
  <c r="G117" i="74" s="1"/>
  <c r="H117" i="74" s="1"/>
  <c r="E122" i="74"/>
  <c r="G122" i="74" s="1"/>
  <c r="H122" i="74" s="1"/>
  <c r="E129" i="74"/>
  <c r="G129" i="74" s="1"/>
  <c r="H129" i="74" s="1"/>
  <c r="E116" i="74"/>
  <c r="G116" i="74" s="1"/>
  <c r="H116" i="74" s="1"/>
  <c r="E114" i="74"/>
  <c r="G114" i="74" s="1"/>
  <c r="H114" i="74" s="1"/>
  <c r="E127" i="74"/>
  <c r="G127" i="74" s="1"/>
  <c r="H127" i="74" s="1"/>
  <c r="E115" i="74"/>
  <c r="G115" i="74" s="1"/>
  <c r="H115" i="74" s="1"/>
  <c r="E128" i="74"/>
  <c r="G128" i="74" s="1"/>
  <c r="H128" i="74" s="1"/>
  <c r="E125" i="74"/>
  <c r="G125" i="74" s="1"/>
  <c r="H125" i="74" s="1"/>
  <c r="E118" i="74"/>
  <c r="G118" i="74" s="1"/>
  <c r="H118" i="74" s="1"/>
  <c r="E121" i="74"/>
  <c r="G121" i="74" s="1"/>
  <c r="H121" i="74" s="1"/>
  <c r="E123" i="74"/>
  <c r="G123" i="74" s="1"/>
  <c r="H123" i="74" s="1"/>
  <c r="B62" i="58"/>
  <c r="H54" i="74"/>
  <c r="E88" i="74" s="1"/>
  <c r="G88" i="74" s="1"/>
  <c r="H88" i="74" s="1"/>
  <c r="H55" i="65"/>
  <c r="H54" i="56"/>
  <c r="E85" i="56" s="1"/>
  <c r="G85" i="56" s="1"/>
  <c r="H85" i="56" s="1"/>
  <c r="H54" i="58"/>
  <c r="E88" i="58" s="1"/>
  <c r="G88" i="58" s="1"/>
  <c r="H88" i="58" s="1"/>
  <c r="G65" i="47"/>
  <c r="H65" i="47" s="1"/>
  <c r="H54" i="47"/>
  <c r="E89" i="47" s="1"/>
  <c r="G89" i="47" s="1"/>
  <c r="H89" i="47" s="1"/>
  <c r="E101" i="32"/>
  <c r="G101" i="32" s="1"/>
  <c r="H101" i="32" s="1"/>
  <c r="E96" i="32"/>
  <c r="G96" i="32" s="1"/>
  <c r="H96" i="32" s="1"/>
  <c r="E95" i="32"/>
  <c r="G95" i="32" s="1"/>
  <c r="H95" i="32" s="1"/>
  <c r="E94" i="32"/>
  <c r="G94" i="32" s="1"/>
  <c r="H94" i="32" s="1"/>
  <c r="E93" i="32"/>
  <c r="G93" i="32" s="1"/>
  <c r="H93" i="32" s="1"/>
  <c r="E92" i="32"/>
  <c r="G92" i="32" s="1"/>
  <c r="H92" i="32" s="1"/>
  <c r="E90" i="32"/>
  <c r="G90" i="32" s="1"/>
  <c r="H90" i="32" s="1"/>
  <c r="E89" i="32"/>
  <c r="G89" i="32" s="1"/>
  <c r="H89" i="32" s="1"/>
  <c r="G87" i="32"/>
  <c r="H87" i="32" s="1"/>
  <c r="E100" i="32"/>
  <c r="G100" i="32" s="1"/>
  <c r="H100" i="32" s="1"/>
  <c r="E91" i="32"/>
  <c r="G91" i="32" s="1"/>
  <c r="H91" i="32" s="1"/>
  <c r="E88" i="32"/>
  <c r="G88" i="32" s="1"/>
  <c r="H88" i="32" s="1"/>
  <c r="E97" i="32"/>
  <c r="G97" i="32" s="1"/>
  <c r="H97" i="32" s="1"/>
  <c r="C55" i="32"/>
  <c r="E99" i="32"/>
  <c r="G99" i="32" s="1"/>
  <c r="H99" i="32" s="1"/>
  <c r="E98" i="32"/>
  <c r="G98" i="32" s="1"/>
  <c r="H98" i="32" s="1"/>
  <c r="H54" i="33"/>
  <c r="E92" i="33" s="1"/>
  <c r="G92" i="33" s="1"/>
  <c r="H92" i="33" s="1"/>
  <c r="B90" i="33"/>
  <c r="G104" i="33"/>
  <c r="H104" i="33" s="1"/>
  <c r="G93" i="33"/>
  <c r="H93" i="33" s="1"/>
  <c r="G103" i="33"/>
  <c r="H103" i="33" s="1"/>
  <c r="G97" i="33"/>
  <c r="H97" i="33" s="1"/>
  <c r="G95" i="33"/>
  <c r="H95" i="33" s="1"/>
  <c r="G98" i="33"/>
  <c r="H98" i="33" s="1"/>
  <c r="G102" i="33"/>
  <c r="H102" i="33" s="1"/>
  <c r="G111" i="33"/>
  <c r="H111" i="33" s="1"/>
  <c r="G101" i="33"/>
  <c r="H101" i="33" s="1"/>
  <c r="G110" i="33"/>
  <c r="H110" i="33" s="1"/>
  <c r="G108" i="33"/>
  <c r="H108" i="33" s="1"/>
  <c r="G109" i="33"/>
  <c r="H109" i="33" s="1"/>
  <c r="E65" i="7"/>
  <c r="D65" i="7"/>
  <c r="H54" i="7"/>
  <c r="H55" i="69"/>
  <c r="E105" i="51"/>
  <c r="G105" i="51" s="1"/>
  <c r="H105" i="51" s="1"/>
  <c r="E113" i="51"/>
  <c r="G113" i="51" s="1"/>
  <c r="H113" i="51" s="1"/>
  <c r="E115" i="51"/>
  <c r="G115" i="51" s="1"/>
  <c r="H115" i="51" s="1"/>
  <c r="E106" i="51"/>
  <c r="G106" i="51" s="1"/>
  <c r="H106" i="51" s="1"/>
  <c r="E114" i="51"/>
  <c r="G114" i="51" s="1"/>
  <c r="H114" i="51" s="1"/>
  <c r="E116" i="51"/>
  <c r="G116" i="51" s="1"/>
  <c r="H116" i="51" s="1"/>
  <c r="E109" i="51"/>
  <c r="G109" i="51" s="1"/>
  <c r="H109" i="51" s="1"/>
  <c r="E117" i="51"/>
  <c r="G117" i="51" s="1"/>
  <c r="H117" i="51" s="1"/>
  <c r="E110" i="51"/>
  <c r="G110" i="51" s="1"/>
  <c r="H110" i="51" s="1"/>
  <c r="E107" i="51"/>
  <c r="G107" i="51" s="1"/>
  <c r="H107" i="51" s="1"/>
  <c r="E111" i="51"/>
  <c r="G111" i="51" s="1"/>
  <c r="H111" i="51" s="1"/>
  <c r="E112" i="51"/>
  <c r="G112" i="51" s="1"/>
  <c r="H112" i="51" s="1"/>
  <c r="E108" i="51"/>
  <c r="G108" i="51" s="1"/>
  <c r="H108" i="51" s="1"/>
  <c r="E94" i="60"/>
  <c r="G94" i="60" s="1"/>
  <c r="H94" i="60" s="1"/>
  <c r="E96" i="60"/>
  <c r="G96" i="60" s="1"/>
  <c r="H96" i="60" s="1"/>
  <c r="E87" i="60"/>
  <c r="G87" i="60" s="1"/>
  <c r="H87" i="60" s="1"/>
  <c r="E86" i="60"/>
  <c r="G86" i="60" s="1"/>
  <c r="H86" i="60" s="1"/>
  <c r="E91" i="60"/>
  <c r="G91" i="60" s="1"/>
  <c r="H91" i="60" s="1"/>
  <c r="E90" i="60"/>
  <c r="G90" i="60" s="1"/>
  <c r="H90" i="60" s="1"/>
  <c r="E92" i="60"/>
  <c r="G92" i="60" s="1"/>
  <c r="H92" i="60" s="1"/>
  <c r="E95" i="60"/>
  <c r="G95" i="60" s="1"/>
  <c r="H95" i="60" s="1"/>
  <c r="E93" i="60"/>
  <c r="G93" i="60" s="1"/>
  <c r="H93" i="60" s="1"/>
  <c r="E88" i="60"/>
  <c r="G88" i="60" s="1"/>
  <c r="H88" i="60" s="1"/>
  <c r="E89" i="60"/>
  <c r="G89" i="60" s="1"/>
  <c r="H89" i="60" s="1"/>
  <c r="C55" i="60"/>
  <c r="D55" i="60" s="1"/>
  <c r="E118" i="3"/>
  <c r="G118" i="3" s="1"/>
  <c r="H118" i="3" s="1"/>
  <c r="E129" i="3"/>
  <c r="G129" i="3" s="1"/>
  <c r="H129" i="3" s="1"/>
  <c r="E127" i="3"/>
  <c r="G127" i="3" s="1"/>
  <c r="H127" i="3" s="1"/>
  <c r="E123" i="3"/>
  <c r="G123" i="3" s="1"/>
  <c r="H123" i="3" s="1"/>
  <c r="E133" i="3"/>
  <c r="G133" i="3" s="1"/>
  <c r="H133" i="3" s="1"/>
  <c r="E120" i="3"/>
  <c r="G120" i="3" s="1"/>
  <c r="H120" i="3" s="1"/>
  <c r="E122" i="3"/>
  <c r="G122" i="3" s="1"/>
  <c r="H122" i="3" s="1"/>
  <c r="E126" i="3"/>
  <c r="G126" i="3" s="1"/>
  <c r="H126" i="3" s="1"/>
  <c r="E121" i="3"/>
  <c r="G121" i="3" s="1"/>
  <c r="H121" i="3" s="1"/>
  <c r="E134" i="3"/>
  <c r="G134" i="3" s="1"/>
  <c r="H134" i="3" s="1"/>
  <c r="E132" i="3"/>
  <c r="G132" i="3" s="1"/>
  <c r="H132" i="3" s="1"/>
  <c r="E125" i="3"/>
  <c r="G125" i="3" s="1"/>
  <c r="H125" i="3" s="1"/>
  <c r="E124" i="3"/>
  <c r="G124" i="3" s="1"/>
  <c r="H124" i="3" s="1"/>
  <c r="E128" i="3"/>
  <c r="G128" i="3" s="1"/>
  <c r="H128" i="3" s="1"/>
  <c r="E131" i="3"/>
  <c r="G131" i="3" s="1"/>
  <c r="H131" i="3" s="1"/>
  <c r="E119" i="3"/>
  <c r="G119" i="3" s="1"/>
  <c r="H119" i="3" s="1"/>
  <c r="E130" i="3"/>
  <c r="G130" i="3" s="1"/>
  <c r="H130" i="3" s="1"/>
  <c r="B86" i="3"/>
  <c r="B63" i="6"/>
  <c r="B62" i="6"/>
  <c r="B91" i="72"/>
  <c r="B92" i="72"/>
  <c r="B63" i="72"/>
  <c r="E95" i="70"/>
  <c r="G95" i="70" s="1"/>
  <c r="H95" i="70" s="1"/>
  <c r="E103" i="70"/>
  <c r="G103" i="70" s="1"/>
  <c r="H103" i="70" s="1"/>
  <c r="E107" i="70"/>
  <c r="G107" i="70" s="1"/>
  <c r="H107" i="70" s="1"/>
  <c r="E108" i="70"/>
  <c r="G108" i="70" s="1"/>
  <c r="H108" i="70" s="1"/>
  <c r="E98" i="70"/>
  <c r="G98" i="70" s="1"/>
  <c r="H98" i="70" s="1"/>
  <c r="E100" i="70"/>
  <c r="G100" i="70" s="1"/>
  <c r="H100" i="70" s="1"/>
  <c r="E92" i="70"/>
  <c r="G92" i="70" s="1"/>
  <c r="H92" i="70" s="1"/>
  <c r="E93" i="70"/>
  <c r="G93" i="70" s="1"/>
  <c r="H93" i="70" s="1"/>
  <c r="E101" i="70"/>
  <c r="G101" i="70" s="1"/>
  <c r="H101" i="70" s="1"/>
  <c r="E104" i="70"/>
  <c r="G104" i="70" s="1"/>
  <c r="H104" i="70" s="1"/>
  <c r="E91" i="70"/>
  <c r="G91" i="70" s="1"/>
  <c r="H91" i="70" s="1"/>
  <c r="E102" i="70"/>
  <c r="G102" i="70" s="1"/>
  <c r="H102" i="70" s="1"/>
  <c r="E97" i="70"/>
  <c r="G97" i="70" s="1"/>
  <c r="H97" i="70" s="1"/>
  <c r="E99" i="70"/>
  <c r="G99" i="70" s="1"/>
  <c r="H99" i="70" s="1"/>
  <c r="E106" i="70"/>
  <c r="G106" i="70" s="1"/>
  <c r="H106" i="70" s="1"/>
  <c r="E94" i="70"/>
  <c r="G94" i="70" s="1"/>
  <c r="H94" i="70" s="1"/>
  <c r="E105" i="70"/>
  <c r="G105" i="70" s="1"/>
  <c r="H105" i="70" s="1"/>
  <c r="E96" i="70"/>
  <c r="G96" i="70" s="1"/>
  <c r="H96" i="70" s="1"/>
  <c r="C55" i="70"/>
  <c r="D55" i="70" s="1"/>
  <c r="G112" i="71" l="1"/>
  <c r="E112" i="71"/>
  <c r="AF30" i="3"/>
  <c r="AB31" i="3"/>
  <c r="G139" i="28"/>
  <c r="E139" i="28"/>
  <c r="H139" i="28" s="1"/>
  <c r="H135" i="8"/>
  <c r="C135" i="8"/>
  <c r="H106" i="74"/>
  <c r="C106" i="74"/>
  <c r="E98" i="60"/>
  <c r="G98" i="60"/>
  <c r="C72" i="53"/>
  <c r="H72" i="53"/>
  <c r="D55" i="55"/>
  <c r="H83" i="47"/>
  <c r="C83" i="47"/>
  <c r="C125" i="7"/>
  <c r="D55" i="38"/>
  <c r="C133" i="4"/>
  <c r="C54" i="64"/>
  <c r="G148" i="7"/>
  <c r="E148" i="7"/>
  <c r="C130" i="50"/>
  <c r="H130" i="50"/>
  <c r="H122" i="23"/>
  <c r="G120" i="48"/>
  <c r="E120" i="48"/>
  <c r="C122" i="23"/>
  <c r="E142" i="23"/>
  <c r="G142" i="23"/>
  <c r="E127" i="23"/>
  <c r="G127" i="23" s="1"/>
  <c r="H127" i="23" s="1"/>
  <c r="E140" i="23"/>
  <c r="G140" i="23" s="1"/>
  <c r="H140" i="23" s="1"/>
  <c r="E128" i="23"/>
  <c r="G128" i="23" s="1"/>
  <c r="H128" i="23" s="1"/>
  <c r="E131" i="23"/>
  <c r="G131" i="23" s="1"/>
  <c r="H131" i="23" s="1"/>
  <c r="E132" i="23"/>
  <c r="G132" i="23" s="1"/>
  <c r="H132" i="23" s="1"/>
  <c r="E134" i="23"/>
  <c r="G134" i="23" s="1"/>
  <c r="H134" i="23" s="1"/>
  <c r="E136" i="23"/>
  <c r="G136" i="23" s="1"/>
  <c r="H136" i="23" s="1"/>
  <c r="E137" i="23"/>
  <c r="G137" i="23" s="1"/>
  <c r="H137" i="23" s="1"/>
  <c r="E138" i="23"/>
  <c r="G138" i="23" s="1"/>
  <c r="H138" i="23" s="1"/>
  <c r="E139" i="23"/>
  <c r="G139" i="23" s="1"/>
  <c r="H139" i="23" s="1"/>
  <c r="E129" i="23"/>
  <c r="G129" i="23" s="1"/>
  <c r="H129" i="23" s="1"/>
  <c r="E136" i="70"/>
  <c r="G136" i="70"/>
  <c r="H79" i="60"/>
  <c r="C79" i="60"/>
  <c r="B62" i="53"/>
  <c r="D55" i="53"/>
  <c r="B84" i="32"/>
  <c r="D55" i="32"/>
  <c r="D55" i="24"/>
  <c r="H57" i="23"/>
  <c r="E135" i="23"/>
  <c r="G135" i="23" s="1"/>
  <c r="H135" i="23" s="1"/>
  <c r="E130" i="23"/>
  <c r="G130" i="23" s="1"/>
  <c r="H130" i="23" s="1"/>
  <c r="E133" i="23"/>
  <c r="G133" i="23" s="1"/>
  <c r="H133" i="23" s="1"/>
  <c r="D55" i="78"/>
  <c r="E113" i="66"/>
  <c r="G113" i="66" s="1"/>
  <c r="H113" i="66" s="1"/>
  <c r="E116" i="66"/>
  <c r="G116" i="66" s="1"/>
  <c r="H116" i="66" s="1"/>
  <c r="E114" i="66"/>
  <c r="G114" i="66" s="1"/>
  <c r="H114" i="66" s="1"/>
  <c r="E117" i="66"/>
  <c r="G117" i="66" s="1"/>
  <c r="H117" i="66" s="1"/>
  <c r="E118" i="66"/>
  <c r="G118" i="66" s="1"/>
  <c r="H118" i="66" s="1"/>
  <c r="E119" i="66"/>
  <c r="G119" i="66" s="1"/>
  <c r="H119" i="66" s="1"/>
  <c r="E115" i="66"/>
  <c r="G115" i="66" s="1"/>
  <c r="H115" i="66" s="1"/>
  <c r="E120" i="66"/>
  <c r="G120" i="66" s="1"/>
  <c r="H120" i="66" s="1"/>
  <c r="E121" i="66"/>
  <c r="G121" i="66" s="1"/>
  <c r="H121" i="66" s="1"/>
  <c r="H57" i="66"/>
  <c r="H131" i="74"/>
  <c r="C131" i="74"/>
  <c r="H110" i="70"/>
  <c r="C110" i="70"/>
  <c r="H142" i="57"/>
  <c r="C142" i="57"/>
  <c r="B62" i="48"/>
  <c r="H101" i="48"/>
  <c r="C101" i="48"/>
  <c r="B84" i="48"/>
  <c r="H107" i="47"/>
  <c r="C107" i="47"/>
  <c r="H103" i="32"/>
  <c r="C103" i="32"/>
  <c r="H123" i="16"/>
  <c r="C123" i="16"/>
  <c r="H136" i="3"/>
  <c r="C136" i="3"/>
  <c r="C56" i="54"/>
  <c r="D56" i="54" s="1"/>
  <c r="C95" i="10"/>
  <c r="H95" i="10"/>
  <c r="E106" i="10"/>
  <c r="E102" i="10"/>
  <c r="G102" i="10" s="1"/>
  <c r="H102" i="10" s="1"/>
  <c r="G106" i="10"/>
  <c r="E101" i="10"/>
  <c r="G101" i="10" s="1"/>
  <c r="H101" i="10" s="1"/>
  <c r="E104" i="10"/>
  <c r="G104" i="10" s="1"/>
  <c r="H104" i="10" s="1"/>
  <c r="E103" i="10"/>
  <c r="G103" i="10" s="1"/>
  <c r="H103" i="10" s="1"/>
  <c r="E100" i="10"/>
  <c r="G100" i="10" s="1"/>
  <c r="H100" i="10" s="1"/>
  <c r="B63" i="53"/>
  <c r="B73" i="10"/>
  <c r="B63" i="60"/>
  <c r="B63" i="10"/>
  <c r="B74" i="10"/>
  <c r="B62" i="10"/>
  <c r="C57" i="39"/>
  <c r="D57" i="39" s="1"/>
  <c r="C56" i="38"/>
  <c r="C56" i="14"/>
  <c r="D56" i="14" s="1"/>
  <c r="B115" i="14" s="1"/>
  <c r="B85" i="48"/>
  <c r="B63" i="48"/>
  <c r="B104" i="48"/>
  <c r="E110" i="48"/>
  <c r="G110" i="48" s="1"/>
  <c r="H110" i="48" s="1"/>
  <c r="E114" i="48"/>
  <c r="G114" i="48" s="1"/>
  <c r="H114" i="48" s="1"/>
  <c r="E116" i="48"/>
  <c r="G116" i="48" s="1"/>
  <c r="H116" i="48" s="1"/>
  <c r="E118" i="48"/>
  <c r="G118" i="48" s="1"/>
  <c r="H118" i="48" s="1"/>
  <c r="E113" i="48"/>
  <c r="G113" i="48" s="1"/>
  <c r="H113" i="48" s="1"/>
  <c r="E112" i="48"/>
  <c r="G112" i="48" s="1"/>
  <c r="H112" i="48" s="1"/>
  <c r="E115" i="48"/>
  <c r="G115" i="48" s="1"/>
  <c r="H115" i="48" s="1"/>
  <c r="E108" i="48"/>
  <c r="G108" i="48" s="1"/>
  <c r="H108" i="48" s="1"/>
  <c r="E111" i="48"/>
  <c r="G111" i="48" s="1"/>
  <c r="H111" i="48" s="1"/>
  <c r="E109" i="48"/>
  <c r="G109" i="48" s="1"/>
  <c r="H109" i="48" s="1"/>
  <c r="B103" i="48"/>
  <c r="E117" i="48"/>
  <c r="G117" i="48" s="1"/>
  <c r="H117" i="48" s="1"/>
  <c r="E107" i="48"/>
  <c r="G107" i="48" s="1"/>
  <c r="H107" i="48" s="1"/>
  <c r="B63" i="47"/>
  <c r="B62" i="47"/>
  <c r="D56" i="65"/>
  <c r="B86" i="47"/>
  <c r="B87" i="47"/>
  <c r="B62" i="37"/>
  <c r="B63" i="37"/>
  <c r="U35" i="64"/>
  <c r="B82" i="60"/>
  <c r="B62" i="77"/>
  <c r="B63" i="77"/>
  <c r="B75" i="77"/>
  <c r="B74" i="77"/>
  <c r="B89" i="77"/>
  <c r="B88" i="77"/>
  <c r="B103" i="51"/>
  <c r="B82" i="51"/>
  <c r="B102" i="51"/>
  <c r="B62" i="51"/>
  <c r="B122" i="51"/>
  <c r="B63" i="51"/>
  <c r="B81" i="51"/>
  <c r="B121" i="51"/>
  <c r="B87" i="70"/>
  <c r="B62" i="60"/>
  <c r="B81" i="60"/>
  <c r="B86" i="10"/>
  <c r="B97" i="10"/>
  <c r="B98" i="10"/>
  <c r="E132" i="51"/>
  <c r="G132" i="51" s="1"/>
  <c r="H132" i="51" s="1"/>
  <c r="E136" i="51"/>
  <c r="G136" i="51" s="1"/>
  <c r="H136" i="51" s="1"/>
  <c r="E134" i="51"/>
  <c r="G134" i="51" s="1"/>
  <c r="H134" i="51" s="1"/>
  <c r="E124" i="51"/>
  <c r="G124" i="51" s="1"/>
  <c r="H124" i="51" s="1"/>
  <c r="E135" i="51"/>
  <c r="G135" i="51" s="1"/>
  <c r="H135" i="51" s="1"/>
  <c r="E133" i="51"/>
  <c r="G133" i="51" s="1"/>
  <c r="H133" i="51" s="1"/>
  <c r="E131" i="51"/>
  <c r="G131" i="51" s="1"/>
  <c r="H131" i="51" s="1"/>
  <c r="E130" i="51"/>
  <c r="G130" i="51" s="1"/>
  <c r="H130" i="51" s="1"/>
  <c r="E129" i="51"/>
  <c r="G129" i="51" s="1"/>
  <c r="H129" i="51" s="1"/>
  <c r="E128" i="51"/>
  <c r="G128" i="51" s="1"/>
  <c r="H128" i="51" s="1"/>
  <c r="E127" i="51"/>
  <c r="G127" i="51" s="1"/>
  <c r="H127" i="51" s="1"/>
  <c r="E126" i="51"/>
  <c r="G126" i="51" s="1"/>
  <c r="H126" i="51" s="1"/>
  <c r="E125" i="51"/>
  <c r="G125" i="51" s="1"/>
  <c r="H125" i="51" s="1"/>
  <c r="G108" i="20"/>
  <c r="H108" i="20" s="1"/>
  <c r="B87" i="10"/>
  <c r="B85" i="32"/>
  <c r="B63" i="32"/>
  <c r="B64" i="32"/>
  <c r="H56" i="65"/>
  <c r="H55" i="58"/>
  <c r="H55" i="56"/>
  <c r="B63" i="70"/>
  <c r="B113" i="70"/>
  <c r="B114" i="70"/>
  <c r="H55" i="74"/>
  <c r="E113" i="74" s="1"/>
  <c r="G113" i="74" s="1"/>
  <c r="H113" i="74" s="1"/>
  <c r="B88" i="70"/>
  <c r="B62" i="70"/>
  <c r="H55" i="47"/>
  <c r="H55" i="33"/>
  <c r="G65" i="7"/>
  <c r="H65" i="7" s="1"/>
  <c r="D88" i="7"/>
  <c r="E88" i="7"/>
  <c r="H55" i="7"/>
  <c r="E132" i="70"/>
  <c r="G132" i="70" s="1"/>
  <c r="H132" i="70" s="1"/>
  <c r="E130" i="70"/>
  <c r="G130" i="70" s="1"/>
  <c r="H130" i="70" s="1"/>
  <c r="E129" i="70"/>
  <c r="G129" i="70" s="1"/>
  <c r="H129" i="70" s="1"/>
  <c r="E123" i="70"/>
  <c r="G123" i="70" s="1"/>
  <c r="H123" i="70" s="1"/>
  <c r="E134" i="70"/>
  <c r="G134" i="70" s="1"/>
  <c r="H134" i="70" s="1"/>
  <c r="E126" i="70"/>
  <c r="G126" i="70" s="1"/>
  <c r="H126" i="70" s="1"/>
  <c r="E125" i="70"/>
  <c r="G125" i="70" s="1"/>
  <c r="H125" i="70" s="1"/>
  <c r="E117" i="70"/>
  <c r="G117" i="70" s="1"/>
  <c r="H117" i="70" s="1"/>
  <c r="E131" i="70"/>
  <c r="G131" i="70" s="1"/>
  <c r="H131" i="70" s="1"/>
  <c r="E121" i="70"/>
  <c r="G121" i="70" s="1"/>
  <c r="H121" i="70" s="1"/>
  <c r="E120" i="70"/>
  <c r="G120" i="70" s="1"/>
  <c r="H120" i="70" s="1"/>
  <c r="E128" i="70"/>
  <c r="G128" i="70" s="1"/>
  <c r="H128" i="70" s="1"/>
  <c r="E122" i="70"/>
  <c r="G122" i="70" s="1"/>
  <c r="H122" i="70" s="1"/>
  <c r="E127" i="70"/>
  <c r="G127" i="70" s="1"/>
  <c r="H127" i="70" s="1"/>
  <c r="E119" i="70"/>
  <c r="G119" i="70" s="1"/>
  <c r="H119" i="70" s="1"/>
  <c r="E124" i="70"/>
  <c r="G124" i="70" s="1"/>
  <c r="H124" i="70" s="1"/>
  <c r="E133" i="70"/>
  <c r="G133" i="70" s="1"/>
  <c r="H133" i="70" s="1"/>
  <c r="E118" i="70"/>
  <c r="G118" i="70" s="1"/>
  <c r="H118" i="70" s="1"/>
  <c r="C112" i="71" l="1"/>
  <c r="H112" i="71"/>
  <c r="AC25" i="3"/>
  <c r="AF31" i="3"/>
  <c r="C139" i="28"/>
  <c r="C148" i="7"/>
  <c r="H98" i="60"/>
  <c r="C98" i="60"/>
  <c r="C57" i="38"/>
  <c r="D54" i="64"/>
  <c r="C55" i="64"/>
  <c r="D56" i="38"/>
  <c r="H148" i="7"/>
  <c r="E109" i="7"/>
  <c r="G109" i="7" s="1"/>
  <c r="H109" i="7" s="1"/>
  <c r="H56" i="7"/>
  <c r="E132" i="7" s="1"/>
  <c r="G132" i="7" s="1"/>
  <c r="H132" i="7" s="1"/>
  <c r="B82" i="23"/>
  <c r="H142" i="23"/>
  <c r="C142" i="23"/>
  <c r="B145" i="23"/>
  <c r="B63" i="23"/>
  <c r="B125" i="23"/>
  <c r="B62" i="23"/>
  <c r="B104" i="23"/>
  <c r="B144" i="23"/>
  <c r="B105" i="23"/>
  <c r="B83" i="23"/>
  <c r="E147" i="23"/>
  <c r="G147" i="23" s="1"/>
  <c r="H147" i="23" s="1"/>
  <c r="E152" i="23"/>
  <c r="G152" i="23" s="1"/>
  <c r="H152" i="23" s="1"/>
  <c r="E150" i="23"/>
  <c r="G150" i="23" s="1"/>
  <c r="H150" i="23" s="1"/>
  <c r="E151" i="23"/>
  <c r="G151" i="23" s="1"/>
  <c r="H151" i="23" s="1"/>
  <c r="E160" i="23"/>
  <c r="G160" i="23" s="1"/>
  <c r="H160" i="23" s="1"/>
  <c r="B124" i="23"/>
  <c r="G162" i="23"/>
  <c r="E162" i="23"/>
  <c r="E148" i="23"/>
  <c r="G148" i="23" s="1"/>
  <c r="H148" i="23" s="1"/>
  <c r="E154" i="23"/>
  <c r="G154" i="23" s="1"/>
  <c r="H154" i="23" s="1"/>
  <c r="E155" i="23"/>
  <c r="G155" i="23" s="1"/>
  <c r="H155" i="23" s="1"/>
  <c r="E157" i="23"/>
  <c r="G157" i="23" s="1"/>
  <c r="H157" i="23" s="1"/>
  <c r="E159" i="23"/>
  <c r="G159" i="23" s="1"/>
  <c r="H159" i="23" s="1"/>
  <c r="E153" i="23"/>
  <c r="G153" i="23" s="1"/>
  <c r="H153" i="23" s="1"/>
  <c r="E156" i="23"/>
  <c r="G156" i="23" s="1"/>
  <c r="H156" i="23" s="1"/>
  <c r="E158" i="23"/>
  <c r="G158" i="23" s="1"/>
  <c r="H158" i="23" s="1"/>
  <c r="E149" i="23"/>
  <c r="G149" i="23" s="1"/>
  <c r="H149" i="23" s="1"/>
  <c r="E130" i="66"/>
  <c r="G130" i="66" s="1"/>
  <c r="H130" i="66" s="1"/>
  <c r="E137" i="66"/>
  <c r="G137" i="66" s="1"/>
  <c r="H137" i="66" s="1"/>
  <c r="H58" i="66"/>
  <c r="B95" i="66" s="1"/>
  <c r="E131" i="66"/>
  <c r="G131" i="66" s="1"/>
  <c r="H131" i="66" s="1"/>
  <c r="E132" i="66"/>
  <c r="G132" i="66" s="1"/>
  <c r="H132" i="66" s="1"/>
  <c r="E133" i="66"/>
  <c r="G133" i="66" s="1"/>
  <c r="H133" i="66" s="1"/>
  <c r="E134" i="66"/>
  <c r="G134" i="66" s="1"/>
  <c r="H134" i="66" s="1"/>
  <c r="E135" i="66"/>
  <c r="G135" i="66" s="1"/>
  <c r="H135" i="66" s="1"/>
  <c r="E136" i="66"/>
  <c r="G136" i="66" s="1"/>
  <c r="H136" i="66" s="1"/>
  <c r="E129" i="66"/>
  <c r="G129" i="66" s="1"/>
  <c r="H129" i="66" s="1"/>
  <c r="H136" i="70"/>
  <c r="C136" i="70"/>
  <c r="H120" i="48"/>
  <c r="C120" i="48"/>
  <c r="C57" i="54"/>
  <c r="C106" i="10"/>
  <c r="H106" i="10"/>
  <c r="C57" i="14"/>
  <c r="E109" i="14"/>
  <c r="G109" i="14" s="1"/>
  <c r="H109" i="14" s="1"/>
  <c r="E107" i="14"/>
  <c r="G107" i="14" s="1"/>
  <c r="H107" i="14" s="1"/>
  <c r="E112" i="14"/>
  <c r="G112" i="14" s="1"/>
  <c r="H112" i="14" s="1"/>
  <c r="E111" i="14"/>
  <c r="G111" i="14" s="1"/>
  <c r="H111" i="14" s="1"/>
  <c r="E110" i="14"/>
  <c r="G110" i="14" s="1"/>
  <c r="H110" i="14" s="1"/>
  <c r="E113" i="14"/>
  <c r="G113" i="14" s="1"/>
  <c r="H113" i="14" s="1"/>
  <c r="E108" i="14"/>
  <c r="G108" i="14" s="1"/>
  <c r="H108" i="14" s="1"/>
  <c r="H57" i="65"/>
  <c r="G88" i="7"/>
  <c r="H88" i="7" s="1"/>
  <c r="D57" i="54" l="1"/>
  <c r="C58" i="38"/>
  <c r="D57" i="38"/>
  <c r="C56" i="64"/>
  <c r="D55" i="64"/>
  <c r="D57" i="14"/>
  <c r="B128" i="14" s="1"/>
  <c r="B78" i="66"/>
  <c r="B143" i="66"/>
  <c r="B142" i="66"/>
  <c r="B127" i="66"/>
  <c r="B77" i="66"/>
  <c r="B62" i="66"/>
  <c r="B94" i="66"/>
  <c r="B110" i="66"/>
  <c r="B111" i="66"/>
  <c r="H162" i="23"/>
  <c r="C162" i="23"/>
  <c r="B63" i="66"/>
  <c r="B126" i="66"/>
  <c r="E145" i="66"/>
  <c r="G145" i="66" s="1"/>
  <c r="H145" i="66" s="1"/>
  <c r="E149" i="66"/>
  <c r="G149" i="66" s="1"/>
  <c r="H149" i="66" s="1"/>
  <c r="E151" i="66"/>
  <c r="G151" i="66" s="1"/>
  <c r="H151" i="66" s="1"/>
  <c r="E153" i="66"/>
  <c r="G153" i="66" s="1"/>
  <c r="H153" i="66" s="1"/>
  <c r="E146" i="66"/>
  <c r="G146" i="66" s="1"/>
  <c r="H146" i="66" s="1"/>
  <c r="E152" i="66"/>
  <c r="G152" i="66" s="1"/>
  <c r="H152" i="66" s="1"/>
  <c r="E147" i="66"/>
  <c r="G147" i="66" s="1"/>
  <c r="H147" i="66" s="1"/>
  <c r="E150" i="66"/>
  <c r="G150" i="66" s="1"/>
  <c r="H150" i="66" s="1"/>
  <c r="E148" i="66"/>
  <c r="G148" i="66" s="1"/>
  <c r="H148" i="66" s="1"/>
  <c r="E121" i="14"/>
  <c r="G121" i="14" s="1"/>
  <c r="H121" i="14" s="1"/>
  <c r="E124" i="14"/>
  <c r="G124" i="14" s="1"/>
  <c r="H124" i="14" s="1"/>
  <c r="E125" i="14"/>
  <c r="G125" i="14" s="1"/>
  <c r="H125" i="14" s="1"/>
  <c r="E126" i="14"/>
  <c r="G126" i="14" s="1"/>
  <c r="H126" i="14" s="1"/>
  <c r="E122" i="14"/>
  <c r="G122" i="14" s="1"/>
  <c r="H122" i="14" s="1"/>
  <c r="E123" i="14"/>
  <c r="G123" i="14" s="1"/>
  <c r="H123" i="14" s="1"/>
  <c r="E120" i="14"/>
  <c r="G120" i="14" s="1"/>
  <c r="H120" i="14" s="1"/>
  <c r="D65" i="45"/>
  <c r="H52" i="45"/>
  <c r="C59" i="38" l="1"/>
  <c r="D58" i="38"/>
  <c r="C57" i="64"/>
  <c r="D56" i="64"/>
  <c r="G5" i="45"/>
  <c r="H5" i="45" s="1"/>
  <c r="K5" i="45" s="1"/>
  <c r="L5" i="45" s="1"/>
  <c r="S35" i="45" s="1"/>
  <c r="U35" i="45" s="1"/>
  <c r="H53" i="45"/>
  <c r="H54" i="45" l="1"/>
  <c r="E65" i="45"/>
  <c r="G65" i="45" s="1"/>
  <c r="H65" i="45" s="1"/>
  <c r="D59" i="38"/>
  <c r="D57" i="64"/>
  <c r="C58" i="64"/>
  <c r="AA30" i="45"/>
  <c r="AC30" i="45" s="1"/>
  <c r="D65" i="27"/>
  <c r="E90" i="45" l="1"/>
  <c r="G90" i="45" s="1"/>
  <c r="H90" i="45" s="1"/>
  <c r="H55" i="45"/>
  <c r="E112" i="45" s="1"/>
  <c r="G112" i="45" s="1"/>
  <c r="H112" i="45" s="1"/>
  <c r="D58" i="64"/>
  <c r="C59" i="64"/>
  <c r="D59" i="64" s="1"/>
  <c r="H52" i="27"/>
  <c r="H53" i="27" s="1"/>
  <c r="E65" i="27" s="1"/>
  <c r="G65" i="27" s="1"/>
  <c r="H65" i="27" s="1"/>
  <c r="H54" i="27" l="1"/>
  <c r="H52" i="15"/>
  <c r="D65" i="15"/>
  <c r="D97" i="15"/>
  <c r="H55" i="27" l="1"/>
  <c r="E88" i="27"/>
  <c r="G88" i="27" s="1"/>
  <c r="H88" i="27" s="1"/>
  <c r="H53" i="15"/>
  <c r="E5" i="15"/>
  <c r="G5" i="15" s="1"/>
  <c r="H5" i="15" s="1"/>
  <c r="K5" i="15" s="1"/>
  <c r="E65" i="15" l="1"/>
  <c r="H54" i="15"/>
  <c r="E97" i="15" s="1"/>
  <c r="L5" i="15"/>
  <c r="S35" i="15" s="1"/>
  <c r="U35" i="15" s="1"/>
  <c r="G65" i="15" l="1"/>
  <c r="H65" i="15" s="1"/>
  <c r="G97" i="15"/>
  <c r="H97" i="15" s="1"/>
  <c r="H55" i="15"/>
  <c r="AB30" i="15"/>
  <c r="AF30" i="15" s="1"/>
  <c r="AC25" i="15" s="1"/>
  <c r="H51" i="6"/>
  <c r="D78" i="6"/>
  <c r="H52" i="6"/>
  <c r="H53" i="6" s="1"/>
  <c r="D65" i="6"/>
  <c r="H54" i="6" l="1"/>
  <c r="E5" i="6"/>
  <c r="G5" i="6" s="1"/>
  <c r="H5" i="6" s="1"/>
  <c r="K5" i="6" s="1"/>
  <c r="L5" i="6" s="1"/>
  <c r="S35" i="6" s="1"/>
  <c r="E65" i="6"/>
  <c r="G65" i="6" s="1"/>
  <c r="H65" i="6" s="1"/>
  <c r="AB30" i="6" l="1"/>
  <c r="U35" i="6"/>
  <c r="E78" i="6"/>
  <c r="G78" i="6" s="1"/>
  <c r="H78" i="6" s="1"/>
  <c r="H55" i="6"/>
  <c r="AF30" i="6" l="1"/>
  <c r="AC25" i="6" s="1"/>
  <c r="AB31" i="6"/>
  <c r="AC25" i="10"/>
  <c r="AA29" i="16" l="1"/>
  <c r="AC29" i="16" l="1"/>
  <c r="AE28" i="7"/>
  <c r="AC29" i="7" s="1"/>
  <c r="AB29" i="7" l="1"/>
  <c r="AE29" i="7"/>
  <c r="AA29" i="7"/>
  <c r="AE30" i="7" s="1"/>
  <c r="AC25" i="7" s="1"/>
  <c r="T32" i="30"/>
  <c r="E1" i="30" s="1"/>
  <c r="U30" i="30"/>
  <c r="U32" i="30" s="1"/>
  <c r="AE30" i="30" s="1"/>
  <c r="G1" i="30" l="1"/>
  <c r="I1" i="30" s="1"/>
  <c r="C52" i="30" s="1"/>
  <c r="D52" i="30"/>
  <c r="E7" i="30" l="1"/>
  <c r="G7" i="30" s="1"/>
  <c r="H7" i="30" s="1"/>
  <c r="K7" i="30" s="1"/>
  <c r="L7" i="30" s="1"/>
  <c r="E8" i="30"/>
  <c r="G8" i="30" s="1"/>
  <c r="H8" i="30" s="1"/>
  <c r="K8" i="30" s="1"/>
  <c r="L8" i="30" s="1"/>
  <c r="E12" i="30"/>
  <c r="G12" i="30" s="1"/>
  <c r="H12" i="30" s="1"/>
  <c r="K12" i="30" s="1"/>
  <c r="L12" i="30" s="1"/>
  <c r="E13" i="30"/>
  <c r="G13" i="30" s="1"/>
  <c r="H13" i="30" s="1"/>
  <c r="K13" i="30" s="1"/>
  <c r="L13" i="30" s="1"/>
  <c r="E9" i="30"/>
  <c r="G9" i="30" s="1"/>
  <c r="H9" i="30" s="1"/>
  <c r="K9" i="30" s="1"/>
  <c r="L9" i="30" s="1"/>
  <c r="E10" i="30"/>
  <c r="G10" i="30" s="1"/>
  <c r="H10" i="30" s="1"/>
  <c r="K10" i="30" s="1"/>
  <c r="L10" i="30" s="1"/>
  <c r="E11" i="30"/>
  <c r="G11" i="30" s="1"/>
  <c r="H11" i="30" s="1"/>
  <c r="K11" i="30" s="1"/>
  <c r="L11" i="30" s="1"/>
  <c r="E6" i="30"/>
  <c r="G6" i="30" s="1"/>
  <c r="H6" i="30" s="1"/>
  <c r="K6" i="30" s="1"/>
  <c r="L6" i="30" s="1"/>
  <c r="C53" i="30"/>
  <c r="T35" i="30" l="1"/>
  <c r="E70" i="30"/>
  <c r="G70" i="30" s="1"/>
  <c r="H70" i="30" s="1"/>
  <c r="E66" i="30"/>
  <c r="G66" i="30" s="1"/>
  <c r="H66" i="30" s="1"/>
  <c r="E72" i="30"/>
  <c r="G72" i="30" s="1"/>
  <c r="H72" i="30" s="1"/>
  <c r="D53" i="30"/>
  <c r="E69" i="30"/>
  <c r="G69" i="30" s="1"/>
  <c r="H69" i="30" s="1"/>
  <c r="E68" i="30"/>
  <c r="G68" i="30" s="1"/>
  <c r="H68" i="30" s="1"/>
  <c r="E67" i="30"/>
  <c r="G67" i="30" s="1"/>
  <c r="H67" i="30" s="1"/>
  <c r="E71" i="30"/>
  <c r="G71" i="30" s="1"/>
  <c r="H71" i="30" s="1"/>
  <c r="E73" i="30"/>
  <c r="G73" i="30" s="1"/>
  <c r="H73" i="30" s="1"/>
  <c r="C54" i="30"/>
  <c r="AD30" i="30" l="1"/>
  <c r="U35" i="30"/>
  <c r="AC30" i="30"/>
  <c r="E87" i="30"/>
  <c r="G87" i="30" s="1"/>
  <c r="H87" i="30" s="1"/>
  <c r="E86" i="30"/>
  <c r="G86" i="30" s="1"/>
  <c r="H86" i="30" s="1"/>
  <c r="E82" i="30"/>
  <c r="G82" i="30" s="1"/>
  <c r="H82" i="30" s="1"/>
  <c r="E88" i="30"/>
  <c r="G88" i="30" s="1"/>
  <c r="H88" i="30" s="1"/>
  <c r="E84" i="30"/>
  <c r="G84" i="30" s="1"/>
  <c r="H84" i="30" s="1"/>
  <c r="E85" i="30"/>
  <c r="G85" i="30" s="1"/>
  <c r="H85" i="30" s="1"/>
  <c r="E81" i="30"/>
  <c r="G81" i="30" s="1"/>
  <c r="H81" i="30" s="1"/>
  <c r="D54" i="30"/>
  <c r="E83" i="30"/>
  <c r="G83" i="30" s="1"/>
  <c r="H83" i="30" s="1"/>
  <c r="G75" i="30"/>
  <c r="E75" i="30"/>
  <c r="C55" i="30"/>
  <c r="B78" i="30"/>
  <c r="AD31" i="30" l="1"/>
  <c r="AF30" i="30"/>
  <c r="AC25" i="30" s="1"/>
  <c r="D55" i="30"/>
  <c r="B77" i="30"/>
  <c r="B62" i="30"/>
  <c r="C75" i="30"/>
  <c r="H75" i="30"/>
  <c r="B63" i="30"/>
  <c r="G90" i="30"/>
  <c r="E90" i="30"/>
  <c r="C90" i="30" l="1"/>
  <c r="H90" i="30"/>
  <c r="AC29" i="10"/>
  <c r="AB29" i="27" l="1"/>
  <c r="AC29" i="27"/>
  <c r="AA29" i="27"/>
  <c r="AC25" i="27" s="1"/>
  <c r="AC29" i="43" l="1"/>
  <c r="AD29" i="43"/>
  <c r="AB29" i="43"/>
  <c r="AF29" i="43"/>
  <c r="AF30" i="43" l="1"/>
  <c r="AC25" i="43" s="1"/>
  <c r="AB29" i="45"/>
  <c r="AA29" i="45"/>
  <c r="AC29" i="45"/>
  <c r="AC25" i="45"/>
  <c r="AC29" i="50"/>
  <c r="AB29" i="50"/>
  <c r="AA29" i="50"/>
  <c r="AC25" i="50"/>
  <c r="S28" i="52"/>
  <c r="S32" i="52" s="1"/>
  <c r="D1" i="52" l="1"/>
  <c r="F1" i="52" s="1"/>
  <c r="H1" i="52" s="1"/>
  <c r="E7" i="52" l="1"/>
  <c r="G7" i="52" s="1"/>
  <c r="H7" i="52" s="1"/>
  <c r="K7" i="52" s="1"/>
  <c r="L7" i="52" s="1"/>
  <c r="E9" i="52"/>
  <c r="G9" i="52" s="1"/>
  <c r="H9" i="52" s="1"/>
  <c r="K9" i="52" s="1"/>
  <c r="L9" i="52" s="1"/>
  <c r="E8" i="52"/>
  <c r="G8" i="52" s="1"/>
  <c r="H8" i="52" s="1"/>
  <c r="K8" i="52" s="1"/>
  <c r="L8" i="52" s="1"/>
  <c r="E6" i="52"/>
  <c r="G6" i="52" s="1"/>
  <c r="H6" i="52" s="1"/>
  <c r="K6" i="52" s="1"/>
  <c r="L6" i="52" s="1"/>
  <c r="S35" i="52" l="1"/>
  <c r="AC29" i="65"/>
  <c r="AA29" i="65"/>
  <c r="AC30" i="65" s="1"/>
  <c r="AC25" i="65" s="1"/>
  <c r="AB29" i="65"/>
  <c r="AC25" i="52" l="1"/>
  <c r="U35" i="52"/>
  <c r="AE30" i="28" l="1"/>
  <c r="AF30" i="28" s="1"/>
  <c r="AC25" i="28" s="1"/>
  <c r="U35"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tc={1DC842B1-13E5-4C73-8113-AF5C0DA1D93B}</author>
    <author>tc={44D9B5F2-A946-4132-B746-CFB757F18171}</author>
    <author>tc={3011D849-562F-4B14-BFB9-F1AD0C7CEDA5}</author>
  </authors>
  <commentList>
    <comment ref="K1" authorId="0" shapeId="0" xr:uid="{00000000-0006-0000-02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Bilal will check conv. Factor this week when he weighs it ( 2/1/2026)</t>
        </r>
      </text>
    </comment>
    <comment ref="AC25" authorId="1" shapeId="0" xr:uid="{1DC842B1-13E5-4C73-8113-AF5C0DA1D93B}">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0" shapeId="0" xr:uid="{00000000-0006-0000-0200-000002000000}">
      <text>
        <r>
          <rPr>
            <sz val="11"/>
            <color theme="1"/>
            <rFont val="Arial"/>
            <family val="2"/>
          </rPr>
          <t>HP:
thr Protine is total / 1.3</t>
        </r>
      </text>
    </comment>
    <comment ref="AF28" authorId="2" shapeId="0" xr:uid="{44D9B5F2-A946-4132-B746-CFB757F18171}">
      <text>
        <t>[Threaded comment]
Your version of Excel allows you to read this threaded comment; however, any edits to it will get removed if the file is opened in a newer version of Excel. Learn more: https://go.microsoft.com/fwlink/?linkid=870924
Comment:
    If the Equation is correct, you will have the total of Protein + Mix + Topping = to the total in the Blue Table</t>
      </text>
    </comment>
    <comment ref="T29" authorId="0" shapeId="0" xr:uid="{00000000-0006-0000-0200-000003000000}">
      <text>
        <r>
          <rPr>
            <sz val="11"/>
            <color theme="1"/>
            <rFont val="Arial"/>
            <family val="2"/>
          </rPr>
          <t xml:space="preserve">0.15 of total quantity, 25gm for the 150gm plate
</t>
        </r>
      </text>
    </comment>
    <comment ref="AA30" authorId="3" shapeId="0" xr:uid="{3011D849-562F-4B14-BFB9-F1AD0C7CEDA5}">
      <text>
        <t>[Threaded comment]
Your version of Excel allows you to read this threaded comment; however, any edits to it will get removed if the file is opened in a newer version of Excel. Learn more: https://go.microsoft.com/fwlink/?linkid=870924
Comment:
    Keep the Rates linked to the Blue Table so it get updated as prices in the ordering sheet changes, if you changed the quantity in the blue table or the costing table, the rate must stay the same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0300-000001000000}">
      <text>
        <r>
          <rPr>
            <sz val="11"/>
            <color theme="1"/>
            <rFont val="Arial"/>
            <family val="2"/>
          </rPr>
          <t>HP:
thr Protine is total / 1.3</t>
        </r>
      </text>
    </comment>
    <comment ref="T29" authorId="0" shapeId="0" xr:uid="{00000000-0006-0000-0300-000002000000}">
      <text>
        <r>
          <rPr>
            <sz val="11"/>
            <color theme="1"/>
            <rFont val="Arial"/>
            <family val="2"/>
          </rPr>
          <t>HP:1/3 of total quantity, 50gm for the 150gm plate
+ 
buffer as some Sauce will Stick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tc={081DAECB-E080-489B-8A34-165D790BF053}</author>
  </authors>
  <commentList>
    <comment ref="R17" authorId="0" shapeId="0" xr:uid="{00000000-0006-0000-05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AA30" authorId="1" shapeId="0" xr:uid="{081DAECB-E080-489B-8A34-165D790BF053}">
      <text>
        <t>[Threaded comment]
Your version of Excel allows you to read this threaded comment; however, any edits to it will get removed if the file is opened in a newer version of Excel. Learn more: https://go.microsoft.com/fwlink/?linkid=870924
Comment:
    Keep the Rates linked to the Blue Table so it get updated as prices in the ordering sheet changes, if you changed the quantity in the blue table or the costing table, the rate must stay the same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0400-000001000000}">
      <text>
        <r>
          <rPr>
            <sz val="11"/>
            <color theme="1"/>
            <rFont val="Arial"/>
            <family val="2"/>
          </rPr>
          <t>HP:
thr Protine is total / 1.3</t>
        </r>
      </text>
    </comment>
    <comment ref="T28" authorId="0" shapeId="0" xr:uid="{00000000-0006-0000-0400-000002000000}">
      <text>
        <r>
          <rPr>
            <sz val="11"/>
            <color theme="1"/>
            <rFont val="Arial"/>
            <family val="2"/>
          </rPr>
          <t>HP:
we want to allow the chicken to be self saturated after it absorb the Saucr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K1" authorId="0" shapeId="0" xr:uid="{00000000-0006-0000-0700-000001000000}">
      <text>
        <r>
          <rPr>
            <sz val="11"/>
            <color theme="1"/>
            <rFont val="Arial"/>
            <family val="2"/>
          </rPr>
          <t xml:space="preserve">[Threaded comment]
Your version of Excel allows you to read this threaded comment; however, any edits to it will get removed if the file is opened in a newer version of Excel. Learn more: https://go.microsoft.com/fwlink/?linkid=870924
Comment:
    Bilal will check conv. Factor this week when he weighs it ( 2/1/2026)
</t>
        </r>
      </text>
    </comment>
    <comment ref="R23" authorId="0" shapeId="0" xr:uid="{00000000-0006-0000-0700-000002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S28" authorId="0" shapeId="0" xr:uid="{00000000-0006-0000-0700-000003000000}">
      <text>
        <r>
          <rPr>
            <sz val="11"/>
            <color theme="1"/>
            <rFont val="Arial"/>
            <family val="2"/>
          </rPr>
          <t>HP:
thr Protine is total / 1.3</t>
        </r>
      </text>
    </comment>
    <comment ref="T29" authorId="0" shapeId="0" xr:uid="{00000000-0006-0000-0700-000004000000}">
      <text>
        <r>
          <rPr>
            <sz val="11"/>
            <color theme="1"/>
            <rFont val="Arial"/>
            <family val="2"/>
          </rPr>
          <t>we will treat it as Rich Meal (30% Topping + 10% Buffer)
buffer as some Sauce will Stick</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0800-000001000000}">
      <text>
        <r>
          <rPr>
            <sz val="11"/>
            <color theme="1"/>
            <rFont val="Arial"/>
            <family val="2"/>
          </rPr>
          <t>HP:
This is a pure Protine Play</t>
        </r>
      </text>
    </comment>
    <comment ref="T29" authorId="0" shapeId="0" xr:uid="{00000000-0006-0000-0800-000002000000}">
      <text>
        <r>
          <rPr>
            <sz val="11"/>
            <color theme="1"/>
            <rFont val="Arial"/>
            <family val="2"/>
          </rPr>
          <t>HP:1/3 of total quantity, 50gm for the 150gm plate
+ 
buffer as some Sauce will Stick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00000000-0006-0000-0A00-000001000000}">
      <text>
        <r>
          <rPr>
            <sz val="11"/>
            <color theme="1"/>
            <rFont val="Arial"/>
            <family val="2"/>
          </rPr>
          <t>HP:1/3 of total quantity, 50gm for the 150gm plate
+ 
buffer as some Sauce will Stick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0900-000001000000}">
      <text>
        <r>
          <rPr>
            <sz val="11"/>
            <color theme="1"/>
            <rFont val="Arial"/>
            <family val="2"/>
          </rPr>
          <t xml:space="preserve">HP:
total in the update is Protine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0E00-000001000000}">
      <text>
        <r>
          <rPr>
            <sz val="11"/>
            <color theme="1"/>
            <rFont val="Arial"/>
            <family val="2"/>
          </rPr>
          <t>HP:
thr Protine is total / 1.3</t>
        </r>
      </text>
    </comment>
    <comment ref="T29" authorId="0" shapeId="0" xr:uid="{00000000-0006-0000-0E00-000002000000}">
      <text>
        <r>
          <rPr>
            <sz val="11"/>
            <color theme="1"/>
            <rFont val="Arial"/>
            <family val="2"/>
          </rPr>
          <t>HP:1/3 of total quantity, 50gm for the 150gm plate
+ 
buffer as some Sauce will Stick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BB62E42E-93FE-4609-8091-18A67A9DF972}">
      <text>
        <r>
          <rPr>
            <sz val="11"/>
            <color theme="1"/>
            <rFont val="Arial"/>
            <family val="2"/>
          </rPr>
          <t>HP:
thr Protine is total / 1.3</t>
        </r>
      </text>
    </comment>
    <comment ref="S30" authorId="0" shapeId="0" xr:uid="{5A4ACB2E-1972-4D28-9F49-3B46FA8EB138}">
      <text>
        <r>
          <rPr>
            <sz val="11"/>
            <color theme="1"/>
            <rFont val="Arial"/>
            <family val="2"/>
          </rPr>
          <t>HP:
thr Protine is total / 1.3</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200-000001000000}">
      <text>
        <r>
          <rPr>
            <sz val="11"/>
            <color theme="1"/>
            <rFont val="Arial"/>
            <family val="2"/>
          </rPr>
          <t>HP:
thr Protine is total / 1.3</t>
        </r>
      </text>
    </comment>
    <comment ref="T29" authorId="0" shapeId="0" xr:uid="{00000000-0006-0000-1200-000002000000}">
      <text>
        <r>
          <rPr>
            <sz val="11"/>
            <color theme="1"/>
            <rFont val="Arial"/>
            <family val="2"/>
          </rPr>
          <t>HP:1/3 of total quantity, 50gm for the 150gm plate
+ 
buffer as some Sauce will Stick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000-000001000000}">
      <text>
        <r>
          <rPr>
            <sz val="11"/>
            <color theme="1"/>
            <rFont val="Arial"/>
            <family val="2"/>
          </rPr>
          <t>HP:
thr Protine is total / 1.3</t>
        </r>
      </text>
    </comment>
    <comment ref="T29" authorId="0" shapeId="0" xr:uid="{00000000-0006-0000-1000-000002000000}">
      <text>
        <r>
          <rPr>
            <sz val="11"/>
            <color theme="1"/>
            <rFont val="Arial"/>
            <family val="2"/>
          </rPr>
          <t>HP:1/3 of total quantity, 50gm for the 150gm plate
+ 
buffer as some Sauce will Stick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100-000001000000}">
      <text>
        <r>
          <rPr>
            <sz val="11"/>
            <color theme="1"/>
            <rFont val="Arial"/>
            <family val="2"/>
          </rPr>
          <t>HP:
thr Protine is total / 1.3</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400-000001000000}">
      <text>
        <r>
          <rPr>
            <sz val="11"/>
            <color theme="1"/>
            <rFont val="Arial"/>
            <family val="2"/>
          </rPr>
          <t>HP:
thr Protine is total / 1.3</t>
        </r>
      </text>
    </comment>
    <comment ref="T29" authorId="0" shapeId="0" xr:uid="{00000000-0006-0000-1400-000002000000}">
      <text>
        <r>
          <rPr>
            <sz val="11"/>
            <color theme="1"/>
            <rFont val="Arial"/>
            <family val="2"/>
          </rPr>
          <t>HP:1/3 of total quantity, 50gm for the 150gm plate
+ 
buffer as some Sauce will Stick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00000000-0006-0000-1500-000001000000}">
      <text>
        <r>
          <rPr>
            <sz val="11"/>
            <color theme="1"/>
            <rFont val="Arial"/>
            <family val="2"/>
          </rPr>
          <t>HP:1/3 of total quantity, 50gm for the 150gm plate
+ 
buffer as some Sauce will Stick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600-000001000000}">
      <text>
        <r>
          <rPr>
            <sz val="11"/>
            <color theme="1"/>
            <rFont val="Arial"/>
            <family val="2"/>
          </rPr>
          <t xml:space="preserve">HP:
total in the update is Protine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tc={D1EFD38B-F35F-4F53-829B-6B853CA5068A}</author>
    <author>tc={DFDC8677-3B46-4597-A78A-89DFD78B19A4}</author>
    <author>tc={AFA68A81-CD12-4647-8026-78AC98878D42}</author>
  </authors>
  <commentList>
    <comment ref="I1" authorId="0" shapeId="0" xr:uid="{D1EFD38B-F35F-4F53-829B-6B853CA5068A}">
      <text>
        <t xml:space="preserve">[Threaded comment]
Your version of Excel allows you to read this threaded comment; however, any edits to it will get removed if the file is opened in a newer version of Excel. Learn more: https://go.microsoft.com/fwlink/?linkid=870924
Comment:
    There is no weight correction. For coating as it doesn’t lose weight
</t>
      </text>
    </comment>
    <comment ref="K1" authorId="1" shapeId="0" xr:uid="{DFDC8677-3B46-4597-A78A-89DFD78B19A4}">
      <text>
        <t>[Threaded comment]
Your version of Excel allows you to read this threaded comment; however, any edits to it will get removed if the file is opened in a newer version of Excel. Learn more: https://go.microsoft.com/fwlink/?linkid=870924
Comment:
    The coating will never lose weight during cooking; however there will be loses as it will not stick to the chicken , get burned, and 75% is high efficiency coating</t>
      </text>
    </comment>
    <comment ref="AC25" authorId="2" shapeId="0" xr:uid="{AFA68A81-CD12-4647-8026-78AC98878D42}">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tc={ADAC1321-0D8E-452C-AD0E-7D9D38F2ED51}</author>
    <author>Unknown Author</author>
  </authors>
  <commentList>
    <comment ref="AC25" authorId="0" shapeId="0" xr:uid="{ADAC1321-0D8E-452C-AD0E-7D9D38F2ED51}">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1900-000001000000}">
      <text>
        <r>
          <rPr>
            <sz val="11"/>
            <color theme="1"/>
            <rFont val="Arial"/>
            <family val="2"/>
          </rPr>
          <t>HP:
thr Protine is total / 1.3</t>
        </r>
      </text>
    </comment>
    <comment ref="T29" authorId="1" shapeId="0" xr:uid="{00000000-0006-0000-1900-000002000000}">
      <text>
        <r>
          <rPr>
            <sz val="11"/>
            <color theme="1"/>
            <rFont val="Arial"/>
            <family val="2"/>
          </rPr>
          <t>HP:1/3 of total quantity, 50gm for the 150gm plate
+ 
buffer as some Sauce will Stick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3D84EAD8-7983-4FD4-9054-0C9850C20D11}">
      <text>
        <r>
          <rPr>
            <sz val="11"/>
            <color theme="1"/>
            <rFont val="Arial"/>
            <family val="2"/>
          </rPr>
          <t>HP:
thr Protine is total / 1.3</t>
        </r>
      </text>
    </comment>
    <comment ref="T29" authorId="0" shapeId="0" xr:uid="{00000000-0006-0000-1A00-000002000000}">
      <text>
        <r>
          <rPr>
            <sz val="11"/>
            <color theme="1"/>
            <rFont val="Arial"/>
            <family val="2"/>
          </rPr>
          <t>HP:1/3 of total quantity, 50gm for the 150gm plate
+ 
buffer as some Sauce will Stick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B00-000001000000}">
      <text>
        <r>
          <rPr>
            <sz val="11"/>
            <color theme="1"/>
            <rFont val="Arial"/>
            <family val="2"/>
          </rPr>
          <t>HP:
thr Protine is total / 1.3</t>
        </r>
      </text>
    </comment>
    <comment ref="T29" authorId="0" shapeId="0" xr:uid="{00000000-0006-0000-1B00-000002000000}">
      <text>
        <r>
          <rPr>
            <sz val="11"/>
            <color theme="1"/>
            <rFont val="Arial"/>
            <family val="2"/>
          </rPr>
          <t>HP:1/3 of total quantity, 50gm for the 150gm plate
+ 
buffer as some Sauce will Stick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tc={003E98E4-44CF-43F4-8018-2B4370DD5EF7}</author>
    <author>Unknown Author</author>
  </authors>
  <commentList>
    <comment ref="AC25" authorId="0" shapeId="0" xr:uid="{003E98E4-44CF-43F4-8018-2B4370DD5EF7}">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1C00-000001000000}">
      <text>
        <r>
          <rPr>
            <sz val="11"/>
            <color theme="1"/>
            <rFont val="Arial"/>
            <family val="2"/>
          </rPr>
          <t xml:space="preserve">HP:
total in the update is Protine </t>
        </r>
      </text>
    </comment>
    <comment ref="T28" authorId="1" shapeId="0" xr:uid="{00000000-0006-0000-1C00-000002000000}">
      <text>
        <r>
          <rPr>
            <sz val="11"/>
            <color theme="1"/>
            <rFont val="Arial"/>
            <family val="2"/>
          </rPr>
          <t xml:space="preserve">HP:There is no Mixing Sauce
</t>
        </r>
      </text>
    </comment>
    <comment ref="T29" authorId="1" shapeId="0" xr:uid="{00000000-0006-0000-1C00-000003000000}">
      <text>
        <r>
          <rPr>
            <sz val="11"/>
            <color theme="1"/>
            <rFont val="Arial"/>
            <family val="2"/>
          </rPr>
          <t xml:space="preserve">HP:
Sauce is 50% of pure protein and we buffer 10%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R19" authorId="0" shapeId="0" xr:uid="{00000000-0006-0000-1D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S28" authorId="0" shapeId="0" xr:uid="{00000000-0006-0000-1D00-000002000000}">
      <text>
        <r>
          <rPr>
            <sz val="11"/>
            <color theme="1"/>
            <rFont val="Arial"/>
            <family val="2"/>
          </rPr>
          <t xml:space="preserve">HP:
total in the update is Protine </t>
        </r>
      </text>
    </comment>
    <comment ref="T28" authorId="0" shapeId="0" xr:uid="{00000000-0006-0000-1D00-000003000000}">
      <text>
        <r>
          <rPr>
            <sz val="11"/>
            <color theme="1"/>
            <rFont val="Arial"/>
            <family val="2"/>
          </rPr>
          <t xml:space="preserve">HP:There is no Mixing Sauce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E00-000001000000}">
      <text>
        <r>
          <rPr>
            <sz val="11"/>
            <color theme="1"/>
            <rFont val="Arial"/>
            <family val="2"/>
          </rPr>
          <t>HP:
thr Protine is total / 1.3</t>
        </r>
      </text>
    </comment>
    <comment ref="T29" authorId="0" shapeId="0" xr:uid="{00000000-0006-0000-1E00-000002000000}">
      <text>
        <r>
          <rPr>
            <sz val="11"/>
            <color theme="1"/>
            <rFont val="Arial"/>
            <family val="2"/>
          </rPr>
          <t>HP:1/3 of total quantity, 50gm for the 150gm plate
+ 
buffer as some Sauce will Stick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F00-000001000000}">
      <text>
        <r>
          <rPr>
            <sz val="11"/>
            <color theme="1"/>
            <rFont val="Arial"/>
            <family val="2"/>
          </rPr>
          <t>HP:
thr Protine is total / 1.3</t>
        </r>
      </text>
    </comment>
    <comment ref="T29" authorId="0" shapeId="0" xr:uid="{00000000-0006-0000-1F00-000003000000}">
      <text>
        <r>
          <rPr>
            <sz val="11"/>
            <color theme="1"/>
            <rFont val="Arial"/>
            <family val="2"/>
          </rPr>
          <t>HP:1/3 of total quantity, 50gm for the 150gm plate
+ 
buffer as some Sauce will Stick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000-000001000000}">
      <text>
        <r>
          <rPr>
            <sz val="11"/>
            <color theme="1"/>
            <rFont val="Arial"/>
            <family val="2"/>
          </rPr>
          <t>HP:
thr Protine is total / 1.3</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100-000001000000}">
      <text>
        <r>
          <rPr>
            <sz val="11"/>
            <color theme="1"/>
            <rFont val="Arial"/>
            <family val="2"/>
          </rPr>
          <t xml:space="preserve">HP:
total in the update is Protine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200-000001000000}">
      <text>
        <r>
          <rPr>
            <sz val="11"/>
            <color theme="1"/>
            <rFont val="Arial"/>
            <family val="2"/>
          </rPr>
          <t xml:space="preserve">HP:
total in the update is Protine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00000000-0006-0000-2300-000001000000}">
      <text>
        <r>
          <rPr>
            <sz val="11"/>
            <color theme="1"/>
            <rFont val="Arial"/>
            <family val="2"/>
          </rPr>
          <t>HP:1/3 of total quantity, 50gm for the 150gm plate
+ 
buffer as some Sauce will Stick</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400-000001000000}">
      <text>
        <r>
          <rPr>
            <sz val="11"/>
            <color theme="1"/>
            <rFont val="Arial"/>
            <family val="2"/>
          </rPr>
          <t>HP:
thr Protine is total / 1.3</t>
        </r>
      </text>
    </comment>
    <comment ref="T29" authorId="0" shapeId="0" xr:uid="{00000000-0006-0000-2400-000002000000}">
      <text>
        <r>
          <rPr>
            <sz val="11"/>
            <color theme="1"/>
            <rFont val="Arial"/>
            <family val="2"/>
          </rPr>
          <t>HP:1/3 of total quantity, 50gm for the 150gm plate
+ 
buffer as some Sauce will Stick</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19" authorId="0" shapeId="0" xr:uid="{00000000-0006-0000-28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S28" authorId="0" shapeId="0" xr:uid="{00000000-0006-0000-2800-000002000000}">
      <text>
        <r>
          <rPr>
            <sz val="11"/>
            <color theme="1"/>
            <rFont val="Arial"/>
            <family val="2"/>
          </rPr>
          <t xml:space="preserve">HP:
total in the update is Protine </t>
        </r>
      </text>
    </comment>
    <comment ref="T28" authorId="0" shapeId="0" xr:uid="{00000000-0006-0000-2800-000003000000}">
      <text>
        <r>
          <rPr>
            <sz val="11"/>
            <color theme="1"/>
            <rFont val="Arial"/>
            <family val="2"/>
          </rPr>
          <t xml:space="preserve">HP:There is no Mixing Sauce
</t>
        </r>
      </text>
    </comment>
    <comment ref="T29" authorId="0" shapeId="0" xr:uid="{00000000-0006-0000-2800-000004000000}">
      <text>
        <r>
          <rPr>
            <sz val="11"/>
            <color theme="1"/>
            <rFont val="Arial"/>
            <family val="2"/>
          </rPr>
          <t xml:space="preserve">HP:
Sauce is 50% of pure protein and we buffer 10%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19" authorId="0" shapeId="0" xr:uid="{00000000-0006-0000-29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S28" authorId="0" shapeId="0" xr:uid="{00000000-0006-0000-2900-000002000000}">
      <text>
        <r>
          <rPr>
            <sz val="11"/>
            <color theme="1"/>
            <rFont val="Arial"/>
            <family val="2"/>
          </rPr>
          <t xml:space="preserve">HP:There is no Mixing Sauce
</t>
        </r>
      </text>
    </comment>
    <comment ref="S29" authorId="0" shapeId="0" xr:uid="{00000000-0006-0000-2900-000003000000}">
      <text>
        <r>
          <rPr>
            <sz val="11"/>
            <color theme="1"/>
            <rFont val="Arial"/>
            <family val="2"/>
          </rPr>
          <t xml:space="preserve">HP:
Sauce is 50% of pure protein and we buffer 10%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Unknown Author</author>
    <author>tc={2ECC9FD7-3B29-4CC2-9BE8-C4E5CF01D92F}</author>
  </authors>
  <commentList>
    <comment ref="R23" authorId="0" shapeId="0" xr:uid="{00000000-0006-0000-2A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AC25" authorId="1" shapeId="0" xr:uid="{2ECC9FD7-3B29-4CC2-9BE8-C4E5CF01D92F}">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0" shapeId="0" xr:uid="{00000000-0006-0000-2A00-000002000000}">
      <text>
        <r>
          <rPr>
            <sz val="11"/>
            <color theme="1"/>
            <rFont val="Arial"/>
            <family val="2"/>
          </rPr>
          <t xml:space="preserve">HP:
total in the update is Protine </t>
        </r>
      </text>
    </comment>
    <comment ref="T28" authorId="0" shapeId="0" xr:uid="{00000000-0006-0000-2A00-000003000000}">
      <text>
        <r>
          <rPr>
            <sz val="11"/>
            <color theme="1"/>
            <rFont val="Arial"/>
            <family val="2"/>
          </rPr>
          <t>HP:
No Mixing Sauce</t>
        </r>
      </text>
    </comment>
    <comment ref="T29" authorId="0" shapeId="0" xr:uid="{00000000-0006-0000-2A00-000004000000}">
      <text>
        <r>
          <rPr>
            <sz val="11"/>
            <color theme="1"/>
            <rFont val="Arial"/>
            <family val="2"/>
          </rPr>
          <t xml:space="preserve">HP:
Sauce is 50% of pure protein and we buffer 10%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B00-000001000000}">
      <text>
        <r>
          <rPr>
            <sz val="11"/>
            <color theme="1"/>
            <rFont val="Arial"/>
            <family val="2"/>
          </rPr>
          <t>HP:
thr Protine is total / 1.3</t>
        </r>
      </text>
    </comment>
    <comment ref="T29" authorId="0" shapeId="0" xr:uid="{00000000-0006-0000-2B00-000002000000}">
      <text>
        <r>
          <rPr>
            <sz val="11"/>
            <color theme="1"/>
            <rFont val="Arial"/>
            <family val="2"/>
          </rPr>
          <t>HP:1/3 of total quantity, 50gm for the 150gm plate
+ 
buffer as some Sauce will Stick</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C00-000001000000}">
      <text>
        <r>
          <rPr>
            <sz val="11"/>
            <color theme="1"/>
            <rFont val="Arial"/>
            <family val="2"/>
          </rPr>
          <t>HP:
thr Protine is total / 1.3</t>
        </r>
      </text>
    </comment>
    <comment ref="T29" authorId="0" shapeId="0" xr:uid="{00000000-0006-0000-2C00-000002000000}">
      <text>
        <r>
          <rPr>
            <sz val="11"/>
            <color theme="1"/>
            <rFont val="Arial"/>
            <family val="2"/>
          </rPr>
          <t>HP:1/3 of total quantity, 50gm for the 150gm plate
+ 
buffer as some Sauce will Stick</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D00-000001000000}">
      <text>
        <r>
          <rPr>
            <sz val="11"/>
            <color theme="1"/>
            <rFont val="Arial"/>
            <family val="2"/>
          </rPr>
          <t>HP:
thr Protine is total / 1.3</t>
        </r>
      </text>
    </comment>
    <comment ref="T29" authorId="0" shapeId="0" xr:uid="{00000000-0006-0000-2D00-000002000000}">
      <text>
        <r>
          <rPr>
            <sz val="11"/>
            <color theme="1"/>
            <rFont val="Arial"/>
            <family val="2"/>
          </rPr>
          <t>HP:1/3 of total quantity, 50gm for the 150gm plate
+ 
buffer as some Sauce will Stick</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tc={80258C01-47E0-4C6A-B5D0-A8F68454EA8E}</author>
    <author>Unknown Author</author>
  </authors>
  <commentList>
    <comment ref="AC25" authorId="0" shapeId="0" xr:uid="{80258C01-47E0-4C6A-B5D0-A8F68454EA8E}">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2E00-000001000000}">
      <text>
        <r>
          <rPr>
            <sz val="11"/>
            <color theme="1"/>
            <rFont val="Arial"/>
            <family val="2"/>
          </rPr>
          <t>HP:
thr Protein is total / 1.3</t>
        </r>
      </text>
    </comment>
    <comment ref="T29" authorId="1" shapeId="0" xr:uid="{00000000-0006-0000-2E00-000002000000}">
      <text>
        <r>
          <rPr>
            <sz val="11"/>
            <color theme="1"/>
            <rFont val="Arial"/>
            <family val="2"/>
          </rPr>
          <t>HP:1/3 of total quantity, 50gm for the 150gm plate
+ 
buffer as some Sauce will Stick</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F00-000001000000}">
      <text>
        <r>
          <rPr>
            <sz val="11"/>
            <color theme="1"/>
            <rFont val="Arial"/>
            <family val="2"/>
          </rPr>
          <t xml:space="preserve">HP:
total in the update is Protine </t>
        </r>
      </text>
    </comment>
    <comment ref="U28" authorId="0" shapeId="0" xr:uid="{00000000-0006-0000-2F00-000002000000}">
      <text>
        <r>
          <rPr>
            <sz val="11"/>
            <color theme="1"/>
            <rFont val="Arial"/>
            <family val="2"/>
          </rPr>
          <t xml:space="preserve">HP:
total in the update is Protine </t>
        </r>
      </text>
    </comment>
    <comment ref="T29" authorId="0" shapeId="0" xr:uid="{00000000-0006-0000-2F00-000003000000}">
      <text>
        <r>
          <rPr>
            <sz val="11"/>
            <color theme="1"/>
            <rFont val="Arial"/>
            <family val="2"/>
          </rPr>
          <t xml:space="preserve">HP:
Sauce is 50% of pure protein and we buffer 10%
</t>
        </r>
      </text>
    </comment>
    <comment ref="U29" authorId="0" shapeId="0" xr:uid="{00000000-0006-0000-2F00-000004000000}">
      <text>
        <r>
          <rPr>
            <sz val="11"/>
            <color theme="1"/>
            <rFont val="Arial"/>
            <family val="2"/>
          </rPr>
          <t xml:space="preserve">HP:
Sauce is 50% of pure protein and we buffer 10%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00000000-0006-0000-3000-000001000000}">
      <text>
        <r>
          <rPr>
            <sz val="11"/>
            <color theme="1"/>
            <rFont val="Arial"/>
            <family val="2"/>
          </rPr>
          <t>HP:1/3 of total quantity, 50gm for the 150gm plate
+ 
buffer as some Sauce will Stick</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tc={15FBDEDA-BE01-4524-AC62-958B07B425D9}</author>
    <author>Unknown Author</author>
  </authors>
  <commentList>
    <comment ref="AC25" authorId="0" shapeId="0" xr:uid="{15FBDEDA-BE01-4524-AC62-958B07B425D9}">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C84A9BC4-1D33-4348-ADFC-F9A92CBC2463}">
      <text>
        <r>
          <rPr>
            <sz val="11"/>
            <color theme="1"/>
            <rFont val="Arial"/>
            <family val="2"/>
          </rPr>
          <t>HP:
thr Protine is total / 1.3</t>
        </r>
      </text>
    </comment>
    <comment ref="T29" authorId="1" shapeId="0" xr:uid="{57D006D7-57B0-4BF1-B862-8EE97074B3D0}">
      <text>
        <r>
          <rPr>
            <sz val="11"/>
            <color theme="1"/>
            <rFont val="Arial"/>
            <family val="2"/>
          </rPr>
          <t>HP:1/3 of total quantity, 50gm for the 150gm plate
+ 
buffer as some Sauce will Stick</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200-000001000000}">
      <text>
        <r>
          <rPr>
            <sz val="11"/>
            <color theme="1"/>
            <rFont val="Arial"/>
            <family val="2"/>
          </rPr>
          <t xml:space="preserve">HP:
total in the update is Protine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300-000001000000}">
      <text>
        <r>
          <rPr>
            <sz val="11"/>
            <color theme="1"/>
            <rFont val="Arial"/>
            <family val="2"/>
          </rPr>
          <t xml:space="preserve">HP:
total in the update is Protine </t>
        </r>
      </text>
    </comment>
    <comment ref="T28" authorId="0" shapeId="0" xr:uid="{00000000-0006-0000-3300-000002000000}">
      <text>
        <r>
          <rPr>
            <sz val="11"/>
            <color theme="1"/>
            <rFont val="Arial"/>
            <family val="2"/>
          </rPr>
          <t>HP:
Sauce is 50% of Chicken Quantity, we buffered 10%</t>
        </r>
      </text>
    </comment>
    <comment ref="U28" authorId="0" shapeId="0" xr:uid="{00000000-0006-0000-3300-000003000000}">
      <text>
        <r>
          <rPr>
            <sz val="11"/>
            <color theme="1"/>
            <rFont val="Arial"/>
            <family val="2"/>
          </rPr>
          <t xml:space="preserve">HP:
total in the update is Protine </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400-000001000000}">
      <text>
        <r>
          <rPr>
            <sz val="11"/>
            <color theme="1"/>
            <rFont val="Arial"/>
            <family val="2"/>
          </rPr>
          <t>HP:
thr Protine is total / 1.3</t>
        </r>
      </text>
    </comment>
    <comment ref="T29" authorId="0" shapeId="0" xr:uid="{00000000-0006-0000-3400-000002000000}">
      <text>
        <r>
          <rPr>
            <sz val="11"/>
            <color theme="1"/>
            <rFont val="Arial"/>
            <family val="2"/>
          </rPr>
          <t>HP:1/3 of total quantity, 50gm for the 150gm plate
+ 
buffer as some Sauce will Stick</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tc={2A66C493-8FD3-43DA-9452-DAC88E320BF7}</author>
    <author>Unknown Author</author>
  </authors>
  <commentList>
    <comment ref="AC25" authorId="0" shapeId="0" xr:uid="{2A66C493-8FD3-43DA-9452-DAC88E320BF7}">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3700-000001000000}">
      <text>
        <r>
          <rPr>
            <sz val="11"/>
            <color theme="1"/>
            <rFont val="Arial"/>
            <family val="2"/>
          </rPr>
          <t>HP:
thr Protine is total / 1.3</t>
        </r>
      </text>
    </comment>
    <comment ref="T28" authorId="1" shapeId="0" xr:uid="{00000000-0006-0000-3700-000002000000}">
      <text>
        <r>
          <rPr>
            <sz val="11"/>
            <color theme="1"/>
            <rFont val="Arial"/>
            <family val="2"/>
          </rPr>
          <t>HP:
we want to allow the chicken to be self saturated after it absorb the Saucr</t>
        </r>
      </text>
    </comment>
    <comment ref="T29" authorId="1" shapeId="0" xr:uid="{00000000-0006-0000-3700-000003000000}">
      <text>
        <r>
          <rPr>
            <sz val="11"/>
            <color theme="1"/>
            <rFont val="Arial"/>
            <family val="2"/>
          </rPr>
          <t>HP:1/3 of total quantity, 50gm for the 150gm plate
+ 
buffer as some Sauce will Stick</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tc={3359F034-9006-4058-909C-6311A4116AA2}</author>
    <author>Unknown Author</author>
  </authors>
  <commentList>
    <comment ref="AC25" authorId="0" shapeId="0" xr:uid="{3359F034-9006-4058-909C-6311A4116AA2}">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T29" authorId="1" shapeId="0" xr:uid="{00000000-0006-0000-3800-000001000000}">
      <text>
        <r>
          <rPr>
            <sz val="11"/>
            <color theme="1"/>
            <rFont val="Arial"/>
            <family val="2"/>
          </rPr>
          <t>HP:1/3 of total quantity, 50gm for the 150gm plate
+ 
buffer as some Sauce will Stick</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tc={608F1BEB-2EAE-4E5E-8748-AE7646B10B4F}</author>
    <author>Unknown Author</author>
  </authors>
  <commentList>
    <comment ref="AC25" authorId="0" shapeId="0" xr:uid="{608F1BEB-2EAE-4E5E-8748-AE7646B10B4F}">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3900-000001000000}">
      <text>
        <r>
          <rPr>
            <sz val="11"/>
            <color theme="1"/>
            <rFont val="Arial"/>
            <family val="2"/>
          </rPr>
          <t xml:space="preserve">HP:
total in the update is Protine </t>
        </r>
      </text>
    </comment>
    <comment ref="T29" authorId="1" shapeId="0" xr:uid="{00000000-0006-0000-3900-000002000000}">
      <text>
        <r>
          <rPr>
            <sz val="11"/>
            <color theme="1"/>
            <rFont val="Arial"/>
            <family val="2"/>
          </rPr>
          <t>HP:
buttom Sauce is 40% of Quantity, and topping Sauce is 5%</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A00-000001000000}">
      <text>
        <r>
          <rPr>
            <sz val="11"/>
            <color theme="1"/>
            <rFont val="Arial"/>
            <family val="2"/>
          </rPr>
          <t>HP:
thr Protine is total / 1.3</t>
        </r>
      </text>
    </comment>
    <comment ref="T29" authorId="0" shapeId="0" xr:uid="{00000000-0006-0000-3A00-000002000000}">
      <text>
        <r>
          <rPr>
            <sz val="11"/>
            <color theme="1"/>
            <rFont val="Arial"/>
            <family val="2"/>
          </rPr>
          <t>HP:1/3 of total quantity, 50gm for the 150gm plate
+ 
buffer as some Sauce will Stick</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B00-000001000000}">
      <text>
        <r>
          <rPr>
            <sz val="11"/>
            <color theme="1"/>
            <rFont val="Arial"/>
            <family val="2"/>
          </rPr>
          <t xml:space="preserve">HP:
total in the update is Protine </t>
        </r>
      </text>
    </comment>
    <comment ref="T28" authorId="0" shapeId="0" xr:uid="{00000000-0006-0000-3B00-000002000000}">
      <text>
        <r>
          <rPr>
            <sz val="11"/>
            <color theme="1"/>
            <rFont val="Arial"/>
            <family val="2"/>
          </rPr>
          <t xml:space="preserve">HP:There is no Mixing Sauce
</t>
        </r>
      </text>
    </comment>
    <comment ref="T29" authorId="0" shapeId="0" xr:uid="{00000000-0006-0000-3B00-000003000000}">
      <text>
        <r>
          <rPr>
            <sz val="11"/>
            <color theme="1"/>
            <rFont val="Arial"/>
            <family val="2"/>
          </rPr>
          <t xml:space="preserve">HP:
Sauce is 50% of pure protein and we buffer 10%
</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tc={9BD9F61B-E342-45B6-BB85-2CCCD1168FA6}</author>
    <author>Unknown Author</author>
  </authors>
  <commentList>
    <comment ref="AC25" authorId="0" shapeId="0" xr:uid="{9BD9F61B-E342-45B6-BB85-2CCCD1168FA6}">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3C00-000001000000}">
      <text>
        <r>
          <rPr>
            <sz val="11"/>
            <color theme="1"/>
            <rFont val="Arial"/>
            <family val="2"/>
          </rPr>
          <t>HP:
thr Protine is total / 1.3</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D00-000001000000}">
      <text>
        <r>
          <rPr>
            <sz val="11"/>
            <color theme="1"/>
            <rFont val="Arial"/>
            <family val="2"/>
          </rPr>
          <t>HP:
thr Protine is total / 1.3</t>
        </r>
      </text>
    </comment>
    <comment ref="U28" authorId="0" shapeId="0" xr:uid="{00000000-0006-0000-3D00-000002000000}">
      <text>
        <r>
          <rPr>
            <sz val="11"/>
            <color theme="1"/>
            <rFont val="Arial"/>
            <family val="2"/>
          </rPr>
          <t xml:space="preserve">[Threaded comment]
Your version of Excel allows you to read this threaded comment; however, any edits to it will get removed if the file is opened in a newer version of Excel. Learn more: https://go.microsoft.com/fwlink/?linkid=870924
Comment:
    In this meal, the sauce is cooked with the protein and the final weight will be both mixed and not each separated then mixed  </t>
        </r>
      </text>
    </comment>
    <comment ref="T29" authorId="0" shapeId="0" xr:uid="{00000000-0006-0000-3D00-000003000000}">
      <text>
        <r>
          <rPr>
            <sz val="11"/>
            <color theme="1"/>
            <rFont val="Arial"/>
            <family val="2"/>
          </rPr>
          <t>HP:1/3 of total quantity, 50gm for the 150gm plate
+ 
buffer as some Sauce will Stick</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F00-000001000000}">
      <text>
        <r>
          <rPr>
            <sz val="11"/>
            <color theme="1"/>
            <rFont val="Arial"/>
            <family val="2"/>
          </rPr>
          <t>HP:
thr Protine is total / 1.3</t>
        </r>
      </text>
    </comment>
    <comment ref="T29" authorId="0" shapeId="0" xr:uid="{00000000-0006-0000-3F00-000002000000}">
      <text>
        <r>
          <rPr>
            <sz val="11"/>
            <color theme="1"/>
            <rFont val="Arial"/>
            <family val="2"/>
          </rPr>
          <t>HP:1/3 of total quantity, 50gm for the 150gm plate
+ 
buffer as some Sauce will Stick</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4000-000001000000}">
      <text>
        <r>
          <rPr>
            <sz val="11"/>
            <color theme="1"/>
            <rFont val="Arial"/>
            <family val="2"/>
          </rPr>
          <t>HP:
thr Protine is total / 1.3</t>
        </r>
      </text>
    </comment>
    <comment ref="T29" authorId="0" shapeId="0" xr:uid="{00000000-0006-0000-4000-000002000000}">
      <text>
        <r>
          <rPr>
            <sz val="11"/>
            <color theme="1"/>
            <rFont val="Arial"/>
            <family val="2"/>
          </rPr>
          <t>HP:1/3 of total quantity, 50gm for the 150gm plate
+ 
buffer as some Sauce will Stick</t>
        </r>
      </text>
    </comment>
    <comment ref="S30" authorId="0" shapeId="0" xr:uid="{00000000-0006-0000-4000-000003000000}">
      <text>
        <r>
          <rPr>
            <sz val="11"/>
            <color theme="1"/>
            <rFont val="Arial"/>
            <family val="2"/>
          </rPr>
          <t>HP:
thr Protine is total / 1.3</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4100-000001000000}">
      <text>
        <r>
          <rPr>
            <sz val="11"/>
            <color theme="1"/>
            <rFont val="Arial"/>
            <family val="2"/>
          </rPr>
          <t xml:space="preserve">HP:
total in the update is Protine </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4200-000001000000}">
      <text>
        <r>
          <rPr>
            <sz val="11"/>
            <color theme="1"/>
            <rFont val="Arial"/>
            <family val="2"/>
          </rPr>
          <t>HP:
thr Protine is total / 1.3</t>
        </r>
      </text>
    </comment>
    <comment ref="T29" authorId="0" shapeId="0" xr:uid="{00000000-0006-0000-4200-000002000000}">
      <text>
        <r>
          <rPr>
            <sz val="11"/>
            <color theme="1"/>
            <rFont val="Arial"/>
            <family val="2"/>
          </rPr>
          <t>HP:1/3 of total quantity, 50gm for the 150gm plate
+ 
buffer as some Sauce will Stick</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tc={986678C2-DF96-4A70-B0ED-C8D57D89417A}</author>
    <author>Unknown Author</author>
  </authors>
  <commentList>
    <comment ref="AC25" authorId="0" shapeId="0" xr:uid="{986678C2-DF96-4A70-B0ED-C8D57D89417A}">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4400-000001000000}">
      <text>
        <r>
          <rPr>
            <sz val="11"/>
            <color theme="1"/>
            <rFont val="Arial"/>
            <family val="2"/>
          </rPr>
          <t>HP:
thr Protine is total / 1.3</t>
        </r>
      </text>
    </comment>
    <comment ref="T29" authorId="1" shapeId="0" xr:uid="{00000000-0006-0000-4400-000002000000}">
      <text>
        <r>
          <rPr>
            <sz val="11"/>
            <color theme="1"/>
            <rFont val="Arial"/>
            <family val="2"/>
          </rPr>
          <t>HP:1/3 of total quantity, 50gm for the 150gm plate
+ 
buffer as some Sauce will Stick</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tc={5FBD50BE-A056-49D3-90B4-CFD6B8C9DAA9}</author>
    <author>Unknown Author</author>
  </authors>
  <commentList>
    <comment ref="AC25" authorId="0" shapeId="0" xr:uid="{5FBD50BE-A056-49D3-90B4-CFD6B8C9DAA9}">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4500-000001000000}">
      <text>
        <r>
          <rPr>
            <sz val="11"/>
            <color theme="1"/>
            <rFont val="Arial"/>
            <family val="2"/>
          </rPr>
          <t>HP:
thr Protine is total / 1.3</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Unknown Author</author>
    <author>tc={C99A64D0-C276-47B6-B243-058ABFFF7156}</author>
  </authors>
  <commentList>
    <comment ref="K1" authorId="0" shapeId="0" xr:uid="{00000000-0006-0000-4600-000001000000}">
      <text>
        <r>
          <rPr>
            <sz val="11"/>
            <color theme="1"/>
            <rFont val="Arial"/>
            <family val="2"/>
          </rPr>
          <t xml:space="preserve">[Threaded comment]
Your version of Excel allows you to read this threaded comment; however, any edits to it will get removed if the file is opened in a newer version of Excel. Learn more: https://go.microsoft.com/fwlink/?linkid=870924
Comment:
    The 4.6 batch came as 4.2 with given a factor of 0.91. let’s keep a healthy Safety Factor till we verify
Reply:
    Bilal said make it 0.95 and will check next when cooked
Reply:
    Actuals weighted to be 0.99
</t>
        </r>
      </text>
    </comment>
    <comment ref="AC25" authorId="1" shapeId="0" xr:uid="{C99A64D0-C276-47B6-B243-058ABFFF7156}">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0" shapeId="0" xr:uid="{00000000-0006-0000-4600-000002000000}">
      <text>
        <r>
          <rPr>
            <sz val="11"/>
            <color theme="1"/>
            <rFont val="Arial"/>
            <family val="2"/>
          </rPr>
          <t xml:space="preserve">HP:
total in the update is Protine </t>
        </r>
      </text>
    </comment>
    <comment ref="U28" authorId="0" shapeId="0" xr:uid="{00000000-0006-0000-4600-000003000000}">
      <text>
        <r>
          <rPr>
            <sz val="11"/>
            <color theme="1"/>
            <rFont val="Arial"/>
            <family val="2"/>
          </rPr>
          <t xml:space="preserve">HP:
total in the update is Protine </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tc={F7330BC2-B6D5-4EE6-B0F1-5EEF6AA573F3}</author>
    <author>Unknown Author</author>
  </authors>
  <commentList>
    <comment ref="AC25" authorId="0" shapeId="0" xr:uid="{F7330BC2-B6D5-4EE6-B0F1-5EEF6AA573F3}">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4700-000001000000}">
      <text>
        <r>
          <rPr>
            <sz val="11"/>
            <color theme="1"/>
            <rFont val="Arial"/>
            <family val="2"/>
          </rPr>
          <t>HP:
thr Protine is total / 1.3</t>
        </r>
      </text>
    </comment>
    <comment ref="T29" authorId="1" shapeId="0" xr:uid="{00000000-0006-0000-4700-000002000000}">
      <text>
        <r>
          <rPr>
            <sz val="11"/>
            <color theme="1"/>
            <rFont val="Arial"/>
            <family val="2"/>
          </rPr>
          <t>HP:1/3 of total quantity, 50gm for the 150gm plate
+ 
buffer as some Sauce will Stick</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Unknown Author</author>
    <author>tc={859BAB83-522B-4D04-86F2-48A8B0CF67C0}</author>
  </authors>
  <commentList>
    <comment ref="W16" authorId="0" shapeId="0" xr:uid="{00000000-0006-0000-4800-000001000000}">
      <text>
        <r>
          <rPr>
            <sz val="11"/>
            <color theme="1"/>
            <rFont val="Arial"/>
            <family val="2"/>
          </rPr>
          <t xml:space="preserve">[Threaded comment]
Your version of Excel allows you to read this threaded comment; however, any edits to it will get removed if the file is opened in a newer version of Excel. Learn more: https://go.microsoft.com/fwlink/?linkid=870924
Comment:
    Ask Mohammed how much he uses
Reply:
    Done
</t>
        </r>
      </text>
    </comment>
    <comment ref="AC25" authorId="1" shapeId="0" xr:uid="{859BAB83-522B-4D04-86F2-48A8B0CF67C0}">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0" shapeId="0" xr:uid="{00000000-0006-0000-4800-000002000000}">
      <text>
        <r>
          <rPr>
            <sz val="11"/>
            <color theme="1"/>
            <rFont val="Arial"/>
            <family val="2"/>
          </rPr>
          <t xml:space="preserve">HP:
total in the update is Protine </t>
        </r>
      </text>
    </comment>
    <comment ref="T28" authorId="0" shapeId="0" xr:uid="{00000000-0006-0000-4800-000003000000}">
      <text>
        <r>
          <rPr>
            <sz val="11"/>
            <color theme="1"/>
            <rFont val="Arial"/>
            <family val="2"/>
          </rPr>
          <t>for every 1 KG protine we will create 100 gm Sauce (10%)</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tc={B8446BE2-DBC8-49D1-887F-EF8DC7239748}</author>
    <author>Unknown Author</author>
  </authors>
  <commentList>
    <comment ref="AC25" authorId="0" shapeId="0" xr:uid="{B8446BE2-DBC8-49D1-887F-EF8DC7239748}">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4900-000001000000}">
      <text>
        <r>
          <rPr>
            <sz val="11"/>
            <color theme="1"/>
            <rFont val="Arial"/>
            <family val="2"/>
          </rPr>
          <t xml:space="preserve">HP:
total in the update is Protine </t>
        </r>
      </text>
    </comment>
    <comment ref="T28" authorId="1" shapeId="0" xr:uid="{00000000-0006-0000-4900-000002000000}">
      <text>
        <r>
          <rPr>
            <sz val="11"/>
            <color theme="1"/>
            <rFont val="Arial"/>
            <family val="2"/>
          </rPr>
          <t>HP:
Sauce is 50% of Chicken Quantity, we buffered 10%</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D5" authorId="0" shapeId="0" xr:uid="{00000000-0006-0000-4A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This sandwich is 80% pure beef ad 20% Fat</t>
        </r>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4C00-000001000000}">
      <text>
        <r>
          <rPr>
            <sz val="11"/>
            <color theme="1"/>
            <rFont val="Arial"/>
            <family val="2"/>
          </rPr>
          <t xml:space="preserve">HP:
total in the update is Protine </t>
        </r>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B00BCBB1-ED0B-4B1F-951D-56347F656AC5}">
      <text>
        <r>
          <rPr>
            <sz val="11"/>
            <color theme="1"/>
            <rFont val="Arial"/>
            <family val="2"/>
          </rPr>
          <t xml:space="preserve">HP:
total in the update is Protine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<sst xmlns="http://schemas.openxmlformats.org/spreadsheetml/2006/main" count="15726" uniqueCount="883">
  <si>
    <t>ITEMS</t>
  </si>
  <si>
    <t>Category</t>
  </si>
  <si>
    <t>Unit</t>
  </si>
  <si>
    <t>Daily Weight</t>
  </si>
  <si>
    <t>Day</t>
  </si>
  <si>
    <t>Weekly Weight</t>
  </si>
  <si>
    <t>Yield</t>
  </si>
  <si>
    <t>Order Unit</t>
  </si>
  <si>
    <t>Weekly Order</t>
  </si>
  <si>
    <t>Daily Order</t>
  </si>
  <si>
    <t>Weekly Price</t>
  </si>
  <si>
    <t>Daily Price</t>
  </si>
  <si>
    <t>Onion - بصل</t>
  </si>
  <si>
    <t>خضروات</t>
  </si>
  <si>
    <t>gm</t>
  </si>
  <si>
    <t>kg</t>
  </si>
  <si>
    <t>Curry Chicken</t>
  </si>
  <si>
    <t>Tomato - طماطم</t>
  </si>
  <si>
    <t>Kabsa Lahm</t>
  </si>
  <si>
    <t>Carrot - جزر</t>
  </si>
  <si>
    <t>Beef Chilli Dry</t>
  </si>
  <si>
    <t>Potato - بطاطس</t>
  </si>
  <si>
    <t>Pan Fried Fish</t>
  </si>
  <si>
    <t>Eggplant - باذنجان</t>
  </si>
  <si>
    <t>Meat with Bamiya</t>
  </si>
  <si>
    <t>8 Kg / Carton</t>
  </si>
  <si>
    <t>Carton</t>
  </si>
  <si>
    <t>Chinese Chicken</t>
  </si>
  <si>
    <t xml:space="preserve">Red Bell Pepper - فلفل أحمر </t>
  </si>
  <si>
    <t>Herbal Chicken</t>
  </si>
  <si>
    <t xml:space="preserve">Yellow Bell Pepper - فلفل أصفر </t>
  </si>
  <si>
    <t>Chicken Mandi (1)</t>
  </si>
  <si>
    <t>Green Bell Pepper - فلفل أخضر رومى</t>
  </si>
  <si>
    <t>Asian Chicken Sandwich</t>
  </si>
  <si>
    <t>Green Chilli Pepper - فلفل أخضر حار</t>
  </si>
  <si>
    <t>Herbal Potato Wedges</t>
  </si>
  <si>
    <t>250 g / Box</t>
  </si>
  <si>
    <t>Box</t>
  </si>
  <si>
    <t>Sautee Vegetables (1)</t>
  </si>
  <si>
    <t>Mached Potato(1)</t>
  </si>
  <si>
    <t>Green Onion - بصل أخضر</t>
  </si>
  <si>
    <t>1350 g / Pack</t>
  </si>
  <si>
    <t>Pack</t>
  </si>
  <si>
    <t>Chicken Alfredo</t>
  </si>
  <si>
    <t>Fettuccine Pasta Sauce</t>
  </si>
  <si>
    <t>Kg</t>
  </si>
  <si>
    <t>Coconut Chicken</t>
  </si>
  <si>
    <t>Zucchini - كوسة</t>
  </si>
  <si>
    <t>Chicken 65</t>
  </si>
  <si>
    <t>Orange - برتقال</t>
  </si>
  <si>
    <t>Blankwet Shrimp</t>
  </si>
  <si>
    <t>Chinese Cabbage - ملفوف صيني</t>
  </si>
  <si>
    <t>Mkhtoum Lahm</t>
  </si>
  <si>
    <t>135 g / Box</t>
  </si>
  <si>
    <t>BBQ Chicken Skewers</t>
  </si>
  <si>
    <t>Beef Burger</t>
  </si>
  <si>
    <t>Ginger - زنجبيل</t>
  </si>
  <si>
    <t>منكهات</t>
  </si>
  <si>
    <t>Beef Zurbian</t>
  </si>
  <si>
    <t>Grilled Vegetables(2)</t>
  </si>
  <si>
    <t>Almond Chicken</t>
  </si>
  <si>
    <t>Chicken Pasta with Vegetable</t>
  </si>
  <si>
    <t>Coriander Leaves - كزبرة خضراء</t>
  </si>
  <si>
    <t>أعشاب طازجة</t>
  </si>
  <si>
    <t>825 g / Pack</t>
  </si>
  <si>
    <t>Pasta with Vegetable(Pasta)</t>
  </si>
  <si>
    <t>Parsley - بقدونس</t>
  </si>
  <si>
    <t>Changezi Chicken</t>
  </si>
  <si>
    <t>100 g/Pack</t>
  </si>
  <si>
    <t>Daoud Basha</t>
  </si>
  <si>
    <t>Mint Leaves - نعناع طازج</t>
  </si>
  <si>
    <t>900 g / Pack</t>
  </si>
  <si>
    <t>Salmon with cream</t>
  </si>
  <si>
    <t>Dill Leaves - شبت</t>
  </si>
  <si>
    <t>1000 g /Pack</t>
  </si>
  <si>
    <t>Moussaka Vegi</t>
  </si>
  <si>
    <t>Moussaka Meat</t>
  </si>
  <si>
    <t>Laham Oriental</t>
  </si>
  <si>
    <t>Curry Leaves - أوراق الكاري</t>
  </si>
  <si>
    <t>Chicken Saleeq (3)</t>
  </si>
  <si>
    <t>Chicken Mandi (3)</t>
  </si>
  <si>
    <t>Chicken Caesar Salad</t>
  </si>
  <si>
    <t>Dry Thyme - زعتر مجفف</t>
  </si>
  <si>
    <t>أعشاب مجففة</t>
  </si>
  <si>
    <t>Chicken Fajita</t>
  </si>
  <si>
    <t>Dry Oregano - أوريجانو مجفف</t>
  </si>
  <si>
    <t>Mached Potato(3)</t>
  </si>
  <si>
    <t>Dry Basil - ريحان مجفف</t>
  </si>
  <si>
    <t>142 g / Pack</t>
  </si>
  <si>
    <t>Potato Wedges</t>
  </si>
  <si>
    <t>Dried Mint Leaves - نعناع مجفف</t>
  </si>
  <si>
    <t>200 g / Pack</t>
  </si>
  <si>
    <t>Oven Vegetables (3)</t>
  </si>
  <si>
    <t>Bay Leaf - ورق غار</t>
  </si>
  <si>
    <t>Chicken Steak Sauce</t>
  </si>
  <si>
    <t>Chicken Steak Topping</t>
  </si>
  <si>
    <t>Salt - ملح</t>
  </si>
  <si>
    <t>توابل</t>
  </si>
  <si>
    <t>50 Kg</t>
  </si>
  <si>
    <t>Chicken Mushroom</t>
  </si>
  <si>
    <t>Black Pepper Whole - فلفل أسود حب</t>
  </si>
  <si>
    <t>Stroganoff Beef</t>
  </si>
  <si>
    <t>Black Pepper Powder - فلفل أسود مطحون</t>
  </si>
  <si>
    <t>Stroganoff pasta</t>
  </si>
  <si>
    <t>White Pepper - فلفل أبيض</t>
  </si>
  <si>
    <t>Beef Amansi</t>
  </si>
  <si>
    <t>Cumin Whole - كمون حب</t>
  </si>
  <si>
    <t>Chicken Tikka</t>
  </si>
  <si>
    <t>Cumin Powder - كمون مطحون</t>
  </si>
  <si>
    <t>Lahm Fasooliya</t>
  </si>
  <si>
    <t>Coriander Powder - كزبرة مطحونة</t>
  </si>
  <si>
    <t>Lemon Shrimp</t>
  </si>
  <si>
    <t>Curry Powder - كاري بودرة</t>
  </si>
  <si>
    <t>Orzo Pasta</t>
  </si>
  <si>
    <t>Paprika Powder - بابريكا مطحون</t>
  </si>
  <si>
    <t>2724 gram/Carton</t>
  </si>
  <si>
    <t>Chicken Makloba</t>
  </si>
  <si>
    <t>Red Chilli Powder - شطة حمراء مطحونة</t>
  </si>
  <si>
    <t>Makloba Veggi</t>
  </si>
  <si>
    <t>Kashmiri Red Chilli Whole - فلفل كشميري أحمر كامل</t>
  </si>
  <si>
    <t>10 Kg / Carton</t>
  </si>
  <si>
    <t>BBQ Chicken</t>
  </si>
  <si>
    <t>Turmeric - كركم</t>
  </si>
  <si>
    <t>Mached Potato(4)</t>
  </si>
  <si>
    <t>Cinnamon Whole - قرفة أعواد</t>
  </si>
  <si>
    <t>Sautee Vegetables (4)</t>
  </si>
  <si>
    <t>Cinnamon Powder - قرفة مطحونة</t>
  </si>
  <si>
    <t>Sriracha Chicken</t>
  </si>
  <si>
    <t>Cloves Whole - قرنفل حب</t>
  </si>
  <si>
    <t>Butter Chicken</t>
  </si>
  <si>
    <t>Cardamom Whole - هيل حب</t>
  </si>
  <si>
    <t>Meat Kebab</t>
  </si>
  <si>
    <t>Cardamom Powder - هيل مطحون</t>
  </si>
  <si>
    <t>Curry Shrimp</t>
  </si>
  <si>
    <t>Star Anise - ينسون نجمي</t>
  </si>
  <si>
    <t>Kebab Hindi</t>
  </si>
  <si>
    <t>Fennel Seeds - شمر حب</t>
  </si>
  <si>
    <t>Pizziola Chicken</t>
  </si>
  <si>
    <t>50 gram</t>
  </si>
  <si>
    <t>Lahm Bolognese</t>
  </si>
  <si>
    <t>Biryani Masala - بهارات برياني</t>
  </si>
  <si>
    <t>Kabsa Spices Powder - توابل كبسة بودر</t>
  </si>
  <si>
    <t>200 gram</t>
  </si>
  <si>
    <t>Lasagne Bachamel</t>
  </si>
  <si>
    <t>Maggi Cubes - مكعبات ماجي</t>
  </si>
  <si>
    <t>Beef Lasagne Sauce</t>
  </si>
  <si>
    <t>Italian Seasoning - توابل إيطالية</t>
  </si>
  <si>
    <t>34 g</t>
  </si>
  <si>
    <t>Beef Bokhary</t>
  </si>
  <si>
    <t>Ginger Powder - زنجبيل مطحون</t>
  </si>
  <si>
    <t>Beef philly cheese steak</t>
  </si>
  <si>
    <t>Onion Powder - بصل بودرة</t>
  </si>
  <si>
    <t>Grilled Vegetables(5)</t>
  </si>
  <si>
    <t>Pink Chicken</t>
  </si>
  <si>
    <t>Garlic Powder - ثوم بودرة</t>
  </si>
  <si>
    <t>Ginger Chicken</t>
  </si>
  <si>
    <t>French Meatball</t>
  </si>
  <si>
    <t>Butter - زبدة</t>
  </si>
  <si>
    <t>منتجات ألبان</t>
  </si>
  <si>
    <t>25 Kg</t>
  </si>
  <si>
    <t>Singapore Chicken</t>
  </si>
  <si>
    <t>Ghee - سمن</t>
  </si>
  <si>
    <t>9.6 Kg / Carton</t>
  </si>
  <si>
    <t>Fish with Shabat and Lemon</t>
  </si>
  <si>
    <t>Milk - حليب</t>
  </si>
  <si>
    <t>ml</t>
  </si>
  <si>
    <t>12 L / Carton</t>
  </si>
  <si>
    <t>Chicken Molokeya</t>
  </si>
  <si>
    <t>Yogurt - زبادي</t>
  </si>
  <si>
    <t>10 Kg</t>
  </si>
  <si>
    <t>Beef Kebab Sandwich</t>
  </si>
  <si>
    <t>Cooking Cream - كريمة طبخ</t>
  </si>
  <si>
    <t>Beef Kabli</t>
  </si>
  <si>
    <t>Labneh - لبنة</t>
  </si>
  <si>
    <t>11 Kg / Carton</t>
  </si>
  <si>
    <t>Chicken Saleeq (6)</t>
  </si>
  <si>
    <t>Cheddar Cheese - جبنة شيدر</t>
  </si>
  <si>
    <t>Oven Vegetables (6)</t>
  </si>
  <si>
    <t>Mozzarella Cheese - جبنة موتزاريلا</t>
  </si>
  <si>
    <t>9.2 Kg / Carton</t>
  </si>
  <si>
    <t>Coconut Milk - حليب جوز الهند</t>
  </si>
  <si>
    <t>9.6 Kg/Carton</t>
  </si>
  <si>
    <t>Almond Whole - لوز كامل</t>
  </si>
  <si>
    <t>مكسرات</t>
  </si>
  <si>
    <t>Cashew Nut - كاجو</t>
  </si>
  <si>
    <t>Sugar - سكر</t>
  </si>
  <si>
    <t>محليات</t>
  </si>
  <si>
    <t>Brown Sugar - سكر بني</t>
  </si>
  <si>
    <t>20 Kg</t>
  </si>
  <si>
    <t>Honey - عسل</t>
  </si>
  <si>
    <t>Raisin - زبيب</t>
  </si>
  <si>
    <t>Flour - دقيق</t>
  </si>
  <si>
    <t>حبوب ودقيق</t>
  </si>
  <si>
    <t>Corn Starch - نشا ذرة</t>
  </si>
  <si>
    <t>Bread Crumbs - فتات الخبز (بقسماط)</t>
  </si>
  <si>
    <t>BBQ Sauce - صوص باربيكيو</t>
  </si>
  <si>
    <t>صوصات ومنكهات</t>
  </si>
  <si>
    <t>15.16 L / Carton</t>
  </si>
  <si>
    <t>Sriracha Sauce - صوص سريراتشا</t>
  </si>
  <si>
    <t>Light Soy Sauce - صويا صوص خفيف</t>
  </si>
  <si>
    <t>Sweet Soy Sauce - صويا صوص حلو</t>
  </si>
  <si>
    <t>7.5 L / Carton</t>
  </si>
  <si>
    <t>Oyster Sauce - صوص محار</t>
  </si>
  <si>
    <t>7.2 L / Carton</t>
  </si>
  <si>
    <t>Tomato Ketchup - كاتشب طماطم</t>
  </si>
  <si>
    <t>20 Kg / Carton</t>
  </si>
  <si>
    <t>Demi Glaze Sauce - صوص ديمي غلاز</t>
  </si>
  <si>
    <t>4.5 Kg / Carton</t>
  </si>
  <si>
    <t>Mustard - خردل</t>
  </si>
  <si>
    <t>Water - ماء</t>
  </si>
  <si>
    <t>سوائل ومرق</t>
  </si>
  <si>
    <t>L</t>
  </si>
  <si>
    <t>Rose Water - ماء الورد</t>
  </si>
  <si>
    <t>Beef Stock - مرق لحم بقري</t>
  </si>
  <si>
    <t>Shrimp Water - ماء الروبيان</t>
  </si>
  <si>
    <t>Vinegar - خل</t>
  </si>
  <si>
    <t>Balsamic Vinegar - خل بلسميك</t>
  </si>
  <si>
    <t>6 L / Carton</t>
  </si>
  <si>
    <t>Olive Oil - زيت زيتون</t>
  </si>
  <si>
    <t>Lemon Juice - عصير ليمون</t>
  </si>
  <si>
    <t>ألوان وإضافات</t>
  </si>
  <si>
    <t>Orange Color - لون برتقالي</t>
  </si>
  <si>
    <t>Brown Color - لون بني</t>
  </si>
  <si>
    <t>Soda Bi Carb - بيكربونات الصوديوم</t>
  </si>
  <si>
    <t>Charcoal - فحم</t>
  </si>
  <si>
    <t>معلبات</t>
  </si>
  <si>
    <t>12.75 Kg / Carton</t>
  </si>
  <si>
    <t>White Beans - فاصوليا بيضاء</t>
  </si>
  <si>
    <t>بقوليات</t>
  </si>
  <si>
    <t>Chicken - دجاج</t>
  </si>
  <si>
    <t>بروتين</t>
  </si>
  <si>
    <t>Meat Fat - دهن لحم</t>
  </si>
  <si>
    <t>Indian Meat Alana  - لحم هندى ألانا</t>
  </si>
  <si>
    <t>18 Kg / Carton</t>
  </si>
  <si>
    <t>Salmon - سالمون</t>
  </si>
  <si>
    <t>Fillet Fish - سمك فيليه</t>
  </si>
  <si>
    <t>Shrimp - جمبرى</t>
  </si>
  <si>
    <t>Indian Meat Tammam Mafroom - مفروم هندى</t>
  </si>
  <si>
    <t>KG</t>
  </si>
  <si>
    <t>Sheet Name</t>
  </si>
  <si>
    <t>Egg - بيضة</t>
  </si>
  <si>
    <t>Piece</t>
  </si>
  <si>
    <t>Salmon</t>
  </si>
  <si>
    <t>Base Recipe (1kg Yield)</t>
  </si>
  <si>
    <t xml:space="preserve">Required Quantity </t>
  </si>
  <si>
    <t>Conversion Factor</t>
  </si>
  <si>
    <t>Corrected Conversion Factor</t>
  </si>
  <si>
    <t>Weight Correction</t>
  </si>
  <si>
    <t>Protine Cooking Method</t>
  </si>
  <si>
    <t>Grill &amp; Oven</t>
  </si>
  <si>
    <t>Protine Cooking Yield</t>
  </si>
  <si>
    <t>Marination Factor</t>
  </si>
  <si>
    <t xml:space="preserve">Curry Chicken </t>
  </si>
  <si>
    <t>Ingredient</t>
  </si>
  <si>
    <t xml:space="preserve">Unit </t>
  </si>
  <si>
    <t>Scaling Factor 
(1-10KG)</t>
  </si>
  <si>
    <t xml:space="preserve">Linear Scaled Amount </t>
  </si>
  <si>
    <t>Scaled Amount Post Conversion Factor 
كميات التحضير من فريق طوكيو</t>
  </si>
  <si>
    <t>PreCooking Yield</t>
  </si>
  <si>
    <t>Price Per KG or L</t>
  </si>
  <si>
    <t>Ordering quantity (KG or L)</t>
  </si>
  <si>
    <t>Cost</t>
  </si>
  <si>
    <t>Base Recipe (10kg Yield)</t>
  </si>
  <si>
    <t>Curry chicken دجاج بالكارى</t>
  </si>
  <si>
    <t>Size</t>
  </si>
  <si>
    <t>Rich Meal</t>
  </si>
  <si>
    <t xml:space="preserve">Actuals </t>
  </si>
  <si>
    <t xml:space="preserve">Chicken </t>
  </si>
  <si>
    <t>Sauce</t>
  </si>
  <si>
    <t xml:space="preserve">Total </t>
  </si>
  <si>
    <t>Meal Mix</t>
  </si>
  <si>
    <t>Pure Protine</t>
  </si>
  <si>
    <t>Mixing Sauce</t>
  </si>
  <si>
    <t>Topping Sauce</t>
  </si>
  <si>
    <t>Total</t>
  </si>
  <si>
    <t>Mixed</t>
  </si>
  <si>
    <t>Topping</t>
  </si>
  <si>
    <t xml:space="preserve">Safty </t>
  </si>
  <si>
    <t>Cost/gram</t>
  </si>
  <si>
    <t>Total Without Safty Factor</t>
  </si>
  <si>
    <t>Actuals (To be Filled automatically)</t>
  </si>
  <si>
    <t>Extra Quantity vs Actuals</t>
  </si>
  <si>
    <t>Protine Out of (Protine + Mixing Sauce)</t>
  </si>
  <si>
    <t>Mixing Sauce Out of (Protine + Mixing Sauce)</t>
  </si>
  <si>
    <t>Total Batch</t>
  </si>
  <si>
    <t>Total Sauce</t>
  </si>
  <si>
    <t xml:space="preserve">Mixing % </t>
  </si>
  <si>
    <t>Topping %</t>
  </si>
  <si>
    <t xml:space="preserve">Mixing KG </t>
  </si>
  <si>
    <t>Topping KG</t>
  </si>
  <si>
    <t>Protine Cooked for 10 KG Sauce Batch</t>
  </si>
  <si>
    <t>Final KG</t>
  </si>
  <si>
    <t>Protine Batches</t>
  </si>
  <si>
    <t>Un Cooked Protine</t>
  </si>
  <si>
    <t>Cooked Protine</t>
  </si>
  <si>
    <t>For 10KG Sauce output</t>
  </si>
  <si>
    <t>Batch 1</t>
  </si>
  <si>
    <t>Batch 2</t>
  </si>
  <si>
    <t>Batch 3</t>
  </si>
  <si>
    <t>Protein</t>
  </si>
  <si>
    <t>Mix</t>
  </si>
  <si>
    <t>Boil</t>
  </si>
  <si>
    <t xml:space="preserve">Kabsah Laham </t>
  </si>
  <si>
    <t>Dry Meal</t>
  </si>
  <si>
    <t>Laham</t>
  </si>
  <si>
    <t>Batch 4</t>
  </si>
  <si>
    <t>Multiplication Factor</t>
  </si>
  <si>
    <t>Beef Chili Dry</t>
  </si>
  <si>
    <t>بيف شيلى دراى  Beef Chilli Dry</t>
  </si>
  <si>
    <t>Self Saturated Meal</t>
  </si>
  <si>
    <t>Beef</t>
  </si>
  <si>
    <t>Oven</t>
  </si>
  <si>
    <t xml:space="preserve">This Meal is Pure Protine with no Mixxing, only Topping </t>
  </si>
  <si>
    <t>For Every 150 gm we Add on top ???</t>
  </si>
  <si>
    <t>بان فرايد فيش  Pan Fried Fish</t>
  </si>
  <si>
    <t xml:space="preserve">Fish </t>
  </si>
  <si>
    <t>Bamiah Laham</t>
  </si>
  <si>
    <t>Edam Meal</t>
  </si>
  <si>
    <t xml:space="preserve">Laham </t>
  </si>
  <si>
    <t>Protine Uncooked For 10 KG Sauce Batch</t>
  </si>
  <si>
    <t>for every 1 scaling factor you get 0.85KG</t>
  </si>
  <si>
    <t xml:space="preserve">For Every 150 gm we Add on top 50gm </t>
  </si>
  <si>
    <t xml:space="preserve"> </t>
  </si>
  <si>
    <t>دجاج بالأعشاب  Herbal Chicken</t>
  </si>
  <si>
    <t xml:space="preserve">Marination </t>
  </si>
  <si>
    <t>Requirered P</t>
  </si>
  <si>
    <t>Zurbian</t>
  </si>
  <si>
    <t>Totavl Conversion Factor</t>
  </si>
  <si>
    <t>Chicken Mandi - مندي دجاج</t>
  </si>
  <si>
    <t>Unit  الوحدة</t>
  </si>
  <si>
    <t>Base Recipe (1 kg Yield) — الوصفة الأساسية (إنتاج 1 كجم)</t>
  </si>
  <si>
    <t>Corrected Conversion Factor — معامل التحويل المصحح</t>
  </si>
  <si>
    <t>Scaling Factor — معامل القياس</t>
  </si>
  <si>
    <t>Linear Scaled Amount — الكمية المعدلة حسابياً</t>
  </si>
  <si>
    <t>Scaled Amount Post Conversion Factor — الكمية المعدلة بعد معامل التحويل</t>
  </si>
  <si>
    <t>For 15KG Protine output</t>
  </si>
  <si>
    <t>Saudi Cuisine</t>
  </si>
  <si>
    <t xml:space="preserve"> الوزن المطلوب</t>
  </si>
  <si>
    <t>Safty - كمية للأمان</t>
  </si>
  <si>
    <t>Total - الوزن النهائي</t>
  </si>
  <si>
    <t>Protine Out of Total</t>
  </si>
  <si>
    <t>Protine Cooked for 15 KG Sauce Batch</t>
  </si>
  <si>
    <t>Scaling Factor 
(1-15KG)</t>
  </si>
  <si>
    <t>Base Recipe (1 Portion )</t>
  </si>
  <si>
    <t>Charcol &amp; Oven</t>
  </si>
  <si>
    <t>Filling</t>
  </si>
  <si>
    <t>Asian Chicken Sandwich - ساندوتش الدجاج الاسيوي</t>
  </si>
  <si>
    <t>Scaled Amount Post Conversion Factor</t>
  </si>
  <si>
    <t>Veggi &amp; Cheese</t>
  </si>
  <si>
    <t xml:space="preserve">Potato Wedges - بطاطس ويدجز </t>
  </si>
  <si>
    <t xml:space="preserve">Edam Vegetables  </t>
  </si>
  <si>
    <t>Vegetables (Edam)</t>
  </si>
  <si>
    <t>Sat - Tues</t>
  </si>
  <si>
    <t>Steam Vegetables</t>
  </si>
  <si>
    <t xml:space="preserve">Sautee Vegetables - خضار سوتيه </t>
  </si>
  <si>
    <t>Mached Potato</t>
  </si>
  <si>
    <t>Batch 5</t>
  </si>
  <si>
    <t xml:space="preserve">Mached Potato  - بطاطس مهروسة </t>
  </si>
  <si>
    <t>بطاطس مهروسة   4/ 4</t>
  </si>
  <si>
    <t>Mached Potato 4 / 4</t>
  </si>
  <si>
    <t>بطاطس مهروسة   5/ 5</t>
  </si>
  <si>
    <t>Mached Potato 5 / 5</t>
  </si>
  <si>
    <t>Ingredient+A4:E27</t>
  </si>
  <si>
    <t>دجاج الفريدو  Chicken Alfredo</t>
  </si>
  <si>
    <t>Pasta</t>
  </si>
  <si>
    <t>1 Kg Cooked Patsa</t>
  </si>
  <si>
    <t xml:space="preserve">need 300 gm sauce </t>
  </si>
  <si>
    <t>update</t>
  </si>
  <si>
    <t>450 gm</t>
  </si>
  <si>
    <t>صوص الفيتوتشيني  Fettuccine Pasta Sauce</t>
  </si>
  <si>
    <t>دجاج بجوز الهند  Chicken Coconut</t>
  </si>
  <si>
    <t>Chicken</t>
  </si>
  <si>
    <t xml:space="preserve">  Chicken 65</t>
  </si>
  <si>
    <t>Self Saturated</t>
  </si>
  <si>
    <t>شرمب بلانكويت  Blankwet Shrimp</t>
  </si>
  <si>
    <t xml:space="preserve">Self Saturated Meal </t>
  </si>
  <si>
    <t>Shrimp</t>
  </si>
  <si>
    <t>مختوم لحم Mkhtoum Lahm</t>
  </si>
  <si>
    <t>3 KG mixed bel pepper</t>
  </si>
  <si>
    <t>100 gm butter</t>
  </si>
  <si>
    <t>اسياخ دجاج الباربكيو BBQ Chicken Skewers</t>
  </si>
  <si>
    <t>Iceberg Lettuce  - خس مدور أمريكى</t>
  </si>
  <si>
    <t>piece</t>
  </si>
  <si>
    <t>Beef Burger - برجر لحم</t>
  </si>
  <si>
    <t>Sun - Wed</t>
  </si>
  <si>
    <t>Grilled Vegetables</t>
  </si>
  <si>
    <t xml:space="preserve">Grilled Vegetables - خضار مشوية </t>
  </si>
  <si>
    <t>coating</t>
  </si>
  <si>
    <t>Total Uncooked</t>
  </si>
  <si>
    <t>Total Cooked</t>
  </si>
  <si>
    <t>coating 30% of chicken</t>
  </si>
  <si>
    <t>Coating</t>
  </si>
  <si>
    <t>دجاج بالوز Almond Chicken</t>
  </si>
  <si>
    <t>دجاج مكروني بالخضار Chicken Pasta with Vegetables</t>
  </si>
  <si>
    <t>مكروني بالخضار Pasta with Vegetables</t>
  </si>
  <si>
    <t>باستا مكروني بالخضار  Pasta with Vegetables</t>
  </si>
  <si>
    <t xml:space="preserve"> دجاج تشانجيزي  Changezi Chicken</t>
  </si>
  <si>
    <t>داوود باشا  Daoud Basha</t>
  </si>
  <si>
    <t>Meat</t>
  </si>
  <si>
    <t>سالمون بالكريمة و البازلاء  Salmon with cream</t>
  </si>
  <si>
    <t>Pure protein play - Rich Meal</t>
  </si>
  <si>
    <t xml:space="preserve">Moussaka Vegetables - خضار المسقعة </t>
  </si>
  <si>
    <t>meat before cooking</t>
  </si>
  <si>
    <t>meat after cooking</t>
  </si>
  <si>
    <t>meat after sauce</t>
  </si>
  <si>
    <t xml:space="preserve">Sauce of Moussaka Meat - صوص لحم المسقعة </t>
  </si>
  <si>
    <t>لحم اوريانتل   Laham Oriental</t>
  </si>
  <si>
    <t>This Meal need more Sauce than the 1/3 Rule</t>
  </si>
  <si>
    <t>Dipping Sauce</t>
  </si>
  <si>
    <t>Saleeq</t>
  </si>
  <si>
    <t>Chicken Saleeq - دجاج سليق</t>
  </si>
  <si>
    <t>Filling gm</t>
  </si>
  <si>
    <t xml:space="preserve">تشيكن سيزر - Chicken Caesar Salad  </t>
  </si>
  <si>
    <t xml:space="preserve">تشيكن سيزر - Chicken Caesar Salad </t>
  </si>
  <si>
    <t xml:space="preserve"> ساندوتش تشيكن فاهيتا - Chicken Fajita Sandwitch</t>
  </si>
  <si>
    <t>Mon - Thursd</t>
  </si>
  <si>
    <t>Oven Vegetables</t>
  </si>
  <si>
    <t xml:space="preserve">Oven Vegetables - خضار بالفرن </t>
  </si>
  <si>
    <t>Chicken Steak mixing</t>
  </si>
  <si>
    <t xml:space="preserve">This Meal follow the 1/1.15 Rule </t>
  </si>
  <si>
    <t>ستيك دجاج  Chicken Steak</t>
  </si>
  <si>
    <t>chicken</t>
  </si>
  <si>
    <t xml:space="preserve">Chicken Mushroom </t>
  </si>
  <si>
    <t xml:space="preserve">For Every 150 gm we Add on top 75gm </t>
  </si>
  <si>
    <t>Pure Protein Play - Rich Meal</t>
  </si>
  <si>
    <t>Mashroom</t>
  </si>
  <si>
    <t>Stroganoff Pasta for Beef</t>
  </si>
  <si>
    <t xml:space="preserve">Stroganoff Beef - ستروغانوف لحم </t>
  </si>
  <si>
    <t xml:space="preserve">Self Saturated </t>
  </si>
  <si>
    <t>Stroganoff sauce for pasta</t>
  </si>
  <si>
    <t>Pasta fusilli - مكرونة مبرومة</t>
  </si>
  <si>
    <t xml:space="preserve">Stroganoff Pasta -ستروغانوف باستا </t>
  </si>
  <si>
    <t xml:space="preserve"> Self Saturated </t>
  </si>
  <si>
    <t xml:space="preserve">Beef Amansi بيف امانسي   </t>
  </si>
  <si>
    <t xml:space="preserve">Chicken Tikka دجاج تكا </t>
  </si>
  <si>
    <t xml:space="preserve">Safety </t>
  </si>
  <si>
    <t>Total Without Safety Factor</t>
  </si>
  <si>
    <t>when we mix thr meet with the sauce it absorb it</t>
  </si>
  <si>
    <t xml:space="preserve">Laham Fasooliya  فاصوليا لحم </t>
  </si>
  <si>
    <t>Edam</t>
  </si>
  <si>
    <t xml:space="preserve">Lemon Shrimp -شرمب بالسبانخ و الليمون </t>
  </si>
  <si>
    <t xml:space="preserve"> Self Saturated</t>
  </si>
  <si>
    <t>Orzo Pasta أورزو باستا</t>
  </si>
  <si>
    <t>Chicken Makloba - مقلوبة دجاج</t>
  </si>
  <si>
    <t>Zucchini Cooking Yield</t>
  </si>
  <si>
    <t>Potato Cooking Yield</t>
  </si>
  <si>
    <t>Carrot Cooking Yield</t>
  </si>
  <si>
    <t>Maklouba Veggi - خضار مقلوبة</t>
  </si>
  <si>
    <t>Cooking</t>
  </si>
  <si>
    <t>Before</t>
  </si>
  <si>
    <t>After</t>
  </si>
  <si>
    <t>For 1 KG Out Put</t>
  </si>
  <si>
    <t>كمية غرف الخضار للمقلوبة</t>
  </si>
  <si>
    <t>Maklouba - مقلوبة</t>
  </si>
  <si>
    <t>Veggi</t>
  </si>
  <si>
    <t>الوزن بدون كمية الأمان</t>
  </si>
  <si>
    <t>140 gm</t>
  </si>
  <si>
    <t xml:space="preserve"> ساندوتش تشيكن باربيكيو - BBQ Chicken Sandwitch</t>
  </si>
  <si>
    <t>Sriracha Chicken دجاج سيراتشا</t>
  </si>
  <si>
    <t>Extra Self Saturated Meal</t>
  </si>
  <si>
    <t xml:space="preserve">Butter Chicken دجاج هندي بالزبدة </t>
  </si>
  <si>
    <t xml:space="preserve">Meat Kebab كباب اللحم </t>
  </si>
  <si>
    <t>The Sauce will be counted for each of (upper) and (Lower) Sauce</t>
  </si>
  <si>
    <t>Curry Shrimp شرمب بالكارى</t>
  </si>
  <si>
    <t>Kebab Hindi كباب هندى</t>
  </si>
  <si>
    <t>Kebab</t>
  </si>
  <si>
    <t xml:space="preserve">topping </t>
  </si>
  <si>
    <t>4kg Chicken</t>
  </si>
  <si>
    <t>1.50 KG cheddar</t>
  </si>
  <si>
    <t>1KG</t>
  </si>
  <si>
    <t>4Kg total with meat</t>
  </si>
  <si>
    <t>14KG Protein raw</t>
  </si>
  <si>
    <t xml:space="preserve">10 KG cooked </t>
  </si>
  <si>
    <t>4KG sauce then added</t>
  </si>
  <si>
    <t xml:space="preserve">Lahm Bolognese لحم بولونيز </t>
  </si>
  <si>
    <t>صوص بشاميل لازانيا - Lasagne Bachamel</t>
  </si>
  <si>
    <t>Pasta Lasagna Sheets - شرائح لازانيا باستا</t>
  </si>
  <si>
    <t>Batch 6</t>
  </si>
  <si>
    <t>Batch 7</t>
  </si>
  <si>
    <t>Update</t>
  </si>
  <si>
    <t>Beef Lasagne  - لحم لازانيا</t>
  </si>
  <si>
    <t>Safty</t>
  </si>
  <si>
    <t>Beef Lasagne  -  لحم لازانيا</t>
  </si>
  <si>
    <t>Biukhary</t>
  </si>
  <si>
    <t>Beef Boukhary - بخاري لحم</t>
  </si>
  <si>
    <t>For 10KG Protine output</t>
  </si>
  <si>
    <t>Beef Philly Cheesesteak - ساندوتش فيلادلفيا لحم</t>
  </si>
  <si>
    <t>Vegetables</t>
  </si>
  <si>
    <t>Pink Chicken دجاج بكريمة الطماطم</t>
  </si>
  <si>
    <t xml:space="preserve">Ginger Chicken </t>
  </si>
  <si>
    <t>Ginger Chicken دجاج بالزنجبيل</t>
  </si>
  <si>
    <t>PreCooked Quantity  (1kg Yield)</t>
  </si>
  <si>
    <t>Linear Scaled Amount - Precooked quantity</t>
  </si>
  <si>
    <t>French Meatball كرات اللحم الفرنسية</t>
  </si>
  <si>
    <t>Singapore Chicken  دجاج سنغافورى</t>
  </si>
  <si>
    <t xml:space="preserve">This Meal is Pure Protine with no Mixxing, only Small Topping </t>
  </si>
  <si>
    <t>we need to weight the Sauce for each plate</t>
  </si>
  <si>
    <t xml:space="preserve">Fill the Yeloow Row and take a pic for 1) Topping 2) Safty </t>
  </si>
  <si>
    <t>Fish with Shabat and Lemon   سمك بالشبت و الليمون</t>
  </si>
  <si>
    <t>Fish</t>
  </si>
  <si>
    <t>Cinnamon whole - قرفة أعواد</t>
  </si>
  <si>
    <t>Chicken Molokeya ملوخية دجاج</t>
  </si>
  <si>
    <t>Charcol</t>
  </si>
  <si>
    <t>Beef Kebab sandwich</t>
  </si>
  <si>
    <t>Onion - بصل  Chopped</t>
  </si>
  <si>
    <t>Garlic - ثوم Chopped</t>
  </si>
  <si>
    <t>Ginger - زنجبيل Chopped</t>
  </si>
  <si>
    <t>Coriander Leaves - كزبرة خضراء Chopped</t>
  </si>
  <si>
    <t>after cooking cames 800 g,total 7 sandwich</t>
  </si>
  <si>
    <t xml:space="preserve">Beef Kebab sandwich  - ساندوتش كباب لحم </t>
  </si>
  <si>
    <t>Beef Count</t>
  </si>
  <si>
    <t>Beef Kabli- كابلي لحم</t>
  </si>
  <si>
    <t>Octa Poki Bowl</t>
  </si>
  <si>
    <t>Octa Poki Bowl -  أوكتا بوكى بول</t>
  </si>
  <si>
    <t>Octa Poki Bowl - أوكتا بوكى بول</t>
  </si>
  <si>
    <t>Frozen Green Peas - بازلاء خضراء مجمده</t>
  </si>
  <si>
    <t>معلبات و مجمدات</t>
  </si>
  <si>
    <t>Red Cabbage - ملفوف أحمر</t>
  </si>
  <si>
    <t>Carrot Cooking Method</t>
  </si>
  <si>
    <t>Base Recipe  1 Sandwich</t>
  </si>
  <si>
    <t>Total Chicken - الدجاج الكلي</t>
  </si>
  <si>
    <t>Chicken 65 - دجاج 65</t>
  </si>
  <si>
    <t>Total beef - اللحم الكلي</t>
  </si>
  <si>
    <t>Total Salmon - سالمون الكلي</t>
  </si>
  <si>
    <t>Worcestershire sauce - صوص الورشيستر</t>
  </si>
  <si>
    <t>Top Side - توب سايد مفروم</t>
  </si>
  <si>
    <t>Octa Poki Bowl- اوكتا بوكى بول</t>
  </si>
  <si>
    <t>Pizza Chicken دجاج بيتزا</t>
  </si>
  <si>
    <t>Butchery Protein Order — Auto-Generated</t>
  </si>
  <si>
    <t>Meal Name</t>
  </si>
  <si>
    <t>Protein Ingredient</t>
  </si>
  <si>
    <t>Weight (grams)</t>
  </si>
  <si>
    <t>Weight (KG)</t>
  </si>
  <si>
    <t>Kabsah Laham</t>
  </si>
  <si>
    <t>تشيكن سيزر - Chicken Caesar Salad</t>
  </si>
  <si>
    <t>PROTEIN SUMMARY</t>
  </si>
  <si>
    <t>Total KG Needed</t>
  </si>
  <si>
    <t>22 Packet pasta = 9900</t>
  </si>
  <si>
    <t>after boiling 30800</t>
  </si>
  <si>
    <t>update = 36460</t>
  </si>
  <si>
    <t>Total Beef - اللحم الكلي</t>
  </si>
  <si>
    <t>Total Fish - السمك الكلي</t>
  </si>
  <si>
    <t>Chinese Chicken - دجاج صيني</t>
  </si>
  <si>
    <t>Cooked Pasta</t>
  </si>
  <si>
    <t>Un Cooked Pasta</t>
  </si>
  <si>
    <t>Pasta Cooked for 10 KG Sauce Batch</t>
  </si>
  <si>
    <t>Butchery</t>
  </si>
  <si>
    <t>Fettuccine Pasta - مكرونة فيتوتشيني</t>
  </si>
  <si>
    <t>Rice GM</t>
  </si>
  <si>
    <t xml:space="preserve">Required </t>
  </si>
  <si>
    <r>
      <t xml:space="preserve">Scaled Amount Post Conversion Factor 
</t>
    </r>
    <r>
      <rPr>
        <b/>
        <sz val="12"/>
        <color rgb="FFFFFFFF"/>
        <rFont val="Calibri"/>
        <family val="2"/>
        <scheme val="minor"/>
      </rPr>
      <t>كميات التحضير من فريق طوكيو</t>
    </r>
  </si>
  <si>
    <t>Pasta Cooking Yield</t>
  </si>
  <si>
    <t>Pasta Penne - مكرونة أقلام</t>
  </si>
  <si>
    <t>Pasta Orzo - مكرونة لسان عصفور</t>
  </si>
  <si>
    <t xml:space="preserve">Spaghetti pasta - مكرونة إسباكتينى </t>
  </si>
  <si>
    <t>Pasta Spaghettini  - مكرونة اسباجيتي</t>
  </si>
  <si>
    <t>Spaghetti pasta - مكرونة سباجتى</t>
  </si>
  <si>
    <t xml:space="preserve">Chicken Mushroom دجاج بالفطر   </t>
  </si>
  <si>
    <t>Spaghetti pasta</t>
  </si>
  <si>
    <t>Spaghetti pasta (2)</t>
  </si>
  <si>
    <t>Spaghetti pasta (3)</t>
  </si>
  <si>
    <t>Coating efficiency</t>
  </si>
  <si>
    <t>مكرونة</t>
  </si>
  <si>
    <t>Sweet Corn - ذرة حلوة</t>
  </si>
  <si>
    <t>Red Kidney Beans - فاصوليا حمراء</t>
  </si>
  <si>
    <t>Conv. Factor</t>
  </si>
  <si>
    <t xml:space="preserve">The sum of base recipe is 4 Kg and they get cooked 5 kg , what did they add </t>
  </si>
  <si>
    <t>Base (5kg)</t>
  </si>
  <si>
    <t>Mexican Vegetables - خضار مكسيكي</t>
  </si>
  <si>
    <t>Base Recipe (5kg Yield)</t>
  </si>
  <si>
    <t>7 KG output</t>
  </si>
  <si>
    <t>Chicken Stock - مرق دجاج</t>
  </si>
  <si>
    <t>Green Beans - فاصوليا خضراء</t>
  </si>
  <si>
    <t xml:space="preserve">Sigapore Vegetables Rice   -  خضار رز سنغافورى </t>
  </si>
  <si>
    <t>Total veggi</t>
  </si>
  <si>
    <t>Jollof Sauce - صوص جولوف</t>
  </si>
  <si>
    <t xml:space="preserve">  </t>
  </si>
  <si>
    <t>Total  gm</t>
  </si>
  <si>
    <t>Total Count</t>
  </si>
  <si>
    <t>Jollof Sauce</t>
  </si>
  <si>
    <t>Sigapore Vegetables</t>
  </si>
  <si>
    <t>Mexican Vegetables</t>
  </si>
  <si>
    <t xml:space="preserve">   </t>
  </si>
  <si>
    <t>Total (KG)</t>
  </si>
  <si>
    <t>Fresh Cream (Qishta)- قشطة</t>
  </si>
  <si>
    <t>Base Recipe (15kg Yield)</t>
  </si>
  <si>
    <t xml:space="preserve">Filling and sauce </t>
  </si>
  <si>
    <t>Count</t>
  </si>
  <si>
    <t>Changed from rich no to self sat. no.</t>
  </si>
  <si>
    <t>Pasta GM</t>
  </si>
  <si>
    <t>Chicken Saleeq</t>
  </si>
  <si>
    <t>Chicken Mandi</t>
  </si>
  <si>
    <t>Indian Meat Alana - لحم هندي ألانا</t>
  </si>
  <si>
    <t>Chicken Club Sandwich</t>
  </si>
  <si>
    <t>Indian Meat Tammam Mafroom - مفروم هندي</t>
  </si>
  <si>
    <t>Shrimp - جمبري</t>
  </si>
  <si>
    <t>.</t>
  </si>
  <si>
    <t>مكس (بصل\ زبيب\ كاجو)</t>
  </si>
  <si>
    <t>Update Weight</t>
  </si>
  <si>
    <t>Day No.</t>
  </si>
  <si>
    <t>Safthy</t>
  </si>
  <si>
    <t>دجاج بالكاري</t>
  </si>
  <si>
    <t>المكرونة</t>
  </si>
  <si>
    <t>خضار سوتيه</t>
  </si>
  <si>
    <t>كبسة لحم</t>
  </si>
  <si>
    <t>-</t>
  </si>
  <si>
    <t>بيف شيلي دراي</t>
  </si>
  <si>
    <t>خضار سوتيه 🌶</t>
  </si>
  <si>
    <t>البطاطس المهروسة 🌶</t>
  </si>
  <si>
    <t>بان فرايد فش</t>
  </si>
  <si>
    <t>أرز الصيادية</t>
  </si>
  <si>
    <t>بامية لحم</t>
  </si>
  <si>
    <t>الأرز بالزعفران</t>
  </si>
  <si>
    <t>دجاج صيني</t>
  </si>
  <si>
    <t>الأرز الأبيض</t>
  </si>
  <si>
    <t>دجاج بالأعشاب</t>
  </si>
  <si>
    <t>البطاطا</t>
  </si>
  <si>
    <t>مندي دجاج</t>
  </si>
  <si>
    <t>ساندوتش الدجاج الآسيوي بخبز الشوفان</t>
  </si>
  <si>
    <t>دجاج ألفريدو</t>
  </si>
  <si>
    <t>دجاج 65 الهندي الحار</t>
  </si>
  <si>
    <t>الأرز الأبيض 🌶</t>
  </si>
  <si>
    <t>شرمب بلانكويت</t>
  </si>
  <si>
    <t>مختوم لحم</t>
  </si>
  <si>
    <t>أسياخ دجاج الباربكيو</t>
  </si>
  <si>
    <t>أرز جولوف</t>
  </si>
  <si>
    <t>دجاج بكريمة جوز الهند</t>
  </si>
  <si>
    <t>زربيان لحم</t>
  </si>
  <si>
    <t>برجر لحم</t>
  </si>
  <si>
    <t>ساندوتش الدجاج بالفلفل الرومي</t>
  </si>
  <si>
    <t>دجاج باللوز في الفرن</t>
  </si>
  <si>
    <t>بطاطس ويدجز</t>
  </si>
  <si>
    <t>دجاج مكروني بالخضار</t>
  </si>
  <si>
    <t>دجاج تشانجيزي</t>
  </si>
  <si>
    <t>داوود باشا</t>
  </si>
  <si>
    <t>سالمون بالكريمة</t>
  </si>
  <si>
    <t>بطاطس مهروسة</t>
  </si>
  <si>
    <t>مسقعة اللحم عالية البروتين</t>
  </si>
  <si>
    <t>لحم أوريانتل</t>
  </si>
  <si>
    <t>الأرز بالمكسرات</t>
  </si>
  <si>
    <t>سليق دجاج</t>
  </si>
  <si>
    <t>ساندوتش فاهيتا الدجاج بخبز الشوفان</t>
  </si>
  <si>
    <t>ساندوتش الدجاج المشوي</t>
  </si>
  <si>
    <t>ستيك دجاج</t>
  </si>
  <si>
    <t>البطاطس المهروسة</t>
  </si>
  <si>
    <t>دجاج بالفطر</t>
  </si>
  <si>
    <t>ستروجانوف باستا</t>
  </si>
  <si>
    <t>بيف أمانسي</t>
  </si>
  <si>
    <t>دجاج تكا</t>
  </si>
  <si>
    <t>الأرز البرياني</t>
  </si>
  <si>
    <t>فاصولياء بيضاء باللحم</t>
  </si>
  <si>
    <t>شرمب بالسبانخ والليمون</t>
  </si>
  <si>
    <t>لسان العصفور</t>
  </si>
  <si>
    <t>أوكتا بوكي بول الدجاج</t>
  </si>
  <si>
    <t>الأرز المصري بالزعفران</t>
  </si>
  <si>
    <t>مقلوبة دجاج</t>
  </si>
  <si>
    <t>ساندوتش الدجاج بالباربيكيو بخبز الشيباتا</t>
  </si>
  <si>
    <t>ساندوتش اللحم الكلاسيكي</t>
  </si>
  <si>
    <t>دجاج سيراتشا</t>
  </si>
  <si>
    <t>الأرز بالخضار 🌶</t>
  </si>
  <si>
    <t>دجاج هندي بالزبدة</t>
  </si>
  <si>
    <t>دجاج البيتزا</t>
  </si>
  <si>
    <t>شرمب بالكاري والكريمة</t>
  </si>
  <si>
    <t>الأرز بالزعفران🌶</t>
  </si>
  <si>
    <t>كباب اللحم</t>
  </si>
  <si>
    <t>الأرز المشكل</t>
  </si>
  <si>
    <t>كباب هندي</t>
  </si>
  <si>
    <t>لازانيا لحم عالية البروتين</t>
  </si>
  <si>
    <t>لحم بولونيز</t>
  </si>
  <si>
    <t>بخاري لحم</t>
  </si>
  <si>
    <t>ساندوتش فيلادلفيا لحم بخبز الشوفان</t>
  </si>
  <si>
    <t>Quantity for 1 Portion - الكمية للصحن</t>
  </si>
  <si>
    <t xml:space="preserve">Count - العدد </t>
  </si>
  <si>
    <t>كميات التحضير من فريق طوكيو-Tokyo Amount need</t>
  </si>
  <si>
    <t>Beef Zurbian - زربيان لحم</t>
  </si>
  <si>
    <t xml:space="preserve">Beef Zurbian Garnish - الزينة لحم زربيان </t>
  </si>
  <si>
    <t xml:space="preserve">Chinese Chicken Garnish - الزينة دجاج صيني   </t>
  </si>
  <si>
    <t>الزينة دجاج بالأعشاب Garnish Herbal Chicken</t>
  </si>
  <si>
    <t>Garnish Chicken Mandi - الزينة مندي دجاج</t>
  </si>
  <si>
    <t>Garnish Curry chicken الزينة دجاج بالكارى</t>
  </si>
  <si>
    <t>Garnish Kabsa Lahm - الزينة كبسة لحم</t>
  </si>
  <si>
    <t>الزينة بان فرايد فيش  Garnish Pan Fried Fish</t>
  </si>
  <si>
    <t>الزينة بيف شيلى دراى  Garnish Beef Chilli Dry</t>
  </si>
  <si>
    <t>الزينة بامية لحم  Garnish Meat with Bamiya</t>
  </si>
  <si>
    <t>بامية لحم  Meat with Bamiya</t>
  </si>
  <si>
    <t>الزينة دجاج الفريدو  Garnish Chicken Alfredo</t>
  </si>
  <si>
    <t>الزينة شرمب بلانكويت  Garnish Blankwet Shrimp</t>
  </si>
  <si>
    <t>الزينة دجاج 65 - Garnish Chicken 65</t>
  </si>
  <si>
    <t>الزينة مختوم لحم Garnish Mkhtoum Lahm</t>
  </si>
  <si>
    <t>Garnish Almond Chicken - الزينة دجاج اللوز</t>
  </si>
  <si>
    <t>الزينة دجاج تشانجيزى - Garnish Changezi chicken</t>
  </si>
  <si>
    <t>Garnish Daoud Basha - الزينة داوود باشا</t>
  </si>
  <si>
    <t xml:space="preserve">Garnish Salmon with Cream - الزينة سالمون بالكريمة </t>
  </si>
  <si>
    <t>Garnish Moussaka - الزينة مسقعة</t>
  </si>
  <si>
    <t>الزينة لحم أورينتال - Garnish Lahm Oriental</t>
  </si>
  <si>
    <t>ساندوتش دجاج أوصال</t>
  </si>
  <si>
    <t>Total Grams</t>
  </si>
  <si>
    <t>Meal name</t>
  </si>
  <si>
    <t>ساندوتش الكباب</t>
  </si>
  <si>
    <t>دجاج بكريمة الطماطم</t>
  </si>
  <si>
    <t>الأرز المكسيكي</t>
  </si>
  <si>
    <t>دجاج بالزنجبيل</t>
  </si>
  <si>
    <t>كرات اللحم الفرنسية</t>
  </si>
  <si>
    <t>مكرونة سباغيتي</t>
  </si>
  <si>
    <t>دجاج سنغافوري</t>
  </si>
  <si>
    <t>الأرز بالخضار</t>
  </si>
  <si>
    <t>سمك بالشبت والليمون</t>
  </si>
  <si>
    <t>ملوخية الدجاج</t>
  </si>
  <si>
    <t>كابلي لحم</t>
  </si>
  <si>
    <t>ساندوتش كباب لحم</t>
  </si>
  <si>
    <t>سلطة السيزر</t>
  </si>
  <si>
    <t xml:space="preserve">ستيك دجاج إضافى  Chicken Steak Topping </t>
  </si>
  <si>
    <t>Garnish Mandi - الزينة مندى</t>
  </si>
  <si>
    <t>الزينة دجاج ستيك - Garnish Chicken Steak</t>
  </si>
  <si>
    <t>Garnich Chicken Muchroom - الزينة دجاج مشروم</t>
  </si>
  <si>
    <t>الزينة ستوغانوف بيف - Garnish Stroganoff Beef</t>
  </si>
  <si>
    <t>Garnish Beef Amansi - الزينة بيف امانسي</t>
  </si>
  <si>
    <t>الزينة دجاج تيكا - Garnish Chicken Tikka</t>
  </si>
  <si>
    <t>Garnish Lahm Fasooliya - الزينة لحم فاصوليا</t>
  </si>
  <si>
    <t>الزينة شرمب بالسبانخ و الليمون - Garnish Lemon Shrimp</t>
  </si>
  <si>
    <t xml:space="preserve">Garnish Sriracha Chicken - الزينة دجاج سيراتشا </t>
  </si>
  <si>
    <t xml:space="preserve">الزينة دجاج هندى بالزبدة - Garnish butter Chicken </t>
  </si>
  <si>
    <t>Garnish Curry Shrimp - الزينة شرمب بالكارى</t>
  </si>
  <si>
    <t>الزينة كباب هندى - Garnish Kabab Hindi</t>
  </si>
  <si>
    <t>Garnish Lahm Bolognese - الزينة لحم بولونيز</t>
  </si>
  <si>
    <t>الزينة لحم بخارى - Garnish Beef Boukhary</t>
  </si>
  <si>
    <t>Garnish Pink Chicken - الزينة لدجاج بالكريمه</t>
  </si>
  <si>
    <t>الزينة لدجاج بالزنجبيل - Garnish Ginger Chicken</t>
  </si>
  <si>
    <t>Garnish French Meat Balls - الزينة لكرات اللحم الفرنسيه</t>
  </si>
  <si>
    <t>الزينة دجاج سنغافورى - Garnish Singapore Chicken</t>
  </si>
  <si>
    <t>Garnish Beef Kabli - الزينة لحم كابلى</t>
  </si>
  <si>
    <t>The skewing is not standarized for this meal, which results in receiving uneven cooked protein portions, we need to standarized skewing quantity to enable 100 gm protein per sandwich</t>
  </si>
  <si>
    <t>The amount of fat used was not following Tokyo and they used 2 KG for 25 Kg of meat , which is 7% Vs 20% in Tokyo</t>
  </si>
  <si>
    <t>Protein + Mix</t>
  </si>
  <si>
    <t>one boiing and one for sauce we  merge them - it cotains ingredient of boiling and sauce</t>
  </si>
  <si>
    <t>Boiling</t>
  </si>
  <si>
    <t xml:space="preserve">Today we need Alferdo pasta 31190.and we received raw pasta 21 pkt .after we received Quantity In Tokyo Alferdo sauce 13 kg something.so we need 19314 Cook pasta and 12876 Alferdo sauce </t>
  </si>
  <si>
    <t>We need total Alferdo pasta with sauce - 32190 gm.</t>
  </si>
  <si>
    <t xml:space="preserve">So now we need total Raw  fettuccini pasta </t>
  </si>
  <si>
    <t>16 pkt. After cooking it comes - 19200.+ We also add Alferdo sauce 12876 Total weight after mixing.i</t>
  </si>
  <si>
    <t xml:space="preserve">Total weight of Fettuccini Alferdo pasta </t>
  </si>
  <si>
    <t>32 kg Approx</t>
  </si>
  <si>
    <t xml:space="preserve">And I got 21 pkt raw pasta in Tokyo it means </t>
  </si>
  <si>
    <t>After boiling it will be - 25200.we need in Tokyo 19314 boil pasta.</t>
  </si>
  <si>
    <t>Pasta + Mix</t>
  </si>
  <si>
    <t>الزينة أوكتا بوكي بول - Garnish Poki Bowl</t>
  </si>
  <si>
    <t>Curly Parsley - بقدونس مجعد</t>
  </si>
  <si>
    <t>Ingredient - الأصناف</t>
  </si>
  <si>
    <t>Asian Potato Cubes</t>
  </si>
  <si>
    <t>Burger Potato Wedges</t>
  </si>
  <si>
    <t xml:space="preserve">Burger Potato Wedges -برجر بطاطس ويدجز </t>
  </si>
  <si>
    <t>Base Recipe (30kg Yield)</t>
  </si>
  <si>
    <t>Oriental Beef for Rice - صوص لحمة شرقية</t>
  </si>
  <si>
    <t>Base Recipe (5kg Yield) — الوصفة الأساسية (إنتاج 5 كجم)</t>
  </si>
  <si>
    <t>Oriental Beef Rice -  صوص لحمة شرقية</t>
  </si>
  <si>
    <t>Black pepper whole - فلفل أسود حب</t>
  </si>
  <si>
    <t>Rice Percent</t>
  </si>
  <si>
    <t xml:space="preserve">الزينة دجاج مكرونى بالخضار Garnish Chicken Pasta with Vegetables </t>
  </si>
  <si>
    <t>Beef Oriental rice</t>
  </si>
  <si>
    <t>Hummus Peas - حمص</t>
  </si>
  <si>
    <t>Nigella Seeds - حبة البركة</t>
  </si>
  <si>
    <t>Tomato Paste - صلصة طماطم</t>
  </si>
  <si>
    <t>Frozen Molokeya - ملوخية مجمدة</t>
  </si>
  <si>
    <t>Frozen Okra - بامية مجمدة</t>
  </si>
  <si>
    <t>Pine Nuts - صنوبر</t>
  </si>
  <si>
    <t>Grated Almond - لوز مبشور</t>
  </si>
  <si>
    <t>Total Pasta</t>
  </si>
  <si>
    <t xml:space="preserve">Total Potato </t>
  </si>
  <si>
    <t>Total Veggi</t>
  </si>
  <si>
    <t>Total Potato</t>
  </si>
  <si>
    <t>Total Veggie</t>
  </si>
  <si>
    <t xml:space="preserve">Asian Potato Cubes - بطاطس مكعبات الآسيوي </t>
  </si>
  <si>
    <t>Total Potatos</t>
  </si>
  <si>
    <t>Order Base Unit وحدة الطلب الأساسية</t>
  </si>
  <si>
    <t>Order Unit وحدة الطلب</t>
  </si>
  <si>
    <t>Price of ordering unit سعر وحدة الطلب</t>
  </si>
  <si>
    <t>Cost Per KG or L السعر للكيلو او للتر</t>
  </si>
  <si>
    <t>2400 gram</t>
  </si>
  <si>
    <t>1600 Kg / Can</t>
  </si>
  <si>
    <t>10.8 KG/Carton</t>
  </si>
  <si>
    <t>2724 Kg / Carton</t>
  </si>
  <si>
    <t>Chicken club sandwich</t>
  </si>
  <si>
    <t>كلوب ساندوتش بالدجاج</t>
  </si>
  <si>
    <t>Saturday</t>
  </si>
  <si>
    <t>Sunday</t>
  </si>
  <si>
    <t>Monday</t>
  </si>
  <si>
    <t>Tuesday</t>
  </si>
  <si>
    <t>Wednesday</t>
  </si>
  <si>
    <t>Thursday</t>
  </si>
  <si>
    <t>Kasuri Methi - ورق حلبة مجففة</t>
  </si>
  <si>
    <t>BBQ seasoning – توابل المشويات</t>
  </si>
  <si>
    <t>Parmesan Cheese Powder - بديل البارميزان</t>
  </si>
  <si>
    <t>Garlic - ثوم مقشر</t>
  </si>
  <si>
    <t>Fresh Coconut - جوز هند طازج</t>
  </si>
  <si>
    <t>Fresh Thyme - بذور الزعتر</t>
  </si>
  <si>
    <t>Basil - ريحان</t>
  </si>
  <si>
    <t>100 gm/Can</t>
  </si>
  <si>
    <t>12000 ML/Cartoon</t>
  </si>
  <si>
    <t>16650 L</t>
  </si>
  <si>
    <t>4800 Kg / Carton</t>
  </si>
  <si>
    <t>9600 Kg / Carton</t>
  </si>
  <si>
    <t>5448 KG/Carton</t>
  </si>
  <si>
    <t>10800 KG/Carton</t>
  </si>
  <si>
    <t>9600 KG/Carton</t>
  </si>
  <si>
    <t>2130 ml / Carton</t>
  </si>
  <si>
    <t>3108 ml /Carton</t>
  </si>
  <si>
    <t>15.12 L / Carton</t>
  </si>
  <si>
    <t>3540 ML/Carton</t>
  </si>
  <si>
    <t>8000 KG/Carton</t>
  </si>
  <si>
    <t>10,000 KG/Bag</t>
  </si>
  <si>
    <t>10,000 KG/Bundle</t>
  </si>
  <si>
    <t>12 Kg/Carton</t>
  </si>
  <si>
    <t>2400 Kg/Carton</t>
  </si>
  <si>
    <t>6480 L/Carton</t>
  </si>
  <si>
    <t>10,000 KG/Can</t>
  </si>
  <si>
    <t>لون صفار زعفران بودر - Saffron yellow color powder</t>
  </si>
  <si>
    <t>905 g / Pack</t>
  </si>
  <si>
    <t>360 Egg/Carton</t>
  </si>
  <si>
    <t>Fresh Baby Spinach - سبانخ هولندي</t>
  </si>
  <si>
    <t>125 g / Box</t>
  </si>
  <si>
    <t>Mushroom - مشروم ابيض</t>
  </si>
  <si>
    <t>100 g/ pack</t>
  </si>
  <si>
    <t>Rosemary - روزميري مستورد</t>
  </si>
  <si>
    <t>Fresh Oregano -اوريغيانو هولندي</t>
  </si>
  <si>
    <t xml:space="preserve">Lemon Grass - ليمون جراس </t>
  </si>
  <si>
    <t xml:space="preserve">Kaffir Lime Leaves - ورق الليمون  </t>
  </si>
  <si>
    <t>Protein - بروتين</t>
  </si>
  <si>
    <t>Signature - التوقع</t>
  </si>
  <si>
    <t>الوحده - Unit</t>
  </si>
  <si>
    <t xml:space="preserve">الكميه - Quantity </t>
  </si>
  <si>
    <t>100 gm/Carton</t>
  </si>
  <si>
    <t>10 Kg / bag</t>
  </si>
  <si>
    <t>Can</t>
  </si>
  <si>
    <t>bag</t>
  </si>
  <si>
    <t>z</t>
  </si>
  <si>
    <t>c</t>
  </si>
  <si>
    <t>corn</t>
  </si>
  <si>
    <t>chnesew</t>
  </si>
  <si>
    <t>bell</t>
  </si>
  <si>
    <t>Marination</t>
  </si>
  <si>
    <t>before</t>
  </si>
  <si>
    <t>after</t>
  </si>
  <si>
    <t xml:space="preserve">خضار مشوية </t>
  </si>
  <si>
    <t xml:space="preserve">Grilled Vegetables </t>
  </si>
  <si>
    <t xml:space="preserve"> مكرونة سباجتى</t>
  </si>
  <si>
    <t xml:space="preserve">Spaghetti pasta </t>
  </si>
  <si>
    <t>Saftey</t>
  </si>
  <si>
    <t>Safty KG</t>
  </si>
  <si>
    <t>Garnishing</t>
  </si>
  <si>
    <t>Bread</t>
  </si>
  <si>
    <t xml:space="preserve">Protine Filling </t>
  </si>
  <si>
    <t>Cost/Unit</t>
  </si>
  <si>
    <t xml:space="preserve">Filling Others </t>
  </si>
  <si>
    <t># Unit</t>
  </si>
  <si>
    <t>Filling Others</t>
  </si>
  <si>
    <t>بطاطس ويدجز  بالأعشاب</t>
  </si>
  <si>
    <t>خضار بالبخار</t>
  </si>
  <si>
    <t>بطاطس ويدجز برجر</t>
  </si>
  <si>
    <t>بطاطس مكعبات الآسيوى</t>
  </si>
  <si>
    <t>خضار مشوى</t>
  </si>
  <si>
    <t>Potato wedges</t>
  </si>
  <si>
    <t>خضار بالفرن</t>
  </si>
  <si>
    <t>Parmesan Cheese - جبنة البارميزان</t>
  </si>
  <si>
    <t>Whole wheat samoli bread - خبز الصامولي حبوب</t>
  </si>
  <si>
    <t>خبز</t>
  </si>
  <si>
    <t>Ciabatta Oat bread - خبز الشيباتا شوفان</t>
  </si>
  <si>
    <t>Whole Wheat Burger Buns - خبز البرجر أسمر</t>
  </si>
  <si>
    <t>b</t>
  </si>
  <si>
    <t>cab</t>
  </si>
  <si>
    <t>Breads</t>
  </si>
  <si>
    <t>Other Filling</t>
  </si>
  <si>
    <t>Edam Meat  - Self Saturated</t>
  </si>
  <si>
    <t xml:space="preserve">Mashrom </t>
  </si>
  <si>
    <t>Protine</t>
  </si>
  <si>
    <t xml:space="preserve"> GM</t>
  </si>
  <si>
    <t>الزينة ساندويتش كباب - Garnish Beef Kebab</t>
  </si>
  <si>
    <t>2 Kg extra Protein</t>
  </si>
  <si>
    <t>Garnish Pizza Chicken - الزينة دجاج بيتزا</t>
  </si>
  <si>
    <t>Needed 1KG everyday</t>
  </si>
  <si>
    <t>10 readings</t>
  </si>
  <si>
    <t>yield</t>
  </si>
  <si>
    <t>Cooking Methos</t>
  </si>
  <si>
    <t>Cookingield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</si>
</sst>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3">
    <numFmt numFmtId="43" formatCode="_-* #,##0.00_-;\-* #,##0.00_-;_-* &quot;-&quot;??_-;_-@_-"/>
    <numFmt numFmtId="164" formatCode="_(* #,##0.00_);_(* \(#,##0.00\);_(* &quot;-&quot;??_);_(@_)"/>
    <numFmt numFmtId="165" formatCode="_ * #,##0_ ;_ * \-#,##0_ ;_ * \-??_ ;_ @_ "/>
    <numFmt numFmtId="166" formatCode="_ * #,##0.00_ ;_ * \-#,##0.00_ ;_ * \-??_ ;_ @_ "/>
    <numFmt numFmtId="167" formatCode="_ * #,##0.0000_ ;_ * \-#,##0.0000_ ;_ * \-??_ ;_ @_ "/>
    <numFmt numFmtId="168" formatCode="0.0"/>
    <numFmt numFmtId="169" formatCode="_(* #,##0.00_);_(* \(#,##0.00\);_(* \-??_);_(@_)"/>
    <numFmt numFmtId="170" formatCode="0.000"/>
    <numFmt numFmtId="171" formatCode="0.0000"/>
    <numFmt numFmtId="172" formatCode="0.000%"/>
    <numFmt numFmtId="173" formatCode="_(* #,##0.000_);_(* \(#,##0.000\);_(* \-??_);_(@_)"/>
    <numFmt numFmtId="174" formatCode="0.0000%"/>
    <numFmt numFmtId="175" formatCode="_ * #,##0.000_ ;_ * \-#,##0.000_ ;_ * \-??_ ;_ @_ "/>
    <numFmt numFmtId="176" formatCode="_(* #,##0_);_(* \(#,##0\);_(* \-???_);_(@_)"/>
    <numFmt numFmtId="177" formatCode="_(* #,##0.000_);_(* \(#,##0.000\);_(* \-???_);_(@_)"/>
    <numFmt numFmtId="178" formatCode="_-* #,##0.00_-;\-* #,##0.00_-;_-* \-??_-;_-@_-"/>
    <numFmt numFmtId="179" formatCode="_(* #,##0.0_);_(* \(#,##0.0\);_(* \-??_);_(@_)"/>
    <numFmt numFmtId="180" formatCode="_(* #,##0.0_);_(* \(#,##0.0\);_(* \-?_);_(@_)"/>
    <numFmt numFmtId="181" formatCode="_(* #,##0_);_(* \(#,##0\);_(* \-??_);_(@_)"/>
    <numFmt numFmtId="182" formatCode="0.0%"/>
    <numFmt numFmtId="183" formatCode="_ * #,##0.0_ ;_ * \-#,##0.0_ ;_ * \-??_ ;_ @_ "/>
    <numFmt numFmtId="184" formatCode="0.00000%"/>
    <numFmt numFmtId="185" formatCode="0.000000%"/>
    <numFmt numFmtId="186" formatCode="#,##0.000"/>
    <numFmt numFmtId="187" formatCode="_ * #,##0_ ;_ * \-#,##0_ ;_ * &quot;-&quot;??_ ;_ @_ "/>
    <numFmt numFmtId="188" formatCode="_ * #,##0.000_ ;_ * \-#,##0.000_ ;_ * &quot;-&quot;??_ ;_ @_ "/>
    <numFmt numFmtId="189" formatCode="_ * #,##0.00_ ;_ * \-#,##0.00_ ;_ * &quot;-&quot;??_ ;_ @_ "/>
    <numFmt numFmtId="190" formatCode="_-* #,##0.000_-;\-* #,##0.000_-;_-* &quot;-&quot;???_-;_-@_-"/>
    <numFmt numFmtId="191" formatCode="#,##0.0&quot; gm&quot;"/>
    <numFmt numFmtId="192" formatCode="_(* #,##0.0000_);_(* \(#,##0.0000\);_(* \-??_);_(@_)"/>
    <numFmt numFmtId="193" formatCode="_(* #,##0.0_);_(* \(#,##0.0\);_(* \-???_);_(@_)"/>
    <numFmt numFmtId="194" formatCode="_-* #,##0_-;\-* #,##0_-;_-* &quot;-&quot;??_-;_-@_-"/>
    <numFmt numFmtId="195" formatCode="_(* #,##0.0000_);_(* \(#,##0.0000\);_(* &quot;-&quot;??_);_(@_)"/>
    <numFmt numFmtId="196" formatCode="_(* #,##0_);_(* \(#,##0\);_(* &quot;-&quot;??_);_(@_)"/>
    <numFmt numFmtId="197" formatCode="_-* #,##0.0_-;\-* #,##0.0_-;_-* &quot;-&quot;?_-;_-@_-"/>
    <numFmt numFmtId="198" formatCode="0.000000"/>
    <numFmt numFmtId="199" formatCode="0.00000"/>
    <numFmt numFmtId="200" formatCode="_(* #,##0.000_);_(* \(#,##0.000\);_(* &quot;-&quot;???_);_(@_)"/>
    <numFmt numFmtId="201" formatCode="_(* #,##0.0_);_(* \(#,##0.0\);_(* &quot;-&quot;?_);_(@_)"/>
    <numFmt numFmtId="202" formatCode="0.0000000000"/>
    <numFmt numFmtId="203" formatCode="_(* #,##0.000000_);_(* \(#,##0.000000\);_(* \-??_);_(@_)"/>
    <numFmt numFmtId="204" formatCode="_(* #,##0.00000_);_(* \(#,##0.00000\);_(* &quot;-&quot;??_);_(@_)"/>
    <numFmt numFmtId="205" formatCode="0.000000000000000000%"/>
  </numFmts>
  <fonts count="85"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0"/>
      <color rgb="FF000000"/>
      <name val="Arial"/>
      <family val="2"/>
    </font>
    <font>
      <sz val="10"/>
      <color rgb="FF000000"/>
      <name val="Arial"/>
      <family val="2"/>
      <charset val="1"/>
    </font>
    <font>
      <sz val="11"/>
      <color theme="1"/>
      <name val="Arial"/>
      <family val="2"/>
      <charset val="1"/>
    </font>
    <font>
      <b/>
      <sz val="11"/>
      <color theme="1"/>
      <name val="Arial"/>
      <family val="2"/>
    </font>
    <font>
      <b/>
      <sz val="16"/>
      <color rgb="FFFF99CC"/>
      <name val="ADLaM Display"/>
    </font>
    <font>
      <b/>
      <sz val="11"/>
      <name val="Arial"/>
      <family val="2"/>
    </font>
    <font>
      <b/>
      <sz val="11"/>
      <color theme="0"/>
      <name val="Arial"/>
      <family val="2"/>
    </font>
    <font>
      <sz val="11"/>
      <color theme="0"/>
      <name val="Arial"/>
      <family val="2"/>
    </font>
    <font>
      <sz val="10"/>
      <color theme="1"/>
      <name val="Arial"/>
      <family val="2"/>
    </font>
    <font>
      <sz val="11"/>
      <color rgb="FFFF0000"/>
      <name val="Arial"/>
      <family val="2"/>
    </font>
    <font>
      <b/>
      <sz val="11"/>
      <color theme="1"/>
      <name val="Arial"/>
      <family val="2"/>
      <charset val="1"/>
    </font>
    <font>
      <b/>
      <sz val="11"/>
      <name val="Arial"/>
      <family val="2"/>
      <charset val="1"/>
    </font>
    <font>
      <sz val="11"/>
      <color theme="0"/>
      <name val="Arial"/>
      <family val="2"/>
      <charset val="1"/>
    </font>
    <font>
      <b/>
      <sz val="11"/>
      <color rgb="FF000000"/>
      <name val="Arial"/>
      <family val="2"/>
    </font>
    <font>
      <sz val="10"/>
      <color theme="0"/>
      <name val="Arial"/>
      <family val="2"/>
    </font>
    <font>
      <b/>
      <sz val="10"/>
      <color theme="1"/>
      <name val="Arial"/>
      <family val="2"/>
    </font>
    <font>
      <b/>
      <sz val="10"/>
      <color theme="0"/>
      <name val="Arial"/>
      <family val="2"/>
    </font>
    <font>
      <b/>
      <sz val="12"/>
      <color theme="0"/>
      <name val="Arial"/>
      <family val="2"/>
    </font>
    <font>
      <b/>
      <sz val="10"/>
      <color rgb="FF000000"/>
      <name val="Arial"/>
      <family val="2"/>
    </font>
    <font>
      <sz val="10"/>
      <name val="Arial"/>
      <family val="2"/>
    </font>
    <font>
      <sz val="10"/>
      <color rgb="FFFF0000"/>
      <name val="Arial"/>
      <family val="2"/>
    </font>
    <font>
      <b/>
      <sz val="14"/>
      <color rgb="FFFFFFFF"/>
      <name val="Arial"/>
      <family val="2"/>
    </font>
    <font>
      <b/>
      <sz val="16"/>
      <color theme="1"/>
      <name val="Arial"/>
      <family val="2"/>
    </font>
    <font>
      <b/>
      <sz val="14"/>
      <color theme="0"/>
      <name val="Arial"/>
      <family val="2"/>
    </font>
    <font>
      <sz val="11"/>
      <name val="Arial"/>
      <family val="2"/>
    </font>
    <font>
      <b/>
      <sz val="8"/>
      <color theme="0"/>
      <name val="Arial"/>
      <family val="2"/>
    </font>
    <font>
      <sz val="8"/>
      <color theme="0"/>
      <name val="Arial"/>
      <family val="2"/>
    </font>
    <font>
      <b/>
      <sz val="8"/>
      <color rgb="FF000000"/>
      <name val="Arial"/>
      <family val="2"/>
    </font>
    <font>
      <b/>
      <sz val="10"/>
      <color rgb="FFFF0000"/>
      <name val="Arial"/>
      <family val="2"/>
    </font>
    <font>
      <sz val="18"/>
      <color rgb="FF000000"/>
      <name val="Arial"/>
      <family val="2"/>
    </font>
    <font>
      <b/>
      <sz val="9"/>
      <color theme="1"/>
      <name val="Arial"/>
      <family val="2"/>
    </font>
    <font>
      <sz val="11"/>
      <color theme="1"/>
      <name val="Arial"/>
      <family val="2"/>
    </font>
    <font>
      <b/>
      <sz val="13"/>
      <color theme="1"/>
      <name val="Arial"/>
      <family val="2"/>
    </font>
    <font>
      <sz val="10"/>
      <color rgb="FF000000"/>
      <name val="Calibri"/>
      <family val="2"/>
      <scheme val="minor"/>
    </font>
    <font>
      <sz val="10"/>
      <color theme="1"/>
      <name val="Calibri"/>
      <family val="2"/>
      <scheme val="minor"/>
    </font>
    <font>
      <b/>
      <sz val="12"/>
      <color theme="0"/>
      <name val="Calibri"/>
      <family val="2"/>
      <scheme val="minor"/>
    </font>
    <font>
      <b/>
      <sz val="10"/>
      <color theme="1"/>
      <name val="Calibri"/>
      <family val="2"/>
      <scheme val="minor"/>
    </font>
    <font>
      <b/>
      <sz val="10"/>
      <color rgb="FF000000"/>
      <name val="Calibri"/>
      <family val="2"/>
      <scheme val="minor"/>
    </font>
    <font>
      <sz val="11"/>
      <color theme="0"/>
      <name val="Calibri"/>
      <family val="2"/>
      <scheme val="minor"/>
    </font>
    <font>
      <b/>
      <sz val="12"/>
      <color rgb="FFFFFFFF"/>
      <name val="Calibri"/>
      <family val="2"/>
      <scheme val="minor"/>
    </font>
    <font>
      <sz val="10"/>
      <color rgb="FFFF0000"/>
      <name val="Calibri"/>
      <family val="2"/>
      <scheme val="minor"/>
    </font>
    <font>
      <sz val="11"/>
      <name val="Cambria"/>
      <family val="1"/>
    </font>
    <font>
      <b/>
      <sz val="9"/>
      <color rgb="FF000000"/>
      <name val="Arial"/>
      <family val="2"/>
    </font>
    <font>
      <sz val="9"/>
      <color rgb="FF000000"/>
      <name val="Arial"/>
      <family val="2"/>
    </font>
    <font>
      <sz val="10"/>
      <color theme="1" tint="0.499984740745262"/>
      <name val="Arial"/>
      <family val="2"/>
      <charset val="1"/>
    </font>
    <font>
      <sz val="10"/>
      <color theme="1"/>
      <name val="Arial"/>
      <family val="2"/>
      <charset val="1"/>
    </font>
    <font>
      <b/>
      <sz val="10"/>
      <color rgb="FF000000"/>
      <name val="Arial"/>
      <family val="2"/>
      <charset val="1"/>
    </font>
    <font>
      <b/>
      <sz val="14"/>
      <color rgb="FFFFFFFF"/>
      <name val="Arial"/>
      <family val="2"/>
      <charset val="1"/>
    </font>
    <font>
      <b/>
      <sz val="10"/>
      <color theme="1" tint="0.499984740745262"/>
      <name val="Arial"/>
      <family val="2"/>
      <charset val="1"/>
    </font>
    <font>
      <b/>
      <sz val="10"/>
      <color theme="1"/>
      <name val="Arial"/>
      <family val="2"/>
      <charset val="1"/>
    </font>
    <font>
      <b/>
      <sz val="9"/>
      <color rgb="FF375623"/>
      <name val="Arial"/>
      <family val="2"/>
    </font>
    <font>
      <b/>
      <sz val="11"/>
      <color rgb="FFFFFFFF"/>
      <name val="Arial"/>
      <family val="2"/>
    </font>
    <font>
      <sz val="10"/>
      <color rgb="FFFF0000"/>
      <name val="Arial"/>
      <family val="2"/>
      <charset val="1"/>
    </font>
    <font>
      <sz val="10"/>
      <color theme="1"/>
      <name val="Calibri"/>
      <family val="2"/>
      <scheme val="minor"/>
    </font>
    <font>
      <sz val="10"/>
      <color rgb="FF000000"/>
      <name val="Calibri"/>
      <family val="2"/>
      <scheme val="minor"/>
    </font>
    <font>
      <b/>
      <sz val="10"/>
      <color theme="1"/>
      <name val="Calibri"/>
      <family val="2"/>
      <scheme val="minor"/>
    </font>
    <font>
      <b/>
      <sz val="10"/>
      <color rgb="FF000000"/>
      <name val="Calibri"/>
      <family val="2"/>
      <scheme val="minor"/>
    </font>
    <font>
      <b/>
      <sz val="12"/>
      <color theme="0"/>
      <name val="Arial"/>
      <family val="2"/>
      <charset val="1"/>
    </font>
    <font>
      <b/>
      <sz val="11"/>
      <color theme="1"/>
      <name val="Calibri"/>
      <family val="2"/>
      <scheme val="minor"/>
    </font>
    <font>
      <sz val="11"/>
      <color theme="1"/>
      <name val="Calibri"/>
      <family val="2"/>
      <charset val="1"/>
    </font>
    <font>
      <b/>
      <sz val="10"/>
      <color rgb="FFFFFFFF"/>
      <name val="Arial"/>
      <family val="2"/>
    </font>
    <font>
      <b/>
      <sz val="9"/>
      <color rgb="FFFFFFFF"/>
      <name val="Arial"/>
      <family val="2"/>
    </font>
    <font>
      <sz val="11"/>
      <color rgb="FFFFFF00"/>
      <name val="Arial"/>
      <family val="2"/>
    </font>
    <font>
      <sz val="8"/>
      <name val="Arial"/>
      <family val="2"/>
    </font>
    <font>
      <sz val="11"/>
      <color rgb="FFFFFF00"/>
      <name val="Arial"/>
      <family val="2"/>
      <charset val="1"/>
    </font>
    <font>
      <sz val="10"/>
      <color theme="0"/>
      <name val="Arial"/>
      <family val="2"/>
      <charset val="1"/>
    </font>
    <font>
      <sz val="12"/>
      <color rgb="FF000000"/>
      <name val="Arial"/>
      <family val="2"/>
    </font>
    <font>
      <b/>
      <sz val="10"/>
      <name val="Arial"/>
      <family val="2"/>
    </font>
    <font>
      <sz val="11"/>
      <color theme="1"/>
      <name val="Calibri"/>
      <family val="2"/>
      <charset val="178"/>
      <scheme val="minor"/>
    </font>
    <font>
      <sz val="12"/>
      <color theme="1"/>
      <name val="Calibri"/>
      <family val="2"/>
      <scheme val="minor"/>
    </font>
    <font>
      <b/>
      <sz val="10"/>
      <color rgb="FF7030A0"/>
      <name val="Arial"/>
      <family val="2"/>
    </font>
    <font>
      <b/>
      <sz val="11"/>
      <color rgb="FF7030A0"/>
      <name val="Arial"/>
      <family val="2"/>
    </font>
    <font>
      <b/>
      <sz val="12"/>
      <color theme="1"/>
      <name val="Arial"/>
      <family val="2"/>
    </font>
    <font>
      <b/>
      <sz val="16"/>
      <color theme="1"/>
      <name val="Calibri Light"/>
      <family val="1"/>
      <scheme val="major"/>
    </font>
    <font>
      <sz val="11"/>
      <color theme="1"/>
      <name val="Calibri"/>
      <family val="2"/>
      <charset val="178"/>
      <scheme val="minor"/>
    </font>
    <font>
      <sz val="12"/>
      <color theme="1"/>
      <name val="Calibri"/>
      <family val="2"/>
      <scheme val="minor"/>
    </font>
    <font>
      <sz val="11"/>
      <color rgb="FF000000"/>
      <name val="Aptos Narrow"/>
      <family val="2"/>
    </font>
    <font>
      <b/>
      <sz val="11"/>
      <color rgb="FFC00000"/>
      <name val="Arial"/>
      <family val="2"/>
    </font>
    <font>
      <sz val="11"/>
      <color rgb="FFC00000"/>
      <name val="Arial"/>
      <family val="2"/>
    </font>
    <font>
      <b/>
      <sz val="11"/>
      <color rgb="FFFF0000"/>
      <name val="Arial"/>
      <family val="2"/>
    </font>
    <font>
      <sz val="10"/>
      <color rgb="FF000000"/>
      <name val="Calibri"/>
      <family val="2"/>
    </font>
  </fonts>
  <fills count="113">
    <fill>
      <patternFill patternType="none"/>
    </fill>
    <fill>
      <patternFill patternType="gray125"/>
    </fill>
    <fill>
      <patternFill patternType="solid">
        <fgColor theme="2"/>
        <bgColor rgb="FFDEEBF7"/>
      </patternFill>
    </fill>
    <fill>
      <patternFill patternType="solid">
        <fgColor rgb="FF7030A0"/>
        <bgColor rgb="FF800080"/>
      </patternFill>
    </fill>
    <fill>
      <patternFill patternType="solid">
        <fgColor theme="7" tint="0.59987182226020086"/>
        <bgColor rgb="FFFFF2CC"/>
      </patternFill>
    </fill>
    <fill>
      <patternFill patternType="solid">
        <fgColor theme="3" tint="0.59987182226020086"/>
        <bgColor rgb="FF9DC3E6"/>
      </patternFill>
    </fill>
    <fill>
      <patternFill patternType="solid">
        <fgColor theme="5" tint="0.39988402966399123"/>
        <bgColor rgb="FFF8CBAD"/>
      </patternFill>
    </fill>
    <fill>
      <patternFill patternType="solid">
        <fgColor rgb="FFFF0000"/>
        <bgColor rgb="FFC00000"/>
      </patternFill>
    </fill>
    <fill>
      <patternFill patternType="solid">
        <fgColor rgb="FFFF99CC"/>
        <bgColor rgb="FFF4B183"/>
      </patternFill>
    </fill>
    <fill>
      <patternFill patternType="solid">
        <fgColor rgb="FFFFCCFF"/>
        <bgColor rgb="FFFBE5D6"/>
      </patternFill>
    </fill>
    <fill>
      <patternFill patternType="solid">
        <fgColor theme="7" tint="0.79989013336588644"/>
        <bgColor rgb="FFFBE5D6"/>
      </patternFill>
    </fill>
    <fill>
      <patternFill patternType="solid">
        <fgColor theme="3" tint="0.79989013336588644"/>
        <bgColor rgb="FFDAE3F3"/>
      </patternFill>
    </fill>
    <fill>
      <patternFill patternType="solid">
        <fgColor theme="9" tint="0.39988402966399123"/>
        <bgColor rgb="FFC5E0B4"/>
      </patternFill>
    </fill>
    <fill>
      <patternFill patternType="solid">
        <fgColor theme="4" tint="0.59987182226020086"/>
        <bgColor rgb="FF9DC3E6"/>
      </patternFill>
    </fill>
    <fill>
      <patternFill patternType="solid">
        <fgColor rgb="FF92D050"/>
        <bgColor rgb="FFA9D18E"/>
      </patternFill>
    </fill>
    <fill>
      <patternFill patternType="solid">
        <fgColor theme="5" tint="0.59987182226020086"/>
        <bgColor rgb="FFFFE699"/>
      </patternFill>
    </fill>
    <fill>
      <patternFill patternType="solid">
        <fgColor rgb="FFFFFF00"/>
        <bgColor rgb="FFFFC000"/>
      </patternFill>
    </fill>
    <fill>
      <patternFill patternType="solid">
        <fgColor rgb="FFC00000"/>
        <bgColor rgb="FFFF0000"/>
      </patternFill>
    </fill>
    <fill>
      <patternFill patternType="solid">
        <fgColor theme="5"/>
        <bgColor rgb="FFBF9000"/>
      </patternFill>
    </fill>
    <fill>
      <patternFill patternType="solid">
        <fgColor theme="5" tint="0.79989013336588644"/>
        <bgColor rgb="FFFFF2CC"/>
      </patternFill>
    </fill>
    <fill>
      <patternFill patternType="solid">
        <fgColor theme="5" tint="-0.499984740745262"/>
        <bgColor rgb="FF833C0C"/>
      </patternFill>
    </fill>
    <fill>
      <patternFill patternType="solid">
        <fgColor rgb="FF00B050"/>
        <bgColor rgb="FF008080"/>
      </patternFill>
    </fill>
    <fill>
      <patternFill patternType="solid">
        <fgColor theme="0"/>
        <bgColor rgb="FFF2F2F2"/>
      </patternFill>
    </fill>
    <fill>
      <patternFill patternType="solid">
        <fgColor rgb="FFFFC000"/>
        <bgColor rgb="FFF4B183"/>
      </patternFill>
    </fill>
    <fill>
      <patternFill patternType="solid">
        <fgColor theme="4" tint="-0.499984740745262"/>
        <bgColor rgb="FF333F50"/>
      </patternFill>
    </fill>
    <fill>
      <patternFill patternType="solid">
        <fgColor theme="8" tint="0.39988402966399123"/>
        <bgColor rgb="FFB4C7E7"/>
      </patternFill>
    </fill>
    <fill>
      <patternFill patternType="solid">
        <fgColor rgb="FF002060"/>
        <bgColor rgb="FF203864"/>
      </patternFill>
    </fill>
    <fill>
      <patternFill patternType="solid">
        <fgColor theme="4" tint="-0.249977111117893"/>
        <bgColor rgb="FF2E75B6"/>
      </patternFill>
    </fill>
    <fill>
      <patternFill patternType="solid">
        <fgColor theme="1" tint="4.9897762993255407E-2"/>
        <bgColor rgb="FF000000"/>
      </patternFill>
    </fill>
    <fill>
      <patternFill patternType="solid">
        <fgColor theme="1"/>
        <bgColor rgb="FF0D0D0D"/>
      </patternFill>
    </fill>
    <fill>
      <patternFill patternType="solid">
        <fgColor rgb="FF833C0C"/>
        <bgColor rgb="FF843C0B"/>
      </patternFill>
    </fill>
    <fill>
      <patternFill patternType="solid">
        <fgColor rgb="FF9966FF"/>
        <bgColor rgb="FF7C7C7C"/>
      </patternFill>
    </fill>
    <fill>
      <patternFill patternType="solid">
        <fgColor theme="0" tint="-0.34998626667073579"/>
        <bgColor rgb="FFAFABAB"/>
      </patternFill>
    </fill>
    <fill>
      <patternFill patternType="solid">
        <fgColor theme="1" tint="0.3498947111423078"/>
        <bgColor rgb="FF333F50"/>
      </patternFill>
    </fill>
    <fill>
      <patternFill patternType="solid">
        <fgColor theme="9" tint="0.59987182226020086"/>
        <bgColor rgb="FFD6DCE5"/>
      </patternFill>
    </fill>
    <fill>
      <patternFill patternType="solid">
        <fgColor theme="6" tint="0.39988402966399123"/>
        <bgColor rgb="FFB4C7E7"/>
      </patternFill>
    </fill>
    <fill>
      <patternFill patternType="solid">
        <fgColor theme="0" tint="-4.9989318521683403E-2"/>
        <bgColor rgb="FFE7E6E6"/>
      </patternFill>
    </fill>
    <fill>
      <patternFill patternType="solid">
        <fgColor rgb="FFFFFF00"/>
        <bgColor indexed="64"/>
      </patternFill>
    </fill>
    <fill>
      <patternFill patternType="solid">
        <fgColor rgb="FFFF0000"/>
        <bgColor indexed="64"/>
      </patternFill>
    </fill>
    <fill>
      <patternFill patternType="solid">
        <fgColor rgb="FFC65911"/>
        <bgColor indexed="64"/>
      </patternFill>
    </fill>
    <fill>
      <patternFill patternType="solid">
        <fgColor rgb="FFF2F2F2"/>
        <bgColor indexed="64"/>
      </patternFill>
    </fill>
    <fill>
      <patternFill patternType="solid">
        <fgColor rgb="FF00B050"/>
        <bgColor rgb="FFBF9000"/>
      </patternFill>
    </fill>
    <fill>
      <patternFill patternType="solid">
        <fgColor theme="5" tint="-0.499984740745262"/>
        <bgColor indexed="64"/>
      </patternFill>
    </fill>
    <fill>
      <patternFill patternType="solid">
        <fgColor theme="5" tint="0.59999389629810485"/>
        <bgColor indexed="64"/>
      </patternFill>
    </fill>
    <fill>
      <patternFill patternType="solid">
        <fgColor rgb="FF00B050"/>
        <bgColor rgb="FF000000"/>
      </patternFill>
    </fill>
    <fill>
      <patternFill patternType="solid">
        <fgColor rgb="FF00B050"/>
        <bgColor indexed="64"/>
      </patternFill>
    </fill>
    <fill>
      <patternFill patternType="solid">
        <fgColor rgb="FF002060"/>
        <bgColor indexed="64"/>
      </patternFill>
    </fill>
    <fill>
      <patternFill patternType="solid">
        <fgColor rgb="FF002060"/>
        <bgColor rgb="FF1B3A5C"/>
      </patternFill>
    </fill>
    <fill>
      <patternFill patternType="solid">
        <fgColor rgb="FFFFFF00"/>
        <bgColor rgb="FFFFFF00"/>
      </patternFill>
    </fill>
    <fill>
      <patternFill patternType="solid">
        <fgColor rgb="FFFFC000"/>
        <bgColor indexed="64"/>
      </patternFill>
    </fill>
    <fill>
      <patternFill patternType="solid">
        <fgColor rgb="FFFFFFFF"/>
        <bgColor rgb="FFF5F5F5"/>
      </patternFill>
    </fill>
    <fill>
      <patternFill patternType="solid">
        <fgColor theme="5" tint="0.59987182226020086"/>
        <bgColor rgb="FFBDBDBD"/>
      </patternFill>
    </fill>
    <fill>
      <patternFill patternType="solid">
        <fgColor theme="0" tint="-0.34998626667073579"/>
        <bgColor indexed="64"/>
      </patternFill>
    </fill>
    <fill>
      <patternFill patternType="solid">
        <fgColor theme="2" tint="-0.249977111117893"/>
        <bgColor indexed="64"/>
      </patternFill>
    </fill>
    <fill>
      <patternFill patternType="solid">
        <fgColor theme="0"/>
        <bgColor rgb="FFFFC000"/>
      </patternFill>
    </fill>
    <fill>
      <patternFill patternType="solid">
        <fgColor theme="0" tint="-0.249977111117893"/>
        <bgColor indexed="64"/>
      </patternFill>
    </fill>
    <fill>
      <patternFill patternType="solid">
        <fgColor rgb="FF9DC3E6"/>
      </patternFill>
    </fill>
    <fill>
      <patternFill patternType="solid">
        <fgColor theme="0"/>
        <bgColor indexed="64"/>
      </patternFill>
    </fill>
    <fill>
      <patternFill patternType="solid">
        <fgColor theme="5" tint="0.399975585192419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tint="0.14999847407452621"/>
        <bgColor indexed="64"/>
      </patternFill>
    </fill>
    <fill>
      <patternFill patternType="solid">
        <fgColor theme="0"/>
        <bgColor rgb="FF9DC3E6"/>
      </patternFill>
    </fill>
    <fill>
      <patternFill patternType="solid">
        <fgColor theme="1" tint="4.9989318521683403E-2"/>
        <bgColor indexed="64"/>
      </patternFill>
    </fill>
    <fill>
      <patternFill patternType="solid">
        <fgColor rgb="FFFF7C80"/>
        <bgColor indexed="64"/>
      </patternFill>
    </fill>
    <fill>
      <patternFill patternType="solid">
        <fgColor rgb="FFFF7C80"/>
        <bgColor rgb="FFFFE699"/>
      </patternFill>
    </fill>
    <fill>
      <patternFill patternType="solid">
        <fgColor theme="0" tint="-0.14999847407452621"/>
        <bgColor theme="0" tint="-0.14999847407452621"/>
      </patternFill>
    </fill>
    <fill>
      <patternFill patternType="solid">
        <fgColor theme="1"/>
        <bgColor indexed="64"/>
      </patternFill>
    </fill>
    <fill>
      <patternFill patternType="solid">
        <fgColor theme="0"/>
        <bgColor rgb="FFF5F5F5"/>
      </patternFill>
    </fill>
    <fill>
      <patternFill patternType="solid">
        <fgColor rgb="FFFF7C80"/>
        <bgColor rgb="FF7C7C7C"/>
      </patternFill>
    </fill>
    <fill>
      <patternFill patternType="solid">
        <fgColor theme="0"/>
        <bgColor rgb="FF7C7C7C"/>
      </patternFill>
    </fill>
    <fill>
      <patternFill patternType="solid">
        <fgColor theme="0"/>
        <bgColor rgb="FFAFABAB"/>
      </patternFill>
    </fill>
    <fill>
      <patternFill patternType="solid">
        <fgColor rgb="FF833C0C"/>
        <bgColor rgb="FF833C0C"/>
      </patternFill>
    </fill>
    <fill>
      <patternFill patternType="solid">
        <fgColor rgb="FFFFFFFF"/>
        <bgColor indexed="64"/>
      </patternFill>
    </fill>
    <fill>
      <patternFill patternType="solid">
        <fgColor theme="8" tint="0.39997558519241921"/>
        <bgColor indexed="64"/>
      </patternFill>
    </fill>
    <fill>
      <patternFill patternType="solid">
        <fgColor theme="2"/>
        <bgColor indexed="64"/>
      </patternFill>
    </fill>
    <fill>
      <patternFill patternType="solid">
        <fgColor theme="5"/>
        <bgColor rgb="FFDEEBF7"/>
      </patternFill>
    </fill>
    <fill>
      <patternFill patternType="solid">
        <fgColor theme="7"/>
        <bgColor rgb="FFF8CBAD"/>
      </patternFill>
    </fill>
    <fill>
      <patternFill patternType="solid">
        <fgColor theme="7"/>
        <bgColor rgb="FFFFF2CC"/>
      </patternFill>
    </fill>
    <fill>
      <patternFill patternType="solid">
        <fgColor rgb="FFC00000"/>
        <bgColor rgb="FFF4B183"/>
      </patternFill>
    </fill>
    <fill>
      <patternFill patternType="solid">
        <fgColor theme="7" tint="0.59999389629810485"/>
        <bgColor rgb="FFDAE3F3"/>
      </patternFill>
    </fill>
    <fill>
      <patternFill patternType="solid">
        <fgColor theme="7" tint="0.59999389629810485"/>
        <bgColor rgb="FFFFF2CC"/>
      </patternFill>
    </fill>
    <fill>
      <patternFill patternType="solid">
        <fgColor theme="4" tint="0.59999389629810485"/>
        <bgColor rgb="FFFFF2CC"/>
      </patternFill>
    </fill>
    <fill>
      <patternFill patternType="solid">
        <fgColor theme="4" tint="0.39997558519241921"/>
        <bgColor rgb="FFF8CBAD"/>
      </patternFill>
    </fill>
    <fill>
      <patternFill patternType="solid">
        <fgColor theme="6" tint="0.79998168889431442"/>
        <bgColor rgb="FFA6A6A6"/>
      </patternFill>
    </fill>
    <fill>
      <patternFill patternType="solid">
        <fgColor theme="0"/>
        <bgColor rgb="FFDEEBF7"/>
      </patternFill>
    </fill>
    <fill>
      <patternFill patternType="solid">
        <fgColor theme="6" tint="0.79998168889431442"/>
        <bgColor rgb="FFF8CBAD"/>
      </patternFill>
    </fill>
    <fill>
      <patternFill patternType="solid">
        <fgColor theme="6" tint="0.79998168889431442"/>
        <bgColor rgb="FF9DC3E6"/>
      </patternFill>
    </fill>
    <fill>
      <patternFill patternType="solid">
        <fgColor theme="5" tint="0.39997558519241921"/>
        <bgColor rgb="FFFBE5D6"/>
      </patternFill>
    </fill>
    <fill>
      <patternFill patternType="solid">
        <fgColor theme="9" tint="0.39997558519241921"/>
        <bgColor rgb="FFFFF2CC"/>
      </patternFill>
    </fill>
    <fill>
      <patternFill patternType="solid">
        <fgColor theme="9" tint="0.79998168889431442"/>
        <bgColor rgb="FFC5E0B4"/>
      </patternFill>
    </fill>
    <fill>
      <patternFill patternType="solid">
        <fgColor theme="2" tint="-0.249977111117893"/>
        <bgColor rgb="FFA9D18E"/>
      </patternFill>
    </fill>
    <fill>
      <patternFill patternType="solid">
        <fgColor rgb="FFFFC000"/>
        <bgColor rgb="FF9DC3E6"/>
      </patternFill>
    </fill>
    <fill>
      <patternFill patternType="solid">
        <fgColor theme="4" tint="-0.499984740745262"/>
        <bgColor indexed="64"/>
      </patternFill>
    </fill>
    <fill>
      <patternFill patternType="solid">
        <fgColor theme="9" tint="0.39997558519241921"/>
        <bgColor rgb="FFE7E6E6"/>
      </patternFill>
    </fill>
    <fill>
      <patternFill patternType="solid">
        <fgColor theme="9" tint="0.39997558519241921"/>
        <bgColor rgb="FFDEEBF7"/>
      </patternFill>
    </fill>
    <fill>
      <patternFill patternType="solid">
        <fgColor theme="0" tint="-0.499984740745262"/>
        <bgColor rgb="FFFFC000"/>
      </patternFill>
    </fill>
    <fill>
      <patternFill patternType="solid">
        <fgColor theme="0" tint="-0.499984740745262"/>
        <bgColor indexed="64"/>
      </patternFill>
    </fill>
    <fill>
      <patternFill patternType="solid">
        <fgColor rgb="FF002060"/>
        <bgColor rgb="FFF2F2F2"/>
      </patternFill>
    </fill>
    <fill>
      <patternFill patternType="solid">
        <fgColor theme="0"/>
        <bgColor rgb="FF833C0C"/>
      </patternFill>
    </fill>
    <fill>
      <patternFill patternType="solid">
        <fgColor theme="0"/>
        <bgColor rgb="FF843C0B"/>
      </patternFill>
    </fill>
    <fill>
      <patternFill patternType="solid">
        <fgColor theme="0"/>
        <bgColor rgb="FFFFE699"/>
      </patternFill>
    </fill>
    <fill>
      <patternFill patternType="solid">
        <fgColor theme="0"/>
        <bgColor rgb="FF000000"/>
      </patternFill>
    </fill>
    <fill>
      <patternFill patternType="solid">
        <fgColor theme="0"/>
        <bgColor rgb="FF008080"/>
      </patternFill>
    </fill>
    <fill>
      <patternFill patternType="solid">
        <fgColor rgb="FFC00000"/>
        <bgColor rgb="FFA6A6A6"/>
      </patternFill>
    </fill>
    <fill>
      <patternFill patternType="solid">
        <fgColor rgb="FF00B050"/>
        <bgColor rgb="FFF2F2F2"/>
      </patternFill>
    </fill>
    <fill>
      <patternFill patternType="solid">
        <fgColor rgb="FF002060"/>
        <bgColor rgb="FF333F50"/>
      </patternFill>
    </fill>
    <fill>
      <patternFill patternType="solid">
        <fgColor theme="5"/>
        <bgColor indexed="64"/>
      </patternFill>
    </fill>
    <fill>
      <patternFill patternType="solid">
        <fgColor rgb="FFED7D31"/>
        <bgColor rgb="FF000000"/>
      </patternFill>
    </fill>
  </fills>
  <borders count="38">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style="medium">
        <color auto="1"/>
      </left>
      <right style="medium">
        <color auto="1"/>
      </right>
      <top style="medium">
        <color auto="1"/>
      </top>
      <bottom style="medium">
        <color auto="1"/>
      </bottom>
      <diagonal/>
    </border>
    <border>
      <left style="thin">
        <color auto="1"/>
      </left>
      <right/>
      <top style="thin">
        <color auto="1"/>
      </top>
      <bottom/>
      <diagonal/>
    </border>
    <border>
      <left style="medium">
        <color auto="1"/>
      </left>
      <right/>
      <top style="medium">
        <color auto="1"/>
      </top>
      <bottom style="medium">
        <color auto="1"/>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hair">
        <color auto="1"/>
      </left>
      <right style="hair">
        <color auto="1"/>
      </right>
      <top style="hair">
        <color auto="1"/>
      </top>
      <bottom style="hair">
        <color auto="1"/>
      </bottom>
      <diagonal/>
    </border>
    <border>
      <left style="thin">
        <color rgb="FF000000"/>
      </left>
      <right style="thin">
        <color rgb="FF000000"/>
      </right>
      <top style="thin">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7030A0"/>
      </left>
      <right style="thin">
        <color rgb="FF7030A0"/>
      </right>
      <top style="thin">
        <color rgb="FF7030A0"/>
      </top>
      <bottom style="thin">
        <color rgb="FF7030A0"/>
      </bottom>
      <diagonal/>
    </border>
    <border>
      <left style="thin">
        <color rgb="FF7030A0"/>
      </left>
      <right style="thin">
        <color rgb="FF7030A0"/>
      </right>
      <top/>
      <bottom style="thin">
        <color rgb="FF7030A0"/>
      </bottom>
      <diagonal/>
    </border>
    <border>
      <left style="thin">
        <color rgb="FF7030A0"/>
      </left>
      <right/>
      <top/>
      <bottom style="thin">
        <color rgb="FF7030A0"/>
      </bottom>
      <diagonal/>
    </border>
    <border>
      <left/>
      <right/>
      <top/>
      <bottom style="thin">
        <color rgb="FF7030A0"/>
      </bottom>
      <diagonal/>
    </border>
    <border>
      <left/>
      <right style="thin">
        <color rgb="FF7030A0"/>
      </right>
      <top/>
      <bottom style="thin">
        <color rgb="FF7030A0"/>
      </bottom>
      <diagonal/>
    </border>
  </borders>
  <cellStyleXfs count="28">
    <xf numFmtId="0" fontId="0" fillId="0" borderId="0"/>
    <xf numFmtId="0" fontId="4" fillId="0" borderId="0"/>
    <xf numFmtId="0" fontId="4" fillId="0" borderId="0"/>
    <xf numFmtId="0" fontId="4" fillId="0" borderId="0"/>
    <xf numFmtId="0" fontId="5" fillId="0" borderId="0"/>
    <xf numFmtId="0" fontId="5" fillId="0" borderId="0"/>
    <xf numFmtId="0" fontId="4" fillId="0" borderId="0"/>
    <xf numFmtId="0" fontId="5" fillId="0" borderId="0"/>
    <xf numFmtId="0" fontId="5" fillId="0" borderId="0"/>
    <xf numFmtId="0" fontId="6" fillId="0" borderId="0"/>
    <xf numFmtId="9" fontId="35" fillId="0" borderId="0" applyFont="0" applyFill="0" applyBorder="0" applyAlignment="0" applyProtection="0"/>
    <xf numFmtId="166" fontId="6" fillId="0" borderId="0"/>
    <xf numFmtId="43" fontId="35" fillId="0" borderId="0" applyFont="0" applyFill="0" applyBorder="0" applyAlignment="0" applyProtection="0"/>
    <xf numFmtId="0" fontId="37" fillId="0" borderId="0"/>
    <xf numFmtId="0" fontId="37" fillId="0" borderId="0"/>
    <xf numFmtId="0" fontId="3" fillId="0" borderId="0"/>
    <xf numFmtId="189" fontId="3" fillId="0" borderId="0" applyFont="0" applyFill="0" applyBorder="0" applyAlignment="0" applyProtection="0"/>
    <xf numFmtId="0" fontId="2" fillId="0" borderId="0"/>
    <xf numFmtId="189" fontId="2" fillId="0" borderId="0" applyFont="0" applyFill="0" applyBorder="0" applyAlignment="0" applyProtection="0"/>
    <xf numFmtId="0" fontId="58" fillId="0" borderId="0"/>
    <xf numFmtId="0" fontId="63" fillId="0" borderId="0"/>
    <xf numFmtId="0" fontId="1" fillId="0" borderId="0"/>
    <xf numFmtId="0" fontId="72" fillId="0" borderId="0"/>
    <xf numFmtId="0" fontId="73" fillId="0" borderId="0"/>
    <xf numFmtId="0" fontId="78" fillId="0" borderId="0"/>
    <xf numFmtId="0" fontId="79" fillId="0" borderId="0"/>
    <xf numFmtId="0" fontId="1" fillId="0" borderId="0"/>
    <xf numFmtId="189" fontId="1" fillId="0" borderId="0" applyFont="0" applyFill="0" applyBorder="0" applyAlignment="0" applyProtection="0"/>
  </cellStyleXfs>
  <cellXfs count="1498">
    <xf numFmtId="0" fontId="0" fillId="0" borderId="0" xfId="0"/>
    <xf numFmtId="0" fontId="7" fillId="0" borderId="0" xfId="0" applyFont="1"/>
    <xf numFmtId="0" fontId="7" fillId="0" borderId="0" xfId="0" applyFont="1" applyAlignment="1">
      <alignment horizontal="center"/>
    </xf>
    <xf numFmtId="0" fontId="0" fillId="0" borderId="0" xfId="0" applyAlignment="1">
      <alignment horizontal="center"/>
    </xf>
    <xf numFmtId="2" fontId="0" fillId="0" borderId="0" xfId="0" applyNumberFormat="1"/>
    <xf numFmtId="166" fontId="0" fillId="0" borderId="0" xfId="0" applyNumberFormat="1"/>
    <xf numFmtId="0" fontId="7" fillId="2" borderId="0" xfId="0" applyFont="1" applyFill="1" applyAlignment="1">
      <alignment horizontal="center" vertical="center"/>
    </xf>
    <xf numFmtId="0" fontId="7" fillId="2" borderId="0" xfId="0" applyFont="1" applyFill="1" applyAlignment="1">
      <alignment horizontal="center" vertical="center" wrapText="1"/>
    </xf>
    <xf numFmtId="0" fontId="8" fillId="3" borderId="1" xfId="0" applyFont="1" applyFill="1" applyBorder="1" applyAlignment="1">
      <alignment horizontal="center" vertical="center"/>
    </xf>
    <xf numFmtId="0" fontId="10" fillId="0" borderId="0" xfId="0" applyFont="1"/>
    <xf numFmtId="0" fontId="10" fillId="0" borderId="0" xfId="0" applyFont="1" applyAlignment="1">
      <alignment horizontal="center"/>
    </xf>
    <xf numFmtId="0" fontId="11" fillId="0" borderId="0" xfId="0" applyFont="1" applyAlignment="1">
      <alignment horizontal="center"/>
    </xf>
    <xf numFmtId="165" fontId="10" fillId="0" borderId="0" xfId="0" applyNumberFormat="1" applyFont="1"/>
    <xf numFmtId="165" fontId="11" fillId="0" borderId="0" xfId="0" applyNumberFormat="1" applyFont="1"/>
    <xf numFmtId="0" fontId="4" fillId="0" borderId="0" xfId="0" applyFont="1"/>
    <xf numFmtId="0" fontId="7" fillId="4" borderId="0" xfId="0" applyFont="1" applyFill="1"/>
    <xf numFmtId="0" fontId="7" fillId="4" borderId="0" xfId="0" applyFont="1" applyFill="1" applyAlignment="1">
      <alignment horizontal="center"/>
    </xf>
    <xf numFmtId="0" fontId="7" fillId="5" borderId="0" xfId="0" applyFont="1" applyFill="1"/>
    <xf numFmtId="0" fontId="7" fillId="5" borderId="0" xfId="0" applyFont="1" applyFill="1" applyAlignment="1">
      <alignment horizontal="center"/>
    </xf>
    <xf numFmtId="1" fontId="7" fillId="5" borderId="0" xfId="0" applyNumberFormat="1" applyFont="1" applyFill="1" applyAlignment="1">
      <alignment horizontal="center"/>
    </xf>
    <xf numFmtId="165" fontId="7" fillId="5" borderId="0" xfId="0" applyNumberFormat="1" applyFont="1" applyFill="1"/>
    <xf numFmtId="166" fontId="7" fillId="5" borderId="0" xfId="0" applyNumberFormat="1" applyFont="1" applyFill="1"/>
    <xf numFmtId="0" fontId="0" fillId="0" borderId="2" xfId="0" applyBorder="1" applyAlignment="1">
      <alignment vertical="center"/>
    </xf>
    <xf numFmtId="0" fontId="7" fillId="6" borderId="0" xfId="0" applyFont="1" applyFill="1"/>
    <xf numFmtId="0" fontId="7" fillId="6" borderId="0" xfId="0" applyFont="1" applyFill="1" applyAlignment="1">
      <alignment horizontal="center"/>
    </xf>
    <xf numFmtId="1" fontId="7" fillId="6" borderId="0" xfId="0" applyNumberFormat="1" applyFont="1" applyFill="1" applyAlignment="1">
      <alignment horizontal="center"/>
    </xf>
    <xf numFmtId="165" fontId="7" fillId="6" borderId="0" xfId="0" applyNumberFormat="1" applyFont="1" applyFill="1"/>
    <xf numFmtId="166" fontId="7" fillId="6" borderId="0" xfId="0" applyNumberFormat="1" applyFont="1" applyFill="1"/>
    <xf numFmtId="1" fontId="12" fillId="0" borderId="0" xfId="0" applyNumberFormat="1" applyFont="1" applyAlignment="1">
      <alignment horizontal="left" vertical="center" wrapText="1"/>
    </xf>
    <xf numFmtId="0" fontId="4" fillId="0" borderId="0" xfId="0" applyFont="1" applyAlignment="1">
      <alignment horizontal="left"/>
    </xf>
    <xf numFmtId="0" fontId="7" fillId="8" borderId="0" xfId="0" applyFont="1" applyFill="1"/>
    <xf numFmtId="0" fontId="7" fillId="8" borderId="0" xfId="0" applyFont="1" applyFill="1" applyAlignment="1">
      <alignment horizontal="center"/>
    </xf>
    <xf numFmtId="1" fontId="7" fillId="8" borderId="0" xfId="0" applyNumberFormat="1" applyFont="1" applyFill="1" applyAlignment="1">
      <alignment horizontal="center" vertical="center"/>
    </xf>
    <xf numFmtId="165" fontId="7" fillId="8" borderId="0" xfId="0" applyNumberFormat="1" applyFont="1" applyFill="1"/>
    <xf numFmtId="2" fontId="7" fillId="8" borderId="0" xfId="0" applyNumberFormat="1" applyFont="1" applyFill="1" applyAlignment="1">
      <alignment horizontal="center" vertical="center"/>
    </xf>
    <xf numFmtId="165" fontId="7" fillId="8" borderId="0" xfId="0" applyNumberFormat="1" applyFont="1" applyFill="1" applyAlignment="1">
      <alignment horizontal="center" vertical="center"/>
    </xf>
    <xf numFmtId="0" fontId="7" fillId="9" borderId="0" xfId="0" applyFont="1" applyFill="1"/>
    <xf numFmtId="0" fontId="7" fillId="9" borderId="0" xfId="0" applyFont="1" applyFill="1" applyAlignment="1">
      <alignment horizontal="center"/>
    </xf>
    <xf numFmtId="1" fontId="7" fillId="9" borderId="0" xfId="0" applyNumberFormat="1" applyFont="1" applyFill="1" applyAlignment="1">
      <alignment horizontal="center" vertical="center"/>
    </xf>
    <xf numFmtId="165" fontId="7" fillId="9" borderId="0" xfId="0" applyNumberFormat="1" applyFont="1" applyFill="1"/>
    <xf numFmtId="2" fontId="7" fillId="9" borderId="0" xfId="0" applyNumberFormat="1" applyFont="1" applyFill="1" applyAlignment="1">
      <alignment horizontal="center" vertical="center"/>
    </xf>
    <xf numFmtId="165" fontId="7" fillId="9" borderId="0" xfId="0" applyNumberFormat="1" applyFont="1" applyFill="1" applyAlignment="1">
      <alignment horizontal="center" vertical="center"/>
    </xf>
    <xf numFmtId="167" fontId="7" fillId="9" borderId="0" xfId="0" applyNumberFormat="1" applyFont="1" applyFill="1" applyAlignment="1">
      <alignment horizontal="center" vertical="center"/>
    </xf>
    <xf numFmtId="0" fontId="7" fillId="10" borderId="0" xfId="0" applyFont="1" applyFill="1"/>
    <xf numFmtId="0" fontId="7" fillId="10" borderId="0" xfId="0" applyFont="1" applyFill="1" applyAlignment="1">
      <alignment horizontal="center"/>
    </xf>
    <xf numFmtId="1" fontId="7" fillId="10" borderId="0" xfId="0" applyNumberFormat="1" applyFont="1" applyFill="1" applyAlignment="1">
      <alignment horizontal="center" vertical="center"/>
    </xf>
    <xf numFmtId="165" fontId="7" fillId="10" borderId="0" xfId="0" applyNumberFormat="1" applyFont="1" applyFill="1"/>
    <xf numFmtId="2" fontId="7" fillId="10" borderId="0" xfId="0" applyNumberFormat="1" applyFont="1" applyFill="1" applyAlignment="1">
      <alignment horizontal="center" vertical="center"/>
    </xf>
    <xf numFmtId="165" fontId="7" fillId="10" borderId="0" xfId="0" applyNumberFormat="1" applyFont="1" applyFill="1" applyAlignment="1">
      <alignment horizontal="center" vertical="center"/>
    </xf>
    <xf numFmtId="0" fontId="7" fillId="12" borderId="0" xfId="0" applyFont="1" applyFill="1"/>
    <xf numFmtId="0" fontId="7" fillId="12" borderId="0" xfId="0" applyFont="1" applyFill="1" applyAlignment="1">
      <alignment horizontal="center"/>
    </xf>
    <xf numFmtId="1" fontId="7" fillId="12" borderId="0" xfId="0" applyNumberFormat="1" applyFont="1" applyFill="1" applyAlignment="1">
      <alignment horizontal="center" vertical="center"/>
    </xf>
    <xf numFmtId="165" fontId="7" fillId="12" borderId="0" xfId="0" applyNumberFormat="1" applyFont="1" applyFill="1"/>
    <xf numFmtId="2" fontId="7" fillId="12" borderId="0" xfId="0" applyNumberFormat="1" applyFont="1" applyFill="1" applyAlignment="1">
      <alignment horizontal="center" vertical="center"/>
    </xf>
    <xf numFmtId="165" fontId="7" fillId="12" borderId="0" xfId="0" applyNumberFormat="1" applyFont="1" applyFill="1" applyAlignment="1">
      <alignment horizontal="center" vertical="center"/>
    </xf>
    <xf numFmtId="165" fontId="7" fillId="0" borderId="0" xfId="0" applyNumberFormat="1" applyFont="1" applyAlignment="1">
      <alignment horizontal="center" vertical="center"/>
    </xf>
    <xf numFmtId="0" fontId="7" fillId="13" borderId="0" xfId="0" applyFont="1" applyFill="1"/>
    <xf numFmtId="0" fontId="7" fillId="13" borderId="0" xfId="0" applyFont="1" applyFill="1" applyAlignment="1">
      <alignment horizontal="center"/>
    </xf>
    <xf numFmtId="1" fontId="7" fillId="13" borderId="0" xfId="0" applyNumberFormat="1" applyFont="1" applyFill="1" applyAlignment="1">
      <alignment horizontal="center" vertical="center"/>
    </xf>
    <xf numFmtId="165" fontId="7" fillId="13" borderId="0" xfId="0" applyNumberFormat="1" applyFont="1" applyFill="1"/>
    <xf numFmtId="165" fontId="7" fillId="13" borderId="0" xfId="0" applyNumberFormat="1" applyFont="1" applyFill="1" applyAlignment="1">
      <alignment horizontal="center" vertical="center"/>
    </xf>
    <xf numFmtId="166" fontId="7" fillId="13" borderId="0" xfId="0" applyNumberFormat="1" applyFont="1" applyFill="1" applyAlignment="1">
      <alignment horizontal="center" vertical="center"/>
    </xf>
    <xf numFmtId="0" fontId="14" fillId="2" borderId="0" xfId="0" applyFont="1" applyFill="1" applyAlignment="1">
      <alignment horizontal="center" vertical="center"/>
    </xf>
    <xf numFmtId="0" fontId="14" fillId="2" borderId="0" xfId="0" applyFont="1" applyFill="1" applyAlignment="1">
      <alignment horizontal="center" vertical="center" wrapText="1"/>
    </xf>
    <xf numFmtId="1" fontId="14" fillId="0" borderId="0" xfId="0" applyNumberFormat="1" applyFont="1" applyAlignment="1">
      <alignment horizontal="center"/>
    </xf>
    <xf numFmtId="0" fontId="14" fillId="0" borderId="0" xfId="0" applyFont="1" applyAlignment="1">
      <alignment horizontal="center"/>
    </xf>
    <xf numFmtId="1" fontId="14" fillId="0" borderId="0" xfId="0" applyNumberFormat="1" applyFont="1"/>
    <xf numFmtId="0" fontId="14" fillId="0" borderId="0" xfId="0" applyFont="1"/>
    <xf numFmtId="2" fontId="14" fillId="0" borderId="0" xfId="0" applyNumberFormat="1" applyFont="1"/>
    <xf numFmtId="0" fontId="14" fillId="9" borderId="0" xfId="0" applyFont="1" applyFill="1" applyAlignment="1">
      <alignment horizontal="center"/>
    </xf>
    <xf numFmtId="1" fontId="14" fillId="9" borderId="0" xfId="0" applyNumberFormat="1" applyFont="1" applyFill="1" applyAlignment="1">
      <alignment horizontal="center"/>
    </xf>
    <xf numFmtId="1" fontId="14" fillId="9" borderId="0" xfId="0" applyNumberFormat="1" applyFont="1" applyFill="1"/>
    <xf numFmtId="0" fontId="14" fillId="9" borderId="0" xfId="0" applyFont="1" applyFill="1"/>
    <xf numFmtId="2" fontId="14" fillId="9" borderId="0" xfId="0" applyNumberFormat="1" applyFont="1" applyFill="1"/>
    <xf numFmtId="0" fontId="14" fillId="4" borderId="0" xfId="0" applyFont="1" applyFill="1"/>
    <xf numFmtId="0" fontId="14" fillId="4" borderId="0" xfId="0" applyFont="1" applyFill="1" applyAlignment="1">
      <alignment horizontal="center"/>
    </xf>
    <xf numFmtId="1" fontId="14" fillId="4" borderId="0" xfId="0" applyNumberFormat="1" applyFont="1" applyFill="1" applyAlignment="1">
      <alignment horizontal="center"/>
    </xf>
    <xf numFmtId="1" fontId="14" fillId="4" borderId="0" xfId="0" applyNumberFormat="1" applyFont="1" applyFill="1"/>
    <xf numFmtId="2" fontId="14" fillId="4" borderId="0" xfId="0" applyNumberFormat="1" applyFont="1" applyFill="1"/>
    <xf numFmtId="0" fontId="17" fillId="0" borderId="0" xfId="0" applyFont="1"/>
    <xf numFmtId="0" fontId="12" fillId="15" borderId="1" xfId="0" applyFont="1" applyFill="1" applyBorder="1" applyAlignment="1">
      <alignment horizontal="center" vertical="center" wrapText="1"/>
    </xf>
    <xf numFmtId="0" fontId="12" fillId="0" borderId="1" xfId="0" applyFont="1" applyBorder="1" applyAlignment="1">
      <alignment horizontal="center" vertical="center" wrapText="1"/>
    </xf>
    <xf numFmtId="0" fontId="4" fillId="15" borderId="1" xfId="0" applyFont="1" applyFill="1" applyBorder="1" applyAlignment="1">
      <alignment horizontal="center" vertical="center"/>
    </xf>
    <xf numFmtId="165" fontId="12" fillId="16" borderId="1" xfId="0" applyNumberFormat="1" applyFont="1" applyFill="1" applyBorder="1" applyAlignment="1">
      <alignment horizontal="center" vertical="center" wrapText="1"/>
    </xf>
    <xf numFmtId="166" fontId="4" fillId="0" borderId="0" xfId="0" applyNumberFormat="1" applyFont="1" applyAlignment="1">
      <alignment horizontal="center" vertical="center"/>
    </xf>
    <xf numFmtId="166" fontId="12" fillId="0" borderId="1" xfId="0" applyNumberFormat="1" applyFont="1" applyBorder="1" applyAlignment="1">
      <alignment horizontal="center" vertical="center" wrapText="1"/>
    </xf>
    <xf numFmtId="0" fontId="12" fillId="14" borderId="3" xfId="0" applyFont="1" applyFill="1" applyBorder="1" applyAlignment="1">
      <alignment horizontal="center" vertical="center" wrapText="1"/>
    </xf>
    <xf numFmtId="166" fontId="18" fillId="17" borderId="1" xfId="0" applyNumberFormat="1" applyFont="1" applyFill="1" applyBorder="1" applyAlignment="1">
      <alignment horizontal="center" vertical="center" wrapText="1"/>
    </xf>
    <xf numFmtId="166" fontId="12" fillId="0" borderId="0" xfId="0" applyNumberFormat="1" applyFont="1" applyAlignment="1">
      <alignment vertical="center" wrapText="1"/>
    </xf>
    <xf numFmtId="0" fontId="19" fillId="15" borderId="3" xfId="0" applyFont="1" applyFill="1" applyBorder="1" applyAlignment="1">
      <alignment horizontal="center" vertical="center" wrapText="1"/>
    </xf>
    <xf numFmtId="165" fontId="12" fillId="0" borderId="1" xfId="0" applyNumberFormat="1" applyFont="1" applyBorder="1" applyAlignment="1">
      <alignment wrapText="1"/>
    </xf>
    <xf numFmtId="0" fontId="19" fillId="15" borderId="1" xfId="0" applyFont="1" applyFill="1" applyBorder="1" applyAlignment="1">
      <alignment horizontal="center" vertical="center" wrapText="1"/>
    </xf>
    <xf numFmtId="0" fontId="12" fillId="0" borderId="0" xfId="0" applyFont="1" applyAlignment="1">
      <alignment horizontal="center" vertical="center" wrapText="1"/>
    </xf>
    <xf numFmtId="0" fontId="19" fillId="14" borderId="1" xfId="0" applyFont="1" applyFill="1" applyBorder="1" applyAlignment="1">
      <alignment horizontal="center" vertical="center" wrapText="1"/>
    </xf>
    <xf numFmtId="0" fontId="20" fillId="18" borderId="0" xfId="0" applyFont="1" applyFill="1" applyAlignment="1">
      <alignment horizontal="center" vertical="center" wrapText="1"/>
    </xf>
    <xf numFmtId="165" fontId="12" fillId="19" borderId="0" xfId="0" applyNumberFormat="1" applyFont="1" applyFill="1" applyAlignment="1">
      <alignment horizontal="center" vertical="center" wrapText="1"/>
    </xf>
    <xf numFmtId="166" fontId="19" fillId="19" borderId="0" xfId="0" applyNumberFormat="1" applyFont="1" applyFill="1" applyAlignment="1">
      <alignment horizontal="center" vertical="center" wrapText="1"/>
    </xf>
    <xf numFmtId="0" fontId="17" fillId="20" borderId="0" xfId="0" applyFont="1" applyFill="1"/>
    <xf numFmtId="0" fontId="21" fillId="20" borderId="0" xfId="0" applyFont="1" applyFill="1" applyAlignment="1">
      <alignment horizontal="center" vertical="center" wrapText="1"/>
    </xf>
    <xf numFmtId="0" fontId="21" fillId="0" borderId="0" xfId="0" applyFont="1" applyAlignment="1">
      <alignment horizontal="center" vertical="center" wrapText="1"/>
    </xf>
    <xf numFmtId="0" fontId="12" fillId="0" borderId="0" xfId="0" applyFont="1" applyAlignment="1">
      <alignment wrapText="1"/>
    </xf>
    <xf numFmtId="0" fontId="21" fillId="18" borderId="0" xfId="0" applyFont="1" applyFill="1" applyAlignment="1">
      <alignment horizontal="center" vertical="center" wrapText="1"/>
    </xf>
    <xf numFmtId="0" fontId="21" fillId="18" borderId="0" xfId="0" applyFont="1" applyFill="1" applyAlignment="1">
      <alignment vertical="center" wrapText="1"/>
    </xf>
    <xf numFmtId="0" fontId="21" fillId="20" borderId="5" xfId="0" applyFont="1" applyFill="1" applyBorder="1" applyAlignment="1">
      <alignment horizontal="center" vertical="center" wrapText="1"/>
    </xf>
    <xf numFmtId="0" fontId="21" fillId="18" borderId="5" xfId="0" applyFont="1" applyFill="1" applyBorder="1" applyAlignment="1">
      <alignment horizontal="center" vertical="center" wrapText="1"/>
    </xf>
    <xf numFmtId="0" fontId="21" fillId="18" borderId="5" xfId="0" applyFont="1" applyFill="1" applyBorder="1" applyAlignment="1">
      <alignment vertical="center" wrapText="1"/>
    </xf>
    <xf numFmtId="0" fontId="19" fillId="15" borderId="6" xfId="0" applyFont="1" applyFill="1" applyBorder="1" applyAlignment="1">
      <alignment horizontal="center" vertical="center" wrapText="1"/>
    </xf>
    <xf numFmtId="0" fontId="22" fillId="15" borderId="1" xfId="0" applyFont="1" applyFill="1" applyBorder="1" applyAlignment="1">
      <alignment horizontal="center" vertical="center"/>
    </xf>
    <xf numFmtId="0" fontId="19" fillId="21" borderId="1" xfId="0" applyFont="1" applyFill="1" applyBorder="1" applyAlignment="1">
      <alignment horizontal="center" vertical="center" wrapText="1"/>
    </xf>
    <xf numFmtId="0" fontId="22" fillId="21" borderId="1" xfId="0" applyFont="1" applyFill="1" applyBorder="1" applyAlignment="1">
      <alignment horizontal="center" vertical="center" wrapText="1"/>
    </xf>
    <xf numFmtId="0" fontId="20" fillId="18" borderId="1" xfId="0" applyFont="1" applyFill="1" applyBorder="1" applyAlignment="1">
      <alignment horizontal="center" vertical="center" wrapText="1"/>
    </xf>
    <xf numFmtId="0" fontId="20" fillId="18" borderId="1" xfId="0" applyFont="1" applyFill="1" applyBorder="1" applyAlignment="1">
      <alignment horizontal="center" vertical="center"/>
    </xf>
    <xf numFmtId="0" fontId="20" fillId="18" borderId="3" xfId="0" applyFont="1" applyFill="1" applyBorder="1" applyAlignment="1">
      <alignment horizontal="center" vertical="center" wrapText="1"/>
    </xf>
    <xf numFmtId="0" fontId="22" fillId="0" borderId="6" xfId="0" applyFont="1" applyBorder="1" applyAlignment="1">
      <alignment horizontal="center" vertical="center" wrapText="1"/>
    </xf>
    <xf numFmtId="0" fontId="12" fillId="22" borderId="2" xfId="0" applyFont="1" applyFill="1" applyBorder="1" applyAlignment="1">
      <alignment horizontal="center" vertical="center" wrapText="1"/>
    </xf>
    <xf numFmtId="0" fontId="4" fillId="0" borderId="1" xfId="0" applyFont="1" applyBorder="1" applyAlignment="1">
      <alignment horizontal="center" vertical="center"/>
    </xf>
    <xf numFmtId="1" fontId="12" fillId="0" borderId="1" xfId="0" applyNumberFormat="1" applyFont="1" applyBorder="1" applyAlignment="1">
      <alignment horizontal="center" vertical="center"/>
    </xf>
    <xf numFmtId="165" fontId="12" fillId="0" borderId="1" xfId="0" applyNumberFormat="1" applyFont="1" applyBorder="1" applyAlignment="1">
      <alignment horizontal="center" vertical="center" wrapText="1"/>
    </xf>
    <xf numFmtId="9" fontId="12" fillId="0" borderId="1" xfId="0" applyNumberFormat="1" applyFont="1" applyBorder="1" applyAlignment="1">
      <alignment horizontal="center" vertical="center" wrapText="1"/>
    </xf>
    <xf numFmtId="1" fontId="12" fillId="0" borderId="1" xfId="0" applyNumberFormat="1" applyFont="1" applyBorder="1" applyAlignment="1">
      <alignment horizontal="center" vertical="center" wrapText="1"/>
    </xf>
    <xf numFmtId="1" fontId="0" fillId="0" borderId="1" xfId="0" applyNumberFormat="1" applyBorder="1" applyAlignment="1">
      <alignment horizontal="center" vertical="center"/>
    </xf>
    <xf numFmtId="168" fontId="12" fillId="0" borderId="1" xfId="0" applyNumberFormat="1" applyFont="1" applyBorder="1" applyAlignment="1">
      <alignment horizontal="center" vertical="center" wrapText="1"/>
    </xf>
    <xf numFmtId="169" fontId="12" fillId="0" borderId="1" xfId="0" applyNumberFormat="1" applyFont="1" applyBorder="1" applyAlignment="1">
      <alignment wrapText="1"/>
    </xf>
    <xf numFmtId="0" fontId="12" fillId="22" borderId="1" xfId="0" applyFont="1" applyFill="1" applyBorder="1" applyAlignment="1">
      <alignment horizontal="center" vertical="center" wrapText="1"/>
    </xf>
    <xf numFmtId="0" fontId="0" fillId="0" borderId="1" xfId="0" applyBorder="1" applyAlignment="1">
      <alignment horizontal="center" vertical="center"/>
    </xf>
    <xf numFmtId="0" fontId="12" fillId="0" borderId="1" xfId="0" applyFont="1" applyBorder="1" applyAlignment="1">
      <alignment horizontal="center" vertical="center"/>
    </xf>
    <xf numFmtId="166" fontId="12" fillId="0" borderId="1" xfId="0" applyNumberFormat="1" applyFont="1" applyBorder="1" applyAlignment="1">
      <alignment horizontal="center" vertical="center"/>
    </xf>
    <xf numFmtId="9" fontId="0" fillId="0" borderId="1" xfId="0" applyNumberFormat="1" applyBorder="1" applyAlignment="1">
      <alignment horizontal="center" vertical="center"/>
    </xf>
    <xf numFmtId="0" fontId="17" fillId="0" borderId="1" xfId="0" applyFont="1" applyBorder="1"/>
    <xf numFmtId="0" fontId="19" fillId="23" borderId="0" xfId="0" applyFont="1" applyFill="1"/>
    <xf numFmtId="0" fontId="12" fillId="0" borderId="1" xfId="0" applyFont="1" applyBorder="1" applyAlignment="1">
      <alignment horizontal="center"/>
    </xf>
    <xf numFmtId="169" fontId="12" fillId="0" borderId="0" xfId="0" applyNumberFormat="1" applyFont="1" applyAlignment="1">
      <alignment wrapText="1"/>
    </xf>
    <xf numFmtId="0" fontId="12" fillId="22" borderId="0" xfId="0" applyFont="1" applyFill="1" applyAlignment="1">
      <alignment horizontal="center" vertical="center" wrapText="1"/>
    </xf>
    <xf numFmtId="0" fontId="0" fillId="0" borderId="0" xfId="0" applyAlignment="1">
      <alignment horizontal="center" vertical="center"/>
    </xf>
    <xf numFmtId="0" fontId="12" fillId="0" borderId="0" xfId="0" applyFont="1" applyAlignment="1">
      <alignment horizontal="center"/>
    </xf>
    <xf numFmtId="166" fontId="12" fillId="0" borderId="0" xfId="0" applyNumberFormat="1" applyFont="1" applyAlignment="1">
      <alignment horizontal="center" vertical="center"/>
    </xf>
    <xf numFmtId="9" fontId="0" fillId="0" borderId="0" xfId="0" applyNumberFormat="1" applyAlignment="1">
      <alignment horizontal="center" vertical="center"/>
    </xf>
    <xf numFmtId="1" fontId="12" fillId="0" borderId="0" xfId="0" applyNumberFormat="1" applyFont="1" applyAlignment="1">
      <alignment horizontal="center" vertical="center" wrapText="1"/>
    </xf>
    <xf numFmtId="1" fontId="0" fillId="0" borderId="0" xfId="0" applyNumberFormat="1" applyAlignment="1">
      <alignment horizontal="center" vertical="center"/>
    </xf>
    <xf numFmtId="0" fontId="4" fillId="0" borderId="0" xfId="0" applyFont="1" applyAlignment="1">
      <alignment vertical="center"/>
    </xf>
    <xf numFmtId="168" fontId="12" fillId="0" borderId="0" xfId="0" applyNumberFormat="1" applyFont="1" applyAlignment="1">
      <alignment horizontal="center" vertical="center" wrapText="1"/>
    </xf>
    <xf numFmtId="0" fontId="22" fillId="25" borderId="0" xfId="0" applyFont="1" applyFill="1"/>
    <xf numFmtId="0" fontId="22" fillId="16" borderId="0" xfId="0" applyFont="1" applyFill="1"/>
    <xf numFmtId="170" fontId="22" fillId="16" borderId="0" xfId="0" applyNumberFormat="1" applyFont="1" applyFill="1"/>
    <xf numFmtId="0" fontId="11" fillId="26" borderId="3" xfId="0" applyFont="1" applyFill="1" applyBorder="1" applyAlignment="1">
      <alignment horizontal="center"/>
    </xf>
    <xf numFmtId="0" fontId="11" fillId="26" borderId="1" xfId="0" applyFont="1" applyFill="1" applyBorder="1"/>
    <xf numFmtId="0" fontId="11" fillId="26" borderId="6" xfId="0" applyFont="1" applyFill="1" applyBorder="1"/>
    <xf numFmtId="0" fontId="22" fillId="25" borderId="1" xfId="0" applyFont="1" applyFill="1" applyBorder="1"/>
    <xf numFmtId="0" fontId="11" fillId="26" borderId="3" xfId="0" applyFont="1" applyFill="1" applyBorder="1"/>
    <xf numFmtId="165" fontId="0" fillId="0" borderId="7" xfId="0" applyNumberFormat="1" applyBorder="1"/>
    <xf numFmtId="165" fontId="0" fillId="16" borderId="7" xfId="0" applyNumberFormat="1" applyFill="1" applyBorder="1"/>
    <xf numFmtId="0" fontId="4" fillId="25" borderId="0" xfId="0" applyFont="1" applyFill="1"/>
    <xf numFmtId="170" fontId="22" fillId="16" borderId="1" xfId="0" applyNumberFormat="1" applyFont="1" applyFill="1" applyBorder="1"/>
    <xf numFmtId="0" fontId="22" fillId="16" borderId="1" xfId="0" applyFont="1" applyFill="1" applyBorder="1"/>
    <xf numFmtId="170" fontId="22" fillId="0" borderId="1" xfId="0" applyNumberFormat="1" applyFont="1" applyBorder="1"/>
    <xf numFmtId="0" fontId="0" fillId="0" borderId="7" xfId="0" applyBorder="1"/>
    <xf numFmtId="9" fontId="22" fillId="0" borderId="1" xfId="0" applyNumberFormat="1" applyFont="1" applyBorder="1"/>
    <xf numFmtId="171" fontId="22" fillId="0" borderId="1" xfId="0" applyNumberFormat="1" applyFont="1" applyBorder="1"/>
    <xf numFmtId="0" fontId="22" fillId="0" borderId="1" xfId="0" applyFont="1" applyBorder="1"/>
    <xf numFmtId="0" fontId="22" fillId="9" borderId="1" xfId="0" applyFont="1" applyFill="1" applyBorder="1"/>
    <xf numFmtId="0" fontId="11" fillId="26" borderId="8" xfId="0" applyFont="1" applyFill="1" applyBorder="1"/>
    <xf numFmtId="0" fontId="7" fillId="23" borderId="9" xfId="0" applyFont="1" applyFill="1" applyBorder="1"/>
    <xf numFmtId="0" fontId="11" fillId="26" borderId="10" xfId="0" applyFont="1" applyFill="1" applyBorder="1"/>
    <xf numFmtId="0" fontId="20" fillId="27" borderId="0" xfId="0" applyFont="1" applyFill="1"/>
    <xf numFmtId="169" fontId="22" fillId="0" borderId="7" xfId="0" applyNumberFormat="1" applyFont="1" applyBorder="1"/>
    <xf numFmtId="0" fontId="20" fillId="28" borderId="1" xfId="0" applyFont="1" applyFill="1" applyBorder="1" applyAlignment="1">
      <alignment wrapText="1"/>
    </xf>
    <xf numFmtId="10" fontId="4" fillId="16" borderId="0" xfId="0" applyNumberFormat="1" applyFont="1" applyFill="1"/>
    <xf numFmtId="172" fontId="4" fillId="16" borderId="0" xfId="0" applyNumberFormat="1" applyFont="1" applyFill="1"/>
    <xf numFmtId="10" fontId="4" fillId="0" borderId="1" xfId="0" applyNumberFormat="1" applyFont="1" applyBorder="1"/>
    <xf numFmtId="173" fontId="4" fillId="0" borderId="0" xfId="0" applyNumberFormat="1" applyFont="1"/>
    <xf numFmtId="0" fontId="20" fillId="28" borderId="1" xfId="0" applyFont="1" applyFill="1" applyBorder="1"/>
    <xf numFmtId="0" fontId="12" fillId="0" borderId="0" xfId="0" applyFont="1"/>
    <xf numFmtId="0" fontId="4" fillId="16" borderId="1" xfId="0" applyFont="1" applyFill="1" applyBorder="1"/>
    <xf numFmtId="166" fontId="4" fillId="16" borderId="1" xfId="0" applyNumberFormat="1" applyFont="1" applyFill="1" applyBorder="1"/>
    <xf numFmtId="174" fontId="0" fillId="16" borderId="1" xfId="0" applyNumberFormat="1" applyFill="1" applyBorder="1"/>
    <xf numFmtId="168" fontId="4" fillId="0" borderId="1" xfId="0" applyNumberFormat="1" applyFont="1" applyBorder="1"/>
    <xf numFmtId="169" fontId="4" fillId="0" borderId="1" xfId="0" applyNumberFormat="1" applyFont="1" applyBorder="1"/>
    <xf numFmtId="169" fontId="23" fillId="0" borderId="1" xfId="0" applyNumberFormat="1" applyFont="1" applyBorder="1"/>
    <xf numFmtId="0" fontId="11" fillId="26" borderId="11" xfId="0" applyFont="1" applyFill="1" applyBorder="1"/>
    <xf numFmtId="0" fontId="11" fillId="0" borderId="0" xfId="0" applyFont="1"/>
    <xf numFmtId="0" fontId="11" fillId="29" borderId="3" xfId="0" applyFont="1" applyFill="1" applyBorder="1"/>
    <xf numFmtId="169" fontId="18" fillId="29" borderId="1" xfId="0" applyNumberFormat="1" applyFont="1" applyFill="1" applyBorder="1"/>
    <xf numFmtId="0" fontId="18" fillId="29" borderId="1" xfId="0" applyFont="1" applyFill="1" applyBorder="1"/>
    <xf numFmtId="0" fontId="24" fillId="0" borderId="0" xfId="0" applyFont="1" applyAlignment="1">
      <alignment wrapText="1"/>
    </xf>
    <xf numFmtId="175" fontId="4" fillId="0" borderId="1" xfId="0" applyNumberFormat="1" applyFont="1" applyBorder="1"/>
    <xf numFmtId="165" fontId="4" fillId="0" borderId="1" xfId="0" applyNumberFormat="1" applyFont="1" applyBorder="1"/>
    <xf numFmtId="175" fontId="4" fillId="16" borderId="1" xfId="0" applyNumberFormat="1" applyFont="1" applyFill="1" applyBorder="1"/>
    <xf numFmtId="169" fontId="4" fillId="16" borderId="1" xfId="0" applyNumberFormat="1" applyFont="1" applyFill="1" applyBorder="1" applyAlignment="1">
      <alignment horizontal="center" vertical="center"/>
    </xf>
    <xf numFmtId="0" fontId="19" fillId="15" borderId="11" xfId="0" applyFont="1" applyFill="1" applyBorder="1" applyAlignment="1">
      <alignment horizontal="center" vertical="center" wrapText="1"/>
    </xf>
    <xf numFmtId="0" fontId="22" fillId="15" borderId="11" xfId="0" applyFont="1" applyFill="1" applyBorder="1" applyAlignment="1">
      <alignment horizontal="center" vertical="center"/>
    </xf>
    <xf numFmtId="0" fontId="19" fillId="21" borderId="11" xfId="0" applyFont="1" applyFill="1" applyBorder="1" applyAlignment="1">
      <alignment horizontal="center" vertical="center" wrapText="1"/>
    </xf>
    <xf numFmtId="0" fontId="22" fillId="21" borderId="11" xfId="0" applyFont="1" applyFill="1" applyBorder="1" applyAlignment="1">
      <alignment horizontal="center" vertical="center" wrapText="1"/>
    </xf>
    <xf numFmtId="0" fontId="19" fillId="0" borderId="6" xfId="0" applyFont="1" applyBorder="1" applyAlignment="1">
      <alignment horizontal="center" vertical="center" wrapText="1"/>
    </xf>
    <xf numFmtId="0" fontId="12" fillId="0" borderId="11" xfId="0" applyFont="1" applyBorder="1" applyAlignment="1">
      <alignment horizontal="center" vertical="center" wrapText="1"/>
    </xf>
    <xf numFmtId="0" fontId="4" fillId="0" borderId="11" xfId="0" applyFont="1" applyBorder="1" applyAlignment="1">
      <alignment horizontal="center" vertical="center"/>
    </xf>
    <xf numFmtId="2" fontId="4" fillId="0" borderId="11" xfId="0" applyNumberFormat="1" applyFont="1" applyBorder="1" applyAlignment="1">
      <alignment horizontal="center" vertical="center"/>
    </xf>
    <xf numFmtId="1" fontId="4" fillId="0" borderId="11" xfId="0" applyNumberFormat="1" applyFont="1" applyBorder="1" applyAlignment="1">
      <alignment horizontal="center" vertical="center"/>
    </xf>
    <xf numFmtId="2" fontId="12" fillId="0" borderId="1" xfId="0" applyNumberFormat="1" applyFont="1" applyBorder="1" applyAlignment="1">
      <alignment horizontal="center" vertical="center"/>
    </xf>
    <xf numFmtId="0" fontId="21" fillId="31" borderId="0" xfId="0" applyFont="1" applyFill="1" applyAlignment="1">
      <alignment horizontal="center" vertical="center"/>
    </xf>
    <xf numFmtId="176" fontId="26" fillId="32" borderId="0" xfId="0" applyNumberFormat="1" applyFont="1" applyFill="1"/>
    <xf numFmtId="0" fontId="27" fillId="31" borderId="0" xfId="0" applyFont="1" applyFill="1" applyAlignment="1">
      <alignment horizontal="center" vertical="center"/>
    </xf>
    <xf numFmtId="177" fontId="26" fillId="32" borderId="0" xfId="0" applyNumberFormat="1" applyFont="1" applyFill="1"/>
    <xf numFmtId="169" fontId="26" fillId="32" borderId="0" xfId="0" applyNumberFormat="1" applyFont="1" applyFill="1"/>
    <xf numFmtId="0" fontId="26" fillId="0" borderId="0" xfId="0" applyFont="1"/>
    <xf numFmtId="0" fontId="21" fillId="0" borderId="0" xfId="0" applyFont="1" applyAlignment="1">
      <alignment horizontal="center" vertical="center"/>
    </xf>
    <xf numFmtId="2" fontId="4" fillId="0" borderId="1" xfId="0" applyNumberFormat="1" applyFont="1" applyBorder="1" applyAlignment="1">
      <alignment horizontal="center" vertical="center"/>
    </xf>
    <xf numFmtId="168" fontId="4" fillId="0" borderId="1" xfId="0" applyNumberFormat="1" applyFont="1" applyBorder="1" applyAlignment="1">
      <alignment horizontal="center" vertical="center"/>
    </xf>
    <xf numFmtId="1" fontId="4" fillId="0" borderId="1" xfId="0" applyNumberFormat="1" applyFont="1" applyBorder="1" applyAlignment="1">
      <alignment horizontal="center" vertical="center"/>
    </xf>
    <xf numFmtId="0" fontId="11" fillId="0" borderId="0" xfId="0" applyFont="1" applyAlignment="1">
      <alignment horizontal="center" vertical="center"/>
    </xf>
    <xf numFmtId="1" fontId="0" fillId="0" borderId="0" xfId="0" applyNumberFormat="1"/>
    <xf numFmtId="169" fontId="4" fillId="0" borderId="1" xfId="0" applyNumberFormat="1" applyFont="1" applyBorder="1" applyAlignment="1">
      <alignment horizontal="center" vertical="center"/>
    </xf>
    <xf numFmtId="0" fontId="17" fillId="0" borderId="0" xfId="0" applyFont="1" applyAlignment="1">
      <alignment horizontal="center"/>
    </xf>
    <xf numFmtId="0" fontId="4" fillId="0" borderId="0" xfId="0" applyFont="1" applyAlignment="1">
      <alignment horizontal="center"/>
    </xf>
    <xf numFmtId="178" fontId="12" fillId="0" borderId="1" xfId="0" applyNumberFormat="1" applyFont="1" applyBorder="1" applyAlignment="1">
      <alignment horizontal="center" vertical="center" wrapText="1"/>
    </xf>
    <xf numFmtId="0" fontId="12" fillId="0" borderId="0" xfId="0" applyFont="1" applyAlignment="1">
      <alignment horizontal="center" wrapText="1"/>
    </xf>
    <xf numFmtId="0" fontId="19" fillId="15" borderId="8" xfId="0" applyFont="1" applyFill="1" applyBorder="1" applyAlignment="1">
      <alignment horizontal="center" vertical="center" wrapText="1"/>
    </xf>
    <xf numFmtId="165" fontId="12" fillId="0" borderId="6" xfId="0" applyNumberFormat="1" applyFont="1" applyBorder="1" applyAlignment="1">
      <alignment wrapText="1"/>
    </xf>
    <xf numFmtId="0" fontId="17" fillId="20" borderId="0" xfId="0" applyFont="1" applyFill="1" applyAlignment="1">
      <alignment horizontal="center"/>
    </xf>
    <xf numFmtId="0" fontId="22" fillId="21" borderId="12" xfId="0" applyFont="1" applyFill="1" applyBorder="1" applyAlignment="1">
      <alignment horizontal="center" vertical="center" wrapText="1"/>
    </xf>
    <xf numFmtId="0" fontId="19" fillId="0" borderId="1" xfId="0" applyFont="1" applyBorder="1" applyAlignment="1">
      <alignment horizontal="center" vertical="center" wrapText="1"/>
    </xf>
    <xf numFmtId="0" fontId="0" fillId="0" borderId="2" xfId="0" applyBorder="1" applyAlignment="1">
      <alignment horizontal="left" vertical="center"/>
    </xf>
    <xf numFmtId="0" fontId="17" fillId="0" borderId="1" xfId="0" applyFont="1" applyBorder="1" applyAlignment="1">
      <alignment horizontal="center"/>
    </xf>
    <xf numFmtId="0" fontId="0" fillId="0" borderId="2" xfId="0" applyBorder="1"/>
    <xf numFmtId="168" fontId="12" fillId="0" borderId="1" xfId="0" applyNumberFormat="1" applyFont="1" applyBorder="1" applyAlignment="1">
      <alignment horizontal="center" vertical="center"/>
    </xf>
    <xf numFmtId="0" fontId="0" fillId="0" borderId="1" xfId="0" applyBorder="1" applyAlignment="1">
      <alignment horizontal="center"/>
    </xf>
    <xf numFmtId="168" fontId="12" fillId="0" borderId="0" xfId="0" applyNumberFormat="1" applyFont="1" applyAlignment="1">
      <alignment horizontal="center" vertical="center"/>
    </xf>
    <xf numFmtId="0" fontId="11" fillId="26" borderId="11" xfId="0" applyFont="1" applyFill="1" applyBorder="1" applyAlignment="1">
      <alignment horizontal="center"/>
    </xf>
    <xf numFmtId="0" fontId="11" fillId="26" borderId="13" xfId="0" applyFont="1" applyFill="1" applyBorder="1" applyAlignment="1">
      <alignment horizontal="center"/>
    </xf>
    <xf numFmtId="165" fontId="0" fillId="0" borderId="7" xfId="0" applyNumberFormat="1" applyBorder="1" applyAlignment="1">
      <alignment horizontal="center"/>
    </xf>
    <xf numFmtId="0" fontId="24" fillId="0" borderId="0" xfId="0" applyFont="1" applyAlignment="1">
      <alignment horizontal="center" wrapText="1"/>
    </xf>
    <xf numFmtId="0" fontId="0" fillId="0" borderId="7" xfId="0" applyBorder="1" applyAlignment="1">
      <alignment horizontal="center"/>
    </xf>
    <xf numFmtId="0" fontId="11" fillId="26" borderId="1" xfId="0" applyFont="1" applyFill="1" applyBorder="1" applyAlignment="1">
      <alignment horizontal="center"/>
    </xf>
    <xf numFmtId="175" fontId="4" fillId="0" borderId="1" xfId="0" applyNumberFormat="1" applyFont="1" applyBorder="1" applyAlignment="1">
      <alignment horizontal="center"/>
    </xf>
    <xf numFmtId="165" fontId="4" fillId="0" borderId="1" xfId="0" applyNumberFormat="1" applyFont="1" applyBorder="1" applyAlignment="1">
      <alignment horizontal="center"/>
    </xf>
    <xf numFmtId="175" fontId="4" fillId="16" borderId="1" xfId="0" applyNumberFormat="1" applyFont="1" applyFill="1" applyBorder="1" applyAlignment="1">
      <alignment horizontal="center"/>
    </xf>
    <xf numFmtId="166" fontId="4" fillId="0" borderId="1" xfId="0" applyNumberFormat="1" applyFont="1" applyBorder="1" applyAlignment="1">
      <alignment horizontal="center"/>
    </xf>
    <xf numFmtId="0" fontId="11" fillId="26" borderId="8" xfId="0" applyFont="1" applyFill="1" applyBorder="1" applyAlignment="1">
      <alignment horizontal="center"/>
    </xf>
    <xf numFmtId="0" fontId="7" fillId="23" borderId="9" xfId="0" applyFont="1" applyFill="1" applyBorder="1" applyAlignment="1">
      <alignment horizontal="center"/>
    </xf>
    <xf numFmtId="0" fontId="11" fillId="26" borderId="10" xfId="0" applyFont="1" applyFill="1" applyBorder="1" applyAlignment="1">
      <alignment horizontal="center"/>
    </xf>
    <xf numFmtId="10" fontId="0" fillId="16" borderId="1" xfId="0" applyNumberFormat="1" applyFill="1" applyBorder="1"/>
    <xf numFmtId="3" fontId="4" fillId="16" borderId="1" xfId="0" applyNumberFormat="1" applyFont="1" applyFill="1" applyBorder="1"/>
    <xf numFmtId="9" fontId="0" fillId="16" borderId="1" xfId="0" applyNumberFormat="1" applyFill="1" applyBorder="1"/>
    <xf numFmtId="179" fontId="4" fillId="0" borderId="1" xfId="0" applyNumberFormat="1" applyFont="1" applyBorder="1"/>
    <xf numFmtId="0" fontId="22" fillId="15" borderId="11" xfId="0" applyFont="1" applyFill="1" applyBorder="1" applyAlignment="1">
      <alignment horizontal="center" vertical="center" wrapText="1"/>
    </xf>
    <xf numFmtId="0" fontId="22" fillId="15" borderId="12" xfId="0" applyFont="1" applyFill="1" applyBorder="1" applyAlignment="1">
      <alignment horizontal="center" vertical="center"/>
    </xf>
    <xf numFmtId="0" fontId="22" fillId="15" borderId="12" xfId="0" applyFont="1" applyFill="1" applyBorder="1" applyAlignment="1">
      <alignment horizontal="center" vertical="center" wrapText="1"/>
    </xf>
    <xf numFmtId="0" fontId="19" fillId="15" borderId="13" xfId="0" applyFont="1" applyFill="1" applyBorder="1" applyAlignment="1">
      <alignment horizontal="center" vertical="center" wrapText="1"/>
    </xf>
    <xf numFmtId="0" fontId="27" fillId="0" borderId="0" xfId="0" applyFont="1" applyAlignment="1">
      <alignment horizontal="center" vertical="center" wrapText="1"/>
    </xf>
    <xf numFmtId="0" fontId="17" fillId="0" borderId="0" xfId="0" applyFont="1" applyAlignment="1">
      <alignment horizontal="center" vertical="center"/>
    </xf>
    <xf numFmtId="2" fontId="12" fillId="0" borderId="1" xfId="0" applyNumberFormat="1" applyFont="1" applyBorder="1" applyAlignment="1">
      <alignment horizontal="center" vertical="center" wrapText="1"/>
    </xf>
    <xf numFmtId="0" fontId="4" fillId="0" borderId="0" xfId="0" applyFont="1" applyAlignment="1">
      <alignment horizontal="center" vertical="center"/>
    </xf>
    <xf numFmtId="0" fontId="20" fillId="0" borderId="0" xfId="0" applyFont="1" applyAlignment="1">
      <alignment horizontal="center" vertical="center" wrapText="1"/>
    </xf>
    <xf numFmtId="165" fontId="12" fillId="0" borderId="0" xfId="0" applyNumberFormat="1" applyFont="1" applyAlignment="1">
      <alignment horizontal="center" vertical="center" wrapText="1"/>
    </xf>
    <xf numFmtId="0" fontId="20" fillId="0" borderId="0" xfId="0" applyFont="1" applyAlignment="1">
      <alignment horizontal="center" vertical="center"/>
    </xf>
    <xf numFmtId="0" fontId="12" fillId="0" borderId="0" xfId="0" applyFont="1" applyAlignment="1">
      <alignment horizontal="center" vertical="center"/>
    </xf>
    <xf numFmtId="0" fontId="17" fillId="0" borderId="6" xfId="0" applyFont="1" applyBorder="1"/>
    <xf numFmtId="0" fontId="12" fillId="22" borderId="2" xfId="0" applyFont="1" applyFill="1" applyBorder="1" applyAlignment="1">
      <alignment vertical="center" wrapText="1"/>
    </xf>
    <xf numFmtId="180" fontId="4" fillId="0" borderId="0" xfId="0" applyNumberFormat="1" applyFont="1"/>
    <xf numFmtId="0" fontId="20" fillId="28" borderId="3" xfId="0" applyFont="1" applyFill="1" applyBorder="1"/>
    <xf numFmtId="0" fontId="20" fillId="22" borderId="14" xfId="0" applyFont="1" applyFill="1" applyBorder="1"/>
    <xf numFmtId="169" fontId="4" fillId="0" borderId="3" xfId="0" applyNumberFormat="1" applyFont="1" applyBorder="1"/>
    <xf numFmtId="169" fontId="4" fillId="22" borderId="14" xfId="0" applyNumberFormat="1" applyFont="1" applyFill="1" applyBorder="1"/>
    <xf numFmtId="0" fontId="25" fillId="0" borderId="0" xfId="0" applyFont="1" applyAlignment="1">
      <alignment vertical="center" wrapText="1"/>
    </xf>
    <xf numFmtId="1" fontId="12" fillId="22" borderId="1" xfId="0" applyNumberFormat="1" applyFont="1" applyFill="1" applyBorder="1" applyAlignment="1">
      <alignment horizontal="center" vertical="center" wrapText="1"/>
    </xf>
    <xf numFmtId="0" fontId="7" fillId="0" borderId="0" xfId="0" applyFont="1" applyAlignment="1">
      <alignment horizontal="center" vertical="center"/>
    </xf>
    <xf numFmtId="0" fontId="7" fillId="20" borderId="0" xfId="0" applyFont="1" applyFill="1"/>
    <xf numFmtId="0" fontId="22" fillId="0" borderId="1" xfId="0" applyFont="1" applyBorder="1" applyAlignment="1">
      <alignment horizontal="center" vertical="center" wrapText="1"/>
    </xf>
    <xf numFmtId="0" fontId="12" fillId="22" borderId="2" xfId="0" applyFont="1" applyFill="1" applyBorder="1" applyAlignment="1">
      <alignment horizontal="left" vertical="center" wrapText="1"/>
    </xf>
    <xf numFmtId="169" fontId="12" fillId="0" borderId="1" xfId="0" applyNumberFormat="1" applyFont="1" applyBorder="1" applyAlignment="1">
      <alignment horizontal="center" vertical="center" wrapText="1"/>
    </xf>
    <xf numFmtId="0" fontId="12" fillId="0" borderId="1" xfId="0" applyFont="1" applyBorder="1" applyAlignment="1">
      <alignment horizontal="left" vertical="center" wrapText="1"/>
    </xf>
    <xf numFmtId="0" fontId="7" fillId="0" borderId="1" xfId="0" applyFont="1" applyBorder="1"/>
    <xf numFmtId="0" fontId="12" fillId="22" borderId="2" xfId="0" applyFont="1" applyFill="1" applyBorder="1" applyAlignment="1">
      <alignment horizontal="left" vertical="center"/>
    </xf>
    <xf numFmtId="0" fontId="12" fillId="22" borderId="1" xfId="0" applyFont="1" applyFill="1" applyBorder="1" applyAlignment="1">
      <alignment horizontal="left" vertical="center" wrapText="1"/>
    </xf>
    <xf numFmtId="0" fontId="12" fillId="16" borderId="1" xfId="0" applyFont="1" applyFill="1" applyBorder="1" applyAlignment="1">
      <alignment horizontal="center" vertical="center"/>
    </xf>
    <xf numFmtId="9" fontId="0" fillId="16" borderId="1" xfId="0" applyNumberFormat="1" applyFill="1" applyBorder="1" applyAlignment="1">
      <alignment horizontal="center" vertical="center"/>
    </xf>
    <xf numFmtId="0" fontId="19" fillId="0" borderId="0" xfId="0" applyFont="1"/>
    <xf numFmtId="0" fontId="11" fillId="26" borderId="2" xfId="0" applyFont="1" applyFill="1" applyBorder="1"/>
    <xf numFmtId="169" fontId="18" fillId="29" borderId="1" xfId="0" applyNumberFormat="1" applyFont="1" applyFill="1" applyBorder="1" applyAlignment="1">
      <alignment horizontal="center" vertical="center"/>
    </xf>
    <xf numFmtId="0" fontId="27" fillId="0" borderId="0" xfId="0" applyFont="1" applyAlignment="1">
      <alignment vertical="center"/>
    </xf>
    <xf numFmtId="168" fontId="12" fillId="22" borderId="1" xfId="0" applyNumberFormat="1" applyFont="1" applyFill="1" applyBorder="1" applyAlignment="1">
      <alignment horizontal="center" vertical="center" wrapText="1"/>
    </xf>
    <xf numFmtId="169" fontId="12" fillId="0" borderId="1" xfId="0" applyNumberFormat="1" applyFont="1" applyBorder="1" applyAlignment="1">
      <alignment horizontal="center" vertical="center"/>
    </xf>
    <xf numFmtId="175" fontId="12" fillId="0" borderId="1" xfId="0" applyNumberFormat="1" applyFont="1" applyBorder="1" applyAlignment="1">
      <alignment horizontal="center" vertical="center"/>
    </xf>
    <xf numFmtId="2" fontId="12" fillId="0" borderId="1" xfId="0" applyNumberFormat="1" applyFont="1" applyBorder="1" applyAlignment="1">
      <alignment vertical="center" wrapText="1"/>
    </xf>
    <xf numFmtId="0" fontId="12" fillId="0" borderId="1" xfId="0" applyFont="1" applyBorder="1" applyAlignment="1">
      <alignment vertical="center" wrapText="1"/>
    </xf>
    <xf numFmtId="0" fontId="25" fillId="0" borderId="0" xfId="0" applyFont="1" applyAlignment="1">
      <alignment vertical="center" wrapText="1" readingOrder="2"/>
    </xf>
    <xf numFmtId="0" fontId="11" fillId="26" borderId="5" xfId="0" applyFont="1" applyFill="1" applyBorder="1"/>
    <xf numFmtId="0" fontId="0" fillId="0" borderId="2" xfId="0" applyBorder="1" applyAlignment="1">
      <alignment horizontal="center" vertical="center"/>
    </xf>
    <xf numFmtId="169" fontId="0" fillId="0" borderId="2" xfId="0" applyNumberFormat="1" applyBorder="1" applyAlignment="1">
      <alignment horizontal="center" vertical="center"/>
    </xf>
    <xf numFmtId="168" fontId="0" fillId="0" borderId="2" xfId="0" applyNumberFormat="1" applyBorder="1" applyAlignment="1">
      <alignment horizontal="center" vertical="center"/>
    </xf>
    <xf numFmtId="166" fontId="4" fillId="0" borderId="0" xfId="0" applyNumberFormat="1" applyFont="1" applyAlignment="1">
      <alignment vertical="center"/>
    </xf>
    <xf numFmtId="166" fontId="18" fillId="17" borderId="0" xfId="0" applyNumberFormat="1" applyFont="1" applyFill="1" applyAlignment="1">
      <alignment vertical="center" wrapText="1"/>
    </xf>
    <xf numFmtId="0" fontId="12" fillId="0" borderId="3" xfId="0" applyFont="1" applyBorder="1" applyAlignment="1">
      <alignment horizontal="center" vertical="center" wrapText="1"/>
    </xf>
    <xf numFmtId="0" fontId="21" fillId="20" borderId="1" xfId="0" applyFont="1" applyFill="1" applyBorder="1" applyAlignment="1">
      <alignment horizontal="center" vertical="center" wrapText="1"/>
    </xf>
    <xf numFmtId="0" fontId="12" fillId="20" borderId="0" xfId="0" applyFont="1" applyFill="1" applyAlignment="1">
      <alignment wrapText="1"/>
    </xf>
    <xf numFmtId="0" fontId="0" fillId="0" borderId="1" xfId="0" applyBorder="1"/>
    <xf numFmtId="0" fontId="4" fillId="0" borderId="1" xfId="0" applyFont="1" applyBorder="1"/>
    <xf numFmtId="2" fontId="12" fillId="0" borderId="0" xfId="0" applyNumberFormat="1" applyFont="1" applyAlignment="1">
      <alignment horizontal="center" vertical="center"/>
    </xf>
    <xf numFmtId="1" fontId="4" fillId="0" borderId="0" xfId="0" applyNumberFormat="1" applyFont="1"/>
    <xf numFmtId="169" fontId="4" fillId="0" borderId="0" xfId="0" applyNumberFormat="1" applyFont="1"/>
    <xf numFmtId="9" fontId="4" fillId="0" borderId="1" xfId="0" applyNumberFormat="1" applyFont="1" applyBorder="1" applyAlignment="1">
      <alignment horizontal="center" vertical="center"/>
    </xf>
    <xf numFmtId="0" fontId="12" fillId="15" borderId="1" xfId="0" applyFont="1" applyFill="1" applyBorder="1" applyAlignment="1">
      <alignment horizontal="left" vertical="center" wrapText="1"/>
    </xf>
    <xf numFmtId="0" fontId="12" fillId="0" borderId="0" xfId="0" applyFont="1" applyAlignment="1">
      <alignment horizontal="left" wrapText="1"/>
    </xf>
    <xf numFmtId="0" fontId="11" fillId="26" borderId="1" xfId="0" applyFont="1" applyFill="1" applyBorder="1" applyAlignment="1">
      <alignment horizontal="left"/>
    </xf>
    <xf numFmtId="0" fontId="24" fillId="0" borderId="0" xfId="0" applyFont="1"/>
    <xf numFmtId="165" fontId="0" fillId="22" borderId="7" xfId="0" applyNumberFormat="1" applyFill="1" applyBorder="1"/>
    <xf numFmtId="181" fontId="12" fillId="0" borderId="0" xfId="0" applyNumberFormat="1" applyFont="1" applyAlignment="1">
      <alignment horizontal="center" vertical="center" wrapText="1"/>
    </xf>
    <xf numFmtId="0" fontId="12" fillId="21" borderId="0" xfId="0" applyFont="1" applyFill="1" applyAlignment="1">
      <alignment horizontal="center" vertical="center" wrapText="1"/>
    </xf>
    <xf numFmtId="0" fontId="22" fillId="15" borderId="1" xfId="0" applyFont="1" applyFill="1" applyBorder="1" applyAlignment="1">
      <alignment horizontal="center" vertical="center" wrapText="1"/>
    </xf>
    <xf numFmtId="165" fontId="19" fillId="15" borderId="1" xfId="0" applyNumberFormat="1" applyFont="1" applyFill="1" applyBorder="1" applyAlignment="1">
      <alignment horizontal="center" vertical="center" wrapText="1"/>
    </xf>
    <xf numFmtId="0" fontId="12" fillId="0" borderId="2" xfId="0" applyFont="1" applyBorder="1" applyAlignment="1">
      <alignment horizontal="left" vertical="center"/>
    </xf>
    <xf numFmtId="0" fontId="11" fillId="29" borderId="9" xfId="0" applyFont="1" applyFill="1" applyBorder="1"/>
    <xf numFmtId="169" fontId="18" fillId="29" borderId="15" xfId="0" applyNumberFormat="1" applyFont="1" applyFill="1" applyBorder="1"/>
    <xf numFmtId="169" fontId="18" fillId="29" borderId="16" xfId="0" applyNumberFormat="1" applyFont="1" applyFill="1" applyBorder="1"/>
    <xf numFmtId="181" fontId="4" fillId="0" borderId="11" xfId="0" applyNumberFormat="1" applyFont="1" applyBorder="1"/>
    <xf numFmtId="169" fontId="4" fillId="0" borderId="11" xfId="0" applyNumberFormat="1" applyFont="1" applyBorder="1"/>
    <xf numFmtId="175" fontId="4" fillId="0" borderId="11" xfId="0" applyNumberFormat="1" applyFont="1" applyBorder="1"/>
    <xf numFmtId="181" fontId="4" fillId="16" borderId="1" xfId="0" applyNumberFormat="1" applyFont="1" applyFill="1" applyBorder="1"/>
    <xf numFmtId="175" fontId="4" fillId="22" borderId="1" xfId="0" applyNumberFormat="1" applyFont="1" applyFill="1" applyBorder="1"/>
    <xf numFmtId="181" fontId="4" fillId="0" borderId="0" xfId="0" applyNumberFormat="1" applyFont="1"/>
    <xf numFmtId="175" fontId="4" fillId="0" borderId="0" xfId="0" applyNumberFormat="1" applyFont="1"/>
    <xf numFmtId="182" fontId="22" fillId="0" borderId="1" xfId="0" applyNumberFormat="1" applyFont="1" applyBorder="1"/>
    <xf numFmtId="0" fontId="20" fillId="0" borderId="0" xfId="0" applyFont="1"/>
    <xf numFmtId="0" fontId="25" fillId="30" borderId="0" xfId="0" applyFont="1" applyFill="1" applyAlignment="1">
      <alignment vertical="center" wrapText="1"/>
    </xf>
    <xf numFmtId="0" fontId="0" fillId="0" borderId="1" xfId="0" applyBorder="1" applyAlignment="1">
      <alignment vertical="center"/>
    </xf>
    <xf numFmtId="1" fontId="0" fillId="0" borderId="1" xfId="0" applyNumberFormat="1" applyBorder="1" applyAlignment="1">
      <alignment vertical="center"/>
    </xf>
    <xf numFmtId="9" fontId="19" fillId="0" borderId="1" xfId="0" applyNumberFormat="1" applyFont="1" applyBorder="1" applyAlignment="1">
      <alignment horizontal="center" vertical="center" wrapText="1"/>
    </xf>
    <xf numFmtId="0" fontId="12" fillId="15" borderId="3" xfId="0" applyFont="1" applyFill="1" applyBorder="1" applyAlignment="1">
      <alignment horizontal="center" vertical="center" wrapText="1"/>
    </xf>
    <xf numFmtId="0" fontId="12" fillId="0" borderId="1" xfId="0" applyFont="1" applyBorder="1" applyAlignment="1">
      <alignment wrapText="1"/>
    </xf>
    <xf numFmtId="0" fontId="19" fillId="0" borderId="0" xfId="0" applyFont="1" applyAlignment="1">
      <alignment wrapText="1"/>
    </xf>
    <xf numFmtId="166" fontId="12" fillId="19" borderId="0" xfId="0" applyNumberFormat="1" applyFont="1" applyFill="1" applyAlignment="1">
      <alignment horizontal="center" vertical="center" wrapText="1"/>
    </xf>
    <xf numFmtId="0" fontId="4" fillId="20" borderId="0" xfId="0" applyFont="1" applyFill="1"/>
    <xf numFmtId="0" fontId="22" fillId="21" borderId="1" xfId="0" applyFont="1" applyFill="1" applyBorder="1" applyAlignment="1">
      <alignment horizontal="center" vertical="center"/>
    </xf>
    <xf numFmtId="0" fontId="0" fillId="22" borderId="0" xfId="0" applyFill="1" applyAlignment="1">
      <alignment horizontal="center" vertical="center"/>
    </xf>
    <xf numFmtId="1" fontId="12" fillId="0" borderId="0" xfId="0" applyNumberFormat="1" applyFont="1" applyAlignment="1">
      <alignment horizontal="center" vertical="center"/>
    </xf>
    <xf numFmtId="0" fontId="0" fillId="22" borderId="1" xfId="0" applyFill="1" applyBorder="1" applyAlignment="1">
      <alignment horizontal="center" vertical="center"/>
    </xf>
    <xf numFmtId="0" fontId="4" fillId="0" borderId="1" xfId="0" applyFont="1" applyBorder="1" applyAlignment="1">
      <alignment horizontal="center"/>
    </xf>
    <xf numFmtId="175" fontId="4" fillId="0" borderId="0" xfId="0" applyNumberFormat="1" applyFont="1" applyAlignment="1">
      <alignment horizontal="center"/>
    </xf>
    <xf numFmtId="166" fontId="4" fillId="0" borderId="0" xfId="0" applyNumberFormat="1" applyFont="1" applyAlignment="1">
      <alignment horizontal="center"/>
    </xf>
    <xf numFmtId="0" fontId="22" fillId="0" borderId="0" xfId="0" applyFont="1"/>
    <xf numFmtId="165" fontId="0" fillId="0" borderId="1" xfId="0" applyNumberFormat="1" applyBorder="1"/>
    <xf numFmtId="165" fontId="0" fillId="0" borderId="6" xfId="0" applyNumberFormat="1" applyBorder="1"/>
    <xf numFmtId="0" fontId="7" fillId="23" borderId="17" xfId="0" applyFont="1" applyFill="1" applyBorder="1"/>
    <xf numFmtId="0" fontId="0" fillId="0" borderId="15" xfId="0" applyBorder="1"/>
    <xf numFmtId="0" fontId="0" fillId="0" borderId="16" xfId="0" applyBorder="1"/>
    <xf numFmtId="0" fontId="0" fillId="0" borderId="11" xfId="0" applyBorder="1"/>
    <xf numFmtId="165" fontId="0" fillId="0" borderId="11" xfId="0" applyNumberFormat="1" applyBorder="1"/>
    <xf numFmtId="1" fontId="12" fillId="0" borderId="0" xfId="0" applyNumberFormat="1" applyFont="1" applyAlignment="1">
      <alignment wrapText="1"/>
    </xf>
    <xf numFmtId="0" fontId="22" fillId="0" borderId="0" xfId="0" applyFont="1" applyAlignment="1">
      <alignment horizontal="center" vertical="center" wrapText="1"/>
    </xf>
    <xf numFmtId="0" fontId="22" fillId="0" borderId="0" xfId="0" applyFont="1" applyAlignment="1">
      <alignment horizontal="center" vertical="center"/>
    </xf>
    <xf numFmtId="0" fontId="0" fillId="0" borderId="0" xfId="0" applyAlignment="1">
      <alignment vertical="center"/>
    </xf>
    <xf numFmtId="0" fontId="11" fillId="26" borderId="12" xfId="0" applyFont="1" applyFill="1" applyBorder="1"/>
    <xf numFmtId="170" fontId="12" fillId="0" borderId="1" xfId="0" applyNumberFormat="1" applyFont="1" applyBorder="1" applyAlignment="1">
      <alignment horizontal="center" vertical="center"/>
    </xf>
    <xf numFmtId="0" fontId="21" fillId="0" borderId="0" xfId="0" applyFont="1" applyAlignment="1">
      <alignment vertical="center" wrapText="1"/>
    </xf>
    <xf numFmtId="0" fontId="21" fillId="0" borderId="14" xfId="0" applyFont="1" applyBorder="1" applyAlignment="1">
      <alignment vertical="center" wrapText="1"/>
    </xf>
    <xf numFmtId="0" fontId="22" fillId="15" borderId="3" xfId="0" applyFont="1" applyFill="1" applyBorder="1" applyAlignment="1">
      <alignment horizontal="center" vertical="center"/>
    </xf>
    <xf numFmtId="1" fontId="0" fillId="0" borderId="3" xfId="0" applyNumberFormat="1" applyBorder="1" applyAlignment="1">
      <alignment horizontal="center" vertical="center"/>
    </xf>
    <xf numFmtId="0" fontId="0" fillId="0" borderId="18" xfId="0" applyBorder="1" applyAlignment="1">
      <alignment vertical="center"/>
    </xf>
    <xf numFmtId="0" fontId="0" fillId="0" borderId="18" xfId="0" applyBorder="1" applyAlignment="1">
      <alignment horizontal="center" vertical="center"/>
    </xf>
    <xf numFmtId="0" fontId="12" fillId="0" borderId="18" xfId="0" applyFont="1" applyBorder="1" applyAlignment="1">
      <alignment horizontal="center" vertical="center"/>
    </xf>
    <xf numFmtId="1" fontId="12" fillId="0" borderId="18" xfId="0" applyNumberFormat="1" applyFont="1" applyBorder="1" applyAlignment="1">
      <alignment horizontal="center" vertical="center"/>
    </xf>
    <xf numFmtId="9" fontId="0" fillId="0" borderId="18" xfId="0" applyNumberFormat="1" applyBorder="1" applyAlignment="1">
      <alignment horizontal="center" vertical="center"/>
    </xf>
    <xf numFmtId="168" fontId="12" fillId="0" borderId="18" xfId="0" applyNumberFormat="1" applyFont="1" applyBorder="1" applyAlignment="1">
      <alignment horizontal="center" vertical="center" wrapText="1"/>
    </xf>
    <xf numFmtId="1" fontId="0" fillId="0" borderId="18" xfId="0" applyNumberFormat="1" applyBorder="1" applyAlignment="1">
      <alignment horizontal="center" vertical="center"/>
    </xf>
    <xf numFmtId="16" fontId="4" fillId="0" borderId="0" xfId="0" applyNumberFormat="1" applyFont="1"/>
    <xf numFmtId="0" fontId="28" fillId="0" borderId="0" xfId="0" applyFont="1" applyAlignment="1">
      <alignment horizontal="center"/>
    </xf>
    <xf numFmtId="0" fontId="18" fillId="26" borderId="4" xfId="0" applyFont="1" applyFill="1" applyBorder="1" applyAlignment="1">
      <alignment horizontal="center"/>
    </xf>
    <xf numFmtId="175" fontId="12" fillId="0" borderId="1" xfId="0" applyNumberFormat="1" applyFont="1" applyBorder="1" applyAlignment="1">
      <alignment horizontal="center" vertical="center" wrapText="1"/>
    </xf>
    <xf numFmtId="165" fontId="12" fillId="0" borderId="6" xfId="0" applyNumberFormat="1" applyFont="1" applyBorder="1" applyAlignment="1">
      <alignment horizontal="center" vertical="center" wrapText="1"/>
    </xf>
    <xf numFmtId="0" fontId="12" fillId="15" borderId="8" xfId="0" applyFont="1" applyFill="1" applyBorder="1" applyAlignment="1">
      <alignment horizontal="center" vertical="center" wrapText="1"/>
    </xf>
    <xf numFmtId="0" fontId="12" fillId="0" borderId="6" xfId="0" applyFont="1" applyBorder="1" applyAlignment="1">
      <alignment wrapText="1"/>
    </xf>
    <xf numFmtId="0" fontId="21" fillId="20" borderId="5" xfId="0" applyFont="1" applyFill="1" applyBorder="1" applyAlignment="1">
      <alignment vertical="center" wrapText="1"/>
    </xf>
    <xf numFmtId="0" fontId="19" fillId="0" borderId="0" xfId="0" applyFont="1" applyAlignment="1">
      <alignment horizontal="center" vertical="center" wrapText="1"/>
    </xf>
    <xf numFmtId="0" fontId="18" fillId="26" borderId="1" xfId="0" applyFont="1" applyFill="1" applyBorder="1" applyAlignment="1">
      <alignment horizontal="center"/>
    </xf>
    <xf numFmtId="0" fontId="21" fillId="18" borderId="10" xfId="0" applyFont="1" applyFill="1" applyBorder="1" applyAlignment="1">
      <alignment horizontal="center" vertical="center" wrapText="1"/>
    </xf>
    <xf numFmtId="0" fontId="28" fillId="0" borderId="1" xfId="0" applyFont="1" applyBorder="1" applyAlignment="1">
      <alignment vertical="center"/>
    </xf>
    <xf numFmtId="1" fontId="23" fillId="0" borderId="1" xfId="0" applyNumberFormat="1" applyFont="1" applyBorder="1" applyAlignment="1">
      <alignment horizontal="center" vertical="center"/>
    </xf>
    <xf numFmtId="168" fontId="23" fillId="0" borderId="1" xfId="0" applyNumberFormat="1" applyFont="1" applyBorder="1" applyAlignment="1">
      <alignment horizontal="center" vertical="center"/>
    </xf>
    <xf numFmtId="9" fontId="28" fillId="0" borderId="1" xfId="0" applyNumberFormat="1" applyFont="1" applyBorder="1" applyAlignment="1">
      <alignment horizontal="center" vertical="center"/>
    </xf>
    <xf numFmtId="1" fontId="23" fillId="0" borderId="1" xfId="0" applyNumberFormat="1" applyFont="1" applyBorder="1" applyAlignment="1">
      <alignment horizontal="center" vertical="center" wrapText="1"/>
    </xf>
    <xf numFmtId="1" fontId="28" fillId="0" borderId="1" xfId="0" applyNumberFormat="1" applyFont="1" applyBorder="1" applyAlignment="1">
      <alignment horizontal="center" vertical="center"/>
    </xf>
    <xf numFmtId="0" fontId="17" fillId="0" borderId="1" xfId="0" applyFont="1" applyBorder="1" applyAlignment="1">
      <alignment horizontal="right"/>
    </xf>
    <xf numFmtId="0" fontId="21" fillId="0" borderId="0" xfId="0" applyFont="1"/>
    <xf numFmtId="0" fontId="21" fillId="0" borderId="0" xfId="0" applyFont="1" applyAlignment="1">
      <alignment horizontal="center"/>
    </xf>
    <xf numFmtId="0" fontId="0" fillId="0" borderId="2" xfId="0" applyBorder="1" applyAlignment="1">
      <alignment horizontal="left"/>
    </xf>
    <xf numFmtId="0" fontId="12" fillId="0" borderId="2" xfId="0" applyFont="1" applyBorder="1" applyAlignment="1">
      <alignment horizontal="left" vertical="center" wrapText="1"/>
    </xf>
    <xf numFmtId="0" fontId="7" fillId="22" borderId="1" xfId="0" applyFont="1" applyFill="1" applyBorder="1" applyAlignment="1">
      <alignment horizontal="right" vertical="center" wrapText="1"/>
    </xf>
    <xf numFmtId="1" fontId="12" fillId="15" borderId="1" xfId="0" applyNumberFormat="1" applyFont="1" applyFill="1" applyBorder="1" applyAlignment="1">
      <alignment horizontal="center" vertical="center" wrapText="1"/>
    </xf>
    <xf numFmtId="166" fontId="12" fillId="0" borderId="0" xfId="0" applyNumberFormat="1" applyFont="1" applyAlignment="1">
      <alignment horizontal="center" vertical="center" wrapText="1"/>
    </xf>
    <xf numFmtId="0" fontId="22" fillId="0" borderId="2" xfId="0" applyFont="1" applyBorder="1" applyAlignment="1">
      <alignment horizontal="left" vertical="center"/>
    </xf>
    <xf numFmtId="166" fontId="4" fillId="0" borderId="0" xfId="0" applyNumberFormat="1" applyFont="1"/>
    <xf numFmtId="0" fontId="20" fillId="0" borderId="0" xfId="0" applyFont="1" applyAlignment="1">
      <alignment wrapText="1"/>
    </xf>
    <xf numFmtId="10" fontId="4" fillId="0" borderId="0" xfId="0" applyNumberFormat="1" applyFont="1"/>
    <xf numFmtId="174" fontId="0" fillId="0" borderId="0" xfId="0" applyNumberFormat="1"/>
    <xf numFmtId="179" fontId="4" fillId="0" borderId="0" xfId="0" applyNumberFormat="1" applyFont="1"/>
    <xf numFmtId="0" fontId="12" fillId="0" borderId="3" xfId="0" applyFont="1" applyBorder="1" applyAlignment="1">
      <alignment horizontal="center" vertical="center"/>
    </xf>
    <xf numFmtId="9" fontId="0" fillId="0" borderId="2" xfId="0" applyNumberFormat="1" applyBorder="1" applyAlignment="1">
      <alignment horizontal="center" vertical="center"/>
    </xf>
    <xf numFmtId="170" fontId="12" fillId="0" borderId="1" xfId="0" applyNumberFormat="1" applyFont="1" applyBorder="1" applyAlignment="1">
      <alignment horizontal="center" vertical="center" wrapText="1"/>
    </xf>
    <xf numFmtId="0" fontId="12" fillId="20" borderId="1" xfId="0" applyFont="1" applyFill="1" applyBorder="1" applyAlignment="1">
      <alignment wrapText="1"/>
    </xf>
    <xf numFmtId="0" fontId="13" fillId="0" borderId="0" xfId="0" applyFont="1"/>
    <xf numFmtId="175" fontId="12" fillId="0" borderId="1" xfId="0" applyNumberFormat="1" applyFont="1" applyBorder="1" applyAlignment="1">
      <alignment vertical="center"/>
    </xf>
    <xf numFmtId="166" fontId="12" fillId="0" borderId="1" xfId="0" applyNumberFormat="1" applyFont="1" applyBorder="1" applyAlignment="1">
      <alignment vertical="center" wrapText="1"/>
    </xf>
    <xf numFmtId="0" fontId="12" fillId="0" borderId="2" xfId="0" applyFont="1" applyBorder="1" applyAlignment="1">
      <alignment horizontal="center" vertical="center" wrapText="1"/>
    </xf>
    <xf numFmtId="0" fontId="4" fillId="16" borderId="0" xfId="0" applyFont="1" applyFill="1"/>
    <xf numFmtId="0" fontId="4" fillId="0" borderId="6" xfId="0" applyFont="1" applyBorder="1"/>
    <xf numFmtId="0" fontId="4" fillId="0" borderId="18" xfId="0" applyFont="1" applyBorder="1"/>
    <xf numFmtId="0" fontId="28" fillId="0" borderId="0" xfId="0" applyFont="1" applyAlignment="1">
      <alignment vertical="center"/>
    </xf>
    <xf numFmtId="165" fontId="4" fillId="0" borderId="1" xfId="0" applyNumberFormat="1" applyFont="1" applyBorder="1" applyAlignment="1">
      <alignment horizontal="center" vertical="center"/>
    </xf>
    <xf numFmtId="0" fontId="25" fillId="30" borderId="5" xfId="0" applyFont="1" applyFill="1" applyBorder="1" applyAlignment="1">
      <alignment vertical="center" wrapText="1"/>
    </xf>
    <xf numFmtId="0" fontId="22" fillId="15" borderId="11" xfId="0" applyFont="1" applyFill="1" applyBorder="1" applyAlignment="1">
      <alignment vertical="center" wrapText="1"/>
    </xf>
    <xf numFmtId="0" fontId="22" fillId="15" borderId="12" xfId="0" applyFont="1" applyFill="1" applyBorder="1" applyAlignment="1">
      <alignment vertical="center"/>
    </xf>
    <xf numFmtId="0" fontId="22" fillId="15" borderId="12" xfId="0" applyFont="1" applyFill="1" applyBorder="1" applyAlignment="1">
      <alignment vertical="center" wrapText="1"/>
    </xf>
    <xf numFmtId="0" fontId="22" fillId="21" borderId="12" xfId="0" applyFont="1" applyFill="1" applyBorder="1" applyAlignment="1">
      <alignment vertical="center" wrapText="1"/>
    </xf>
    <xf numFmtId="0" fontId="0" fillId="0" borderId="1" xfId="0" applyBorder="1" applyAlignment="1">
      <alignment horizontal="left"/>
    </xf>
    <xf numFmtId="165" fontId="4" fillId="0" borderId="0" xfId="0" applyNumberFormat="1" applyFont="1"/>
    <xf numFmtId="9" fontId="4" fillId="0" borderId="0" xfId="0" applyNumberFormat="1" applyFont="1"/>
    <xf numFmtId="1" fontId="24" fillId="0" borderId="0" xfId="0" applyNumberFormat="1" applyFont="1" applyAlignment="1">
      <alignment wrapText="1"/>
    </xf>
    <xf numFmtId="0" fontId="19" fillId="15" borderId="2" xfId="0" applyFont="1" applyFill="1" applyBorder="1" applyAlignment="1">
      <alignment horizontal="center" vertical="center" wrapText="1"/>
    </xf>
    <xf numFmtId="1" fontId="0" fillId="0" borderId="1" xfId="0" applyNumberFormat="1" applyBorder="1"/>
    <xf numFmtId="0" fontId="12" fillId="0" borderId="19" xfId="0" applyFont="1" applyBorder="1" applyAlignment="1">
      <alignment horizontal="center" vertical="center" wrapText="1"/>
    </xf>
    <xf numFmtId="0" fontId="0" fillId="0" borderId="6" xfId="0" applyBorder="1" applyAlignment="1">
      <alignment horizontal="center" vertical="center"/>
    </xf>
    <xf numFmtId="0" fontId="12" fillId="0" borderId="6" xfId="0" applyFont="1" applyBorder="1" applyAlignment="1">
      <alignment horizontal="center" vertical="center"/>
    </xf>
    <xf numFmtId="2" fontId="12" fillId="0" borderId="6" xfId="0" applyNumberFormat="1" applyFont="1" applyBorder="1" applyAlignment="1">
      <alignment horizontal="center" vertical="center"/>
    </xf>
    <xf numFmtId="0" fontId="12" fillId="0" borderId="18" xfId="0" applyFont="1" applyBorder="1" applyAlignment="1">
      <alignment horizontal="center" vertical="center" wrapText="1"/>
    </xf>
    <xf numFmtId="0" fontId="12" fillId="0" borderId="18" xfId="0" applyFont="1" applyBorder="1" applyAlignment="1">
      <alignment wrapText="1"/>
    </xf>
    <xf numFmtId="1" fontId="12" fillId="0" borderId="3" xfId="0" applyNumberFormat="1" applyFont="1" applyBorder="1" applyAlignment="1">
      <alignment horizontal="center" vertical="center" wrapText="1"/>
    </xf>
    <xf numFmtId="2" fontId="4" fillId="16" borderId="1" xfId="0" applyNumberFormat="1" applyFont="1" applyFill="1" applyBorder="1"/>
    <xf numFmtId="0" fontId="11" fillId="26" borderId="10" xfId="0" applyFont="1" applyFill="1" applyBorder="1" applyAlignment="1">
      <alignment horizontal="center" vertical="center"/>
    </xf>
    <xf numFmtId="0" fontId="11" fillId="26" borderId="1" xfId="0" applyFont="1" applyFill="1" applyBorder="1" applyAlignment="1">
      <alignment horizontal="center" vertical="center"/>
    </xf>
    <xf numFmtId="0" fontId="11" fillId="26" borderId="6" xfId="0" applyFont="1" applyFill="1" applyBorder="1" applyAlignment="1">
      <alignment horizontal="center" vertical="center"/>
    </xf>
    <xf numFmtId="0" fontId="11" fillId="26" borderId="3" xfId="0" applyFont="1" applyFill="1" applyBorder="1" applyAlignment="1">
      <alignment horizontal="center" vertical="center"/>
    </xf>
    <xf numFmtId="0" fontId="11" fillId="26" borderId="8" xfId="0" applyFont="1" applyFill="1" applyBorder="1" applyAlignment="1">
      <alignment horizontal="center" vertical="center"/>
    </xf>
    <xf numFmtId="0" fontId="7" fillId="23" borderId="9" xfId="0" applyFont="1" applyFill="1" applyBorder="1" applyAlignment="1">
      <alignment horizontal="center" vertical="center"/>
    </xf>
    <xf numFmtId="0" fontId="24" fillId="0" borderId="0" xfId="0" applyFont="1" applyAlignment="1">
      <alignment horizontal="center" vertical="center" wrapText="1"/>
    </xf>
    <xf numFmtId="165" fontId="12" fillId="0" borderId="1" xfId="0" applyNumberFormat="1" applyFont="1" applyBorder="1" applyAlignment="1">
      <alignment horizontal="center" vertical="center"/>
    </xf>
    <xf numFmtId="2" fontId="12" fillId="0" borderId="1" xfId="0" applyNumberFormat="1" applyFont="1" applyBorder="1" applyAlignment="1">
      <alignment wrapText="1"/>
    </xf>
    <xf numFmtId="0" fontId="7" fillId="20" borderId="1" xfId="0" applyFont="1" applyFill="1" applyBorder="1"/>
    <xf numFmtId="0" fontId="28" fillId="0" borderId="1" xfId="0" applyFont="1" applyBorder="1"/>
    <xf numFmtId="169" fontId="0" fillId="0" borderId="0" xfId="0" applyNumberFormat="1"/>
    <xf numFmtId="0" fontId="11" fillId="0" borderId="14" xfId="0" applyFont="1" applyBorder="1"/>
    <xf numFmtId="1" fontId="0" fillId="0" borderId="1" xfId="0" applyNumberFormat="1" applyBorder="1" applyAlignment="1">
      <alignment horizontal="center"/>
    </xf>
    <xf numFmtId="183" fontId="12" fillId="0" borderId="1" xfId="0" applyNumberFormat="1" applyFont="1" applyBorder="1" applyAlignment="1">
      <alignment horizontal="center" vertical="center"/>
    </xf>
    <xf numFmtId="0" fontId="28" fillId="0" borderId="1" xfId="0" applyFont="1" applyBorder="1" applyAlignment="1">
      <alignment horizontal="left"/>
    </xf>
    <xf numFmtId="0" fontId="23" fillId="0" borderId="1" xfId="0" applyFont="1" applyBorder="1" applyAlignment="1">
      <alignment horizontal="center" vertical="center"/>
    </xf>
    <xf numFmtId="0" fontId="29" fillId="28" borderId="1" xfId="0" applyFont="1" applyFill="1" applyBorder="1" applyAlignment="1">
      <alignment wrapText="1"/>
    </xf>
    <xf numFmtId="0" fontId="30" fillId="28" borderId="1" xfId="0" applyFont="1" applyFill="1" applyBorder="1" applyAlignment="1">
      <alignment wrapText="1"/>
    </xf>
    <xf numFmtId="0" fontId="0" fillId="0" borderId="19" xfId="0" applyBorder="1" applyAlignment="1">
      <alignment vertical="center"/>
    </xf>
    <xf numFmtId="1" fontId="12" fillId="0" borderId="6" xfId="0" applyNumberFormat="1" applyFont="1" applyBorder="1" applyAlignment="1">
      <alignment horizontal="center" vertical="center"/>
    </xf>
    <xf numFmtId="9" fontId="0" fillId="0" borderId="6" xfId="0" applyNumberFormat="1" applyBorder="1" applyAlignment="1">
      <alignment horizontal="center" vertical="center"/>
    </xf>
    <xf numFmtId="168" fontId="12" fillId="0" borderId="6" xfId="0" applyNumberFormat="1" applyFont="1" applyBorder="1" applyAlignment="1">
      <alignment horizontal="center" vertical="center" wrapText="1"/>
    </xf>
    <xf numFmtId="1" fontId="0" fillId="0" borderId="6" xfId="0" applyNumberFormat="1" applyBorder="1" applyAlignment="1">
      <alignment horizontal="center" vertical="center"/>
    </xf>
    <xf numFmtId="178" fontId="12" fillId="0" borderId="1" xfId="0" applyNumberFormat="1" applyFont="1" applyBorder="1" applyAlignment="1">
      <alignment vertical="center" wrapText="1"/>
    </xf>
    <xf numFmtId="0" fontId="22" fillId="0" borderId="11" xfId="0" applyFont="1" applyBorder="1" applyAlignment="1">
      <alignment horizontal="center" vertical="center" wrapText="1"/>
    </xf>
    <xf numFmtId="0" fontId="31" fillId="0" borderId="0" xfId="0" applyFont="1"/>
    <xf numFmtId="184" fontId="4" fillId="0" borderId="0" xfId="0" applyNumberFormat="1" applyFont="1"/>
    <xf numFmtId="172" fontId="0" fillId="16" borderId="1" xfId="0" applyNumberFormat="1" applyFill="1" applyBorder="1"/>
    <xf numFmtId="1" fontId="12" fillId="0" borderId="6" xfId="0" applyNumberFormat="1" applyFont="1" applyBorder="1" applyAlignment="1">
      <alignment horizontal="center" vertical="center" wrapText="1"/>
    </xf>
    <xf numFmtId="0" fontId="11" fillId="26" borderId="6" xfId="0" applyFont="1" applyFill="1" applyBorder="1" applyAlignment="1">
      <alignment horizontal="center"/>
    </xf>
    <xf numFmtId="180" fontId="33" fillId="0" borderId="0" xfId="0" applyNumberFormat="1" applyFont="1"/>
    <xf numFmtId="174" fontId="4" fillId="0" borderId="0" xfId="0" applyNumberFormat="1" applyFont="1"/>
    <xf numFmtId="2" fontId="4" fillId="0" borderId="0" xfId="0" applyNumberFormat="1" applyFont="1"/>
    <xf numFmtId="169" fontId="12" fillId="22" borderId="1" xfId="0" applyNumberFormat="1" applyFont="1" applyFill="1" applyBorder="1" applyAlignment="1">
      <alignment horizontal="center" vertical="center" wrapText="1"/>
    </xf>
    <xf numFmtId="173" fontId="4" fillId="0" borderId="11" xfId="0" applyNumberFormat="1" applyFont="1" applyBorder="1"/>
    <xf numFmtId="169" fontId="4" fillId="22" borderId="11" xfId="0" applyNumberFormat="1" applyFont="1" applyFill="1" applyBorder="1"/>
    <xf numFmtId="179" fontId="4" fillId="16" borderId="1" xfId="0" applyNumberFormat="1" applyFont="1" applyFill="1" applyBorder="1"/>
    <xf numFmtId="173" fontId="4" fillId="16" borderId="1" xfId="0" applyNumberFormat="1" applyFont="1" applyFill="1" applyBorder="1"/>
    <xf numFmtId="0" fontId="12" fillId="0" borderId="5" xfId="0" applyFont="1" applyBorder="1" applyAlignment="1">
      <alignment horizontal="center" vertical="center" wrapText="1"/>
    </xf>
    <xf numFmtId="0" fontId="12" fillId="7" borderId="0" xfId="0" applyFont="1" applyFill="1" applyAlignment="1">
      <alignment horizontal="center" vertical="center" wrapText="1"/>
    </xf>
    <xf numFmtId="0" fontId="12" fillId="0" borderId="19" xfId="0" applyFont="1" applyBorder="1" applyAlignment="1">
      <alignment horizontal="left" vertical="center"/>
    </xf>
    <xf numFmtId="0" fontId="12" fillId="0" borderId="6" xfId="0" applyFont="1" applyBorder="1" applyAlignment="1">
      <alignment horizontal="center" vertical="center" wrapText="1"/>
    </xf>
    <xf numFmtId="169" fontId="12" fillId="0" borderId="6" xfId="0" applyNumberFormat="1" applyFont="1" applyBorder="1" applyAlignment="1">
      <alignment wrapText="1"/>
    </xf>
    <xf numFmtId="0" fontId="28" fillId="0" borderId="18" xfId="0" applyFont="1" applyBorder="1" applyAlignment="1">
      <alignment vertical="center"/>
    </xf>
    <xf numFmtId="0" fontId="0" fillId="22" borderId="18" xfId="0" applyFill="1" applyBorder="1" applyAlignment="1">
      <alignment horizontal="center" vertical="center"/>
    </xf>
    <xf numFmtId="1" fontId="12" fillId="0" borderId="18" xfId="0" applyNumberFormat="1" applyFont="1" applyBorder="1" applyAlignment="1">
      <alignment horizontal="center" vertical="center" wrapText="1"/>
    </xf>
    <xf numFmtId="169" fontId="12" fillId="0" borderId="18" xfId="0" applyNumberFormat="1" applyFont="1" applyBorder="1" applyAlignment="1">
      <alignment wrapText="1"/>
    </xf>
    <xf numFmtId="166" fontId="19" fillId="0" borderId="0" xfId="0" applyNumberFormat="1" applyFont="1" applyAlignment="1">
      <alignment horizontal="center" vertical="center" wrapText="1"/>
    </xf>
    <xf numFmtId="1" fontId="23" fillId="0" borderId="0" xfId="0" applyNumberFormat="1" applyFont="1" applyAlignment="1">
      <alignment horizontal="center" vertical="center"/>
    </xf>
    <xf numFmtId="168" fontId="23" fillId="0" borderId="0" xfId="0" applyNumberFormat="1" applyFont="1" applyAlignment="1">
      <alignment horizontal="center" vertical="center"/>
    </xf>
    <xf numFmtId="9" fontId="28" fillId="0" borderId="0" xfId="0" applyNumberFormat="1" applyFont="1" applyAlignment="1">
      <alignment horizontal="center" vertical="center"/>
    </xf>
    <xf numFmtId="1" fontId="23" fillId="0" borderId="0" xfId="0" applyNumberFormat="1" applyFont="1" applyAlignment="1">
      <alignment horizontal="center" vertical="center" wrapText="1"/>
    </xf>
    <xf numFmtId="1" fontId="28" fillId="0" borderId="0" xfId="0" applyNumberFormat="1" applyFont="1" applyAlignment="1">
      <alignment horizontal="center" vertical="center"/>
    </xf>
    <xf numFmtId="0" fontId="18" fillId="0" borderId="0" xfId="0" applyFont="1"/>
    <xf numFmtId="165" fontId="4" fillId="0" borderId="0" xfId="0" applyNumberFormat="1" applyFont="1" applyAlignment="1">
      <alignment horizontal="center"/>
    </xf>
    <xf numFmtId="168" fontId="0" fillId="0" borderId="0" xfId="0" applyNumberFormat="1" applyAlignment="1">
      <alignment vertical="center"/>
    </xf>
    <xf numFmtId="170" fontId="12" fillId="0" borderId="0" xfId="0" applyNumberFormat="1" applyFont="1" applyAlignment="1">
      <alignment horizontal="center" vertical="center"/>
    </xf>
    <xf numFmtId="176" fontId="26" fillId="0" borderId="0" xfId="0" applyNumberFormat="1" applyFont="1"/>
    <xf numFmtId="0" fontId="27" fillId="0" borderId="0" xfId="0" applyFont="1" applyAlignment="1">
      <alignment horizontal="center" vertical="center"/>
    </xf>
    <xf numFmtId="177" fontId="26" fillId="0" borderId="0" xfId="0" applyNumberFormat="1" applyFont="1"/>
    <xf numFmtId="169" fontId="26" fillId="0" borderId="0" xfId="0" applyNumberFormat="1" applyFont="1"/>
    <xf numFmtId="168" fontId="0" fillId="0" borderId="1" xfId="0" applyNumberFormat="1" applyBorder="1" applyAlignment="1">
      <alignment vertical="center"/>
    </xf>
    <xf numFmtId="0" fontId="4" fillId="0" borderId="18" xfId="0" applyFont="1" applyBorder="1" applyAlignment="1">
      <alignment vertical="center"/>
    </xf>
    <xf numFmtId="0" fontId="18" fillId="29" borderId="1" xfId="0" applyFont="1" applyFill="1" applyBorder="1" applyAlignment="1">
      <alignment horizontal="center" vertical="center"/>
    </xf>
    <xf numFmtId="0" fontId="21" fillId="20" borderId="0" xfId="0" applyFont="1" applyFill="1" applyAlignment="1">
      <alignment vertical="center" wrapText="1"/>
    </xf>
    <xf numFmtId="165" fontId="0" fillId="0" borderId="0" xfId="0" applyNumberFormat="1"/>
    <xf numFmtId="0" fontId="22" fillId="0" borderId="3" xfId="0" applyFont="1" applyBorder="1" applyAlignment="1">
      <alignment horizontal="center" vertical="center" wrapText="1"/>
    </xf>
    <xf numFmtId="0" fontId="12" fillId="0" borderId="1" xfId="0" applyFont="1" applyBorder="1" applyAlignment="1">
      <alignment horizontal="left" vertical="center"/>
    </xf>
    <xf numFmtId="0" fontId="4" fillId="0" borderId="2" xfId="0" applyFont="1" applyBorder="1" applyAlignment="1">
      <alignment horizontal="center" vertical="center"/>
    </xf>
    <xf numFmtId="0" fontId="7" fillId="0" borderId="3" xfId="0" applyFont="1" applyBorder="1"/>
    <xf numFmtId="182" fontId="0" fillId="16" borderId="1" xfId="0" applyNumberFormat="1" applyFill="1" applyBorder="1"/>
    <xf numFmtId="168" fontId="0" fillId="0" borderId="1" xfId="0" applyNumberFormat="1" applyBorder="1"/>
    <xf numFmtId="0" fontId="10" fillId="26" borderId="3" xfId="0" applyFont="1" applyFill="1" applyBorder="1"/>
    <xf numFmtId="0" fontId="10" fillId="26" borderId="4" xfId="0" applyFont="1" applyFill="1" applyBorder="1"/>
    <xf numFmtId="10" fontId="0" fillId="0" borderId="0" xfId="0" applyNumberFormat="1"/>
    <xf numFmtId="9" fontId="0" fillId="0" borderId="0" xfId="0" applyNumberFormat="1"/>
    <xf numFmtId="0" fontId="21" fillId="20" borderId="20" xfId="0" applyFont="1" applyFill="1" applyBorder="1" applyAlignment="1">
      <alignment vertical="center" wrapText="1"/>
    </xf>
    <xf numFmtId="0" fontId="21" fillId="20" borderId="12" xfId="0" applyFont="1" applyFill="1" applyBorder="1" applyAlignment="1">
      <alignment vertical="center" wrapText="1"/>
    </xf>
    <xf numFmtId="185" fontId="4" fillId="16" borderId="0" xfId="0" applyNumberFormat="1" applyFont="1" applyFill="1"/>
    <xf numFmtId="174" fontId="4" fillId="16" borderId="0" xfId="0" applyNumberFormat="1" applyFont="1" applyFill="1"/>
    <xf numFmtId="9" fontId="12" fillId="0" borderId="0" xfId="0" applyNumberFormat="1" applyFont="1" applyAlignment="1">
      <alignment horizontal="center" vertical="center" wrapText="1"/>
    </xf>
    <xf numFmtId="9" fontId="12" fillId="0" borderId="0" xfId="0" applyNumberFormat="1" applyFont="1" applyAlignment="1">
      <alignment vertical="center" wrapText="1"/>
    </xf>
    <xf numFmtId="0" fontId="7" fillId="20" borderId="0" xfId="0" applyFont="1" applyFill="1" applyAlignment="1">
      <alignment horizontal="center"/>
    </xf>
    <xf numFmtId="0" fontId="12" fillId="20" borderId="0" xfId="0" applyFont="1" applyFill="1" applyAlignment="1">
      <alignment horizontal="center" wrapText="1"/>
    </xf>
    <xf numFmtId="0" fontId="22" fillId="0" borderId="1" xfId="0" applyFont="1" applyBorder="1" applyAlignment="1">
      <alignment horizontal="center"/>
    </xf>
    <xf numFmtId="169" fontId="12" fillId="0" borderId="1" xfId="0" applyNumberFormat="1" applyFont="1" applyBorder="1" applyAlignment="1">
      <alignment horizontal="center" wrapText="1"/>
    </xf>
    <xf numFmtId="0" fontId="7" fillId="0" borderId="1" xfId="0" applyFont="1" applyBorder="1" applyAlignment="1">
      <alignment horizontal="center"/>
    </xf>
    <xf numFmtId="0" fontId="10" fillId="33" borderId="21" xfId="0" applyFont="1" applyFill="1" applyBorder="1" applyAlignment="1">
      <alignment horizontal="center" vertical="center" wrapText="1"/>
    </xf>
    <xf numFmtId="0" fontId="7" fillId="13" borderId="22" xfId="0" applyFont="1" applyFill="1" applyBorder="1" applyAlignment="1">
      <alignment horizontal="center"/>
    </xf>
    <xf numFmtId="0" fontId="7" fillId="34" borderId="22" xfId="0" applyFont="1" applyFill="1" applyBorder="1" applyAlignment="1">
      <alignment horizontal="center"/>
    </xf>
    <xf numFmtId="0" fontId="7" fillId="6" borderId="22" xfId="0" applyFont="1" applyFill="1" applyBorder="1" applyAlignment="1">
      <alignment horizontal="center"/>
    </xf>
    <xf numFmtId="0" fontId="7" fillId="35" borderId="23" xfId="0" applyFont="1" applyFill="1" applyBorder="1" applyAlignment="1">
      <alignment horizontal="center"/>
    </xf>
    <xf numFmtId="0" fontId="7" fillId="11" borderId="24" xfId="0" applyFont="1" applyFill="1" applyBorder="1" applyAlignment="1">
      <alignment horizontal="center" vertical="center"/>
    </xf>
    <xf numFmtId="0" fontId="7" fillId="13" borderId="1" xfId="0" applyFont="1" applyFill="1" applyBorder="1" applyAlignment="1">
      <alignment horizontal="center"/>
    </xf>
    <xf numFmtId="0" fontId="7" fillId="34" borderId="1" xfId="0" applyFont="1" applyFill="1" applyBorder="1" applyAlignment="1">
      <alignment horizontal="center"/>
    </xf>
    <xf numFmtId="0" fontId="7" fillId="6" borderId="1" xfId="0" applyFont="1" applyFill="1" applyBorder="1" applyAlignment="1">
      <alignment horizontal="center"/>
    </xf>
    <xf numFmtId="0" fontId="7" fillId="35" borderId="25" xfId="0" applyFont="1" applyFill="1" applyBorder="1" applyAlignment="1">
      <alignment horizontal="center"/>
    </xf>
    <xf numFmtId="0" fontId="7" fillId="11" borderId="26" xfId="0" applyFont="1" applyFill="1" applyBorder="1" applyAlignment="1">
      <alignment horizontal="center" vertical="center"/>
    </xf>
    <xf numFmtId="0" fontId="7" fillId="13" borderId="27" xfId="0" applyFont="1" applyFill="1" applyBorder="1" applyAlignment="1">
      <alignment horizontal="center"/>
    </xf>
    <xf numFmtId="0" fontId="7" fillId="34" borderId="27" xfId="0" applyFont="1" applyFill="1" applyBorder="1" applyAlignment="1">
      <alignment horizontal="center"/>
    </xf>
    <xf numFmtId="0" fontId="7" fillId="6" borderId="27" xfId="0" applyFont="1" applyFill="1" applyBorder="1" applyAlignment="1">
      <alignment horizontal="center"/>
    </xf>
    <xf numFmtId="0" fontId="7" fillId="35" borderId="28" xfId="0" applyFont="1" applyFill="1" applyBorder="1" applyAlignment="1">
      <alignment horizontal="center"/>
    </xf>
    <xf numFmtId="169" fontId="22" fillId="0" borderId="0" xfId="0" applyNumberFormat="1" applyFont="1"/>
    <xf numFmtId="0" fontId="20" fillId="18" borderId="0" xfId="0" applyFont="1" applyFill="1" applyAlignment="1">
      <alignment horizontal="center" vertical="center"/>
    </xf>
    <xf numFmtId="169" fontId="4" fillId="0" borderId="12" xfId="0" applyNumberFormat="1" applyFont="1" applyBorder="1" applyAlignment="1">
      <alignment horizontal="center" vertical="center" wrapText="1"/>
    </xf>
    <xf numFmtId="0" fontId="32" fillId="0" borderId="0" xfId="0" applyFont="1"/>
    <xf numFmtId="0" fontId="12" fillId="22" borderId="1" xfId="0" applyFont="1" applyFill="1" applyBorder="1" applyAlignment="1">
      <alignment vertical="center" wrapText="1"/>
    </xf>
    <xf numFmtId="0" fontId="0" fillId="22" borderId="2" xfId="0" applyFill="1" applyBorder="1" applyAlignment="1">
      <alignment vertical="center"/>
    </xf>
    <xf numFmtId="9" fontId="4" fillId="0" borderId="0" xfId="0" applyNumberFormat="1" applyFont="1" applyAlignment="1">
      <alignment horizontal="center" vertical="center"/>
    </xf>
    <xf numFmtId="1" fontId="4" fillId="0" borderId="0" xfId="0" applyNumberFormat="1" applyFont="1" applyAlignment="1">
      <alignment horizontal="center" vertical="center"/>
    </xf>
    <xf numFmtId="9" fontId="4" fillId="16" borderId="0" xfId="0" applyNumberFormat="1" applyFont="1" applyFill="1"/>
    <xf numFmtId="166" fontId="12" fillId="0" borderId="1" xfId="0" applyNumberFormat="1" applyFont="1" applyBorder="1" applyAlignment="1">
      <alignment wrapText="1"/>
    </xf>
    <xf numFmtId="166" fontId="12" fillId="0" borderId="6" xfId="0" applyNumberFormat="1" applyFont="1" applyBorder="1" applyAlignment="1">
      <alignment wrapText="1"/>
    </xf>
    <xf numFmtId="0" fontId="12" fillId="0" borderId="29" xfId="0" applyFont="1" applyBorder="1" applyAlignment="1">
      <alignment wrapText="1"/>
    </xf>
    <xf numFmtId="0" fontId="12" fillId="20" borderId="29" xfId="0" applyFont="1" applyFill="1" applyBorder="1" applyAlignment="1">
      <alignment wrapText="1"/>
    </xf>
    <xf numFmtId="0" fontId="0" fillId="22" borderId="1" xfId="0" applyFill="1" applyBorder="1" applyAlignment="1">
      <alignment vertical="center"/>
    </xf>
    <xf numFmtId="0" fontId="7" fillId="0" borderId="6" xfId="0" applyFont="1" applyBorder="1"/>
    <xf numFmtId="0" fontId="0" fillId="22" borderId="19" xfId="0" applyFill="1" applyBorder="1" applyAlignment="1">
      <alignment vertical="center"/>
    </xf>
    <xf numFmtId="168" fontId="12" fillId="0" borderId="6" xfId="0" applyNumberFormat="1" applyFont="1" applyBorder="1" applyAlignment="1">
      <alignment horizontal="center" vertical="center"/>
    </xf>
    <xf numFmtId="0" fontId="7" fillId="0" borderId="18" xfId="0" applyFont="1" applyBorder="1"/>
    <xf numFmtId="0" fontId="20" fillId="0" borderId="14" xfId="0" applyFont="1" applyBorder="1"/>
    <xf numFmtId="169" fontId="4" fillId="0" borderId="14" xfId="0" applyNumberFormat="1" applyFont="1" applyBorder="1"/>
    <xf numFmtId="165" fontId="12" fillId="0" borderId="1" xfId="0" applyNumberFormat="1" applyFont="1" applyBorder="1" applyAlignment="1">
      <alignment vertical="center" wrapText="1"/>
    </xf>
    <xf numFmtId="0" fontId="17" fillId="0" borderId="1" xfId="0" applyFont="1" applyBorder="1" applyAlignment="1">
      <alignment horizontal="center" vertical="center"/>
    </xf>
    <xf numFmtId="0" fontId="4" fillId="16" borderId="1" xfId="0" applyFont="1" applyFill="1" applyBorder="1" applyAlignment="1">
      <alignment horizontal="center" vertical="center"/>
    </xf>
    <xf numFmtId="0" fontId="21" fillId="20" borderId="18" xfId="0" applyFont="1" applyFill="1" applyBorder="1" applyAlignment="1">
      <alignment vertical="center" wrapText="1"/>
    </xf>
    <xf numFmtId="0" fontId="21" fillId="20" borderId="19" xfId="0" applyFont="1" applyFill="1" applyBorder="1" applyAlignment="1">
      <alignment vertical="center" wrapText="1"/>
    </xf>
    <xf numFmtId="0" fontId="20" fillId="0" borderId="1" xfId="0" applyFont="1" applyBorder="1" applyAlignment="1">
      <alignment horizontal="center" vertical="center" wrapText="1"/>
    </xf>
    <xf numFmtId="0" fontId="17" fillId="0" borderId="4" xfId="0" applyFont="1" applyBorder="1"/>
    <xf numFmtId="168" fontId="4" fillId="0" borderId="0" xfId="0" applyNumberFormat="1" applyFont="1"/>
    <xf numFmtId="0" fontId="23" fillId="0" borderId="0" xfId="0" applyFont="1"/>
    <xf numFmtId="168" fontId="4" fillId="16" borderId="1" xfId="0" applyNumberFormat="1" applyFont="1" applyFill="1" applyBorder="1"/>
    <xf numFmtId="0" fontId="28" fillId="0" borderId="0" xfId="0" applyFont="1"/>
    <xf numFmtId="0" fontId="23" fillId="0" borderId="0" xfId="0" applyFont="1" applyAlignment="1">
      <alignment wrapText="1"/>
    </xf>
    <xf numFmtId="0" fontId="28" fillId="0" borderId="0" xfId="0" applyFont="1" applyAlignment="1">
      <alignment wrapText="1"/>
    </xf>
    <xf numFmtId="2" fontId="12" fillId="0" borderId="0" xfId="0" applyNumberFormat="1" applyFont="1" applyAlignment="1">
      <alignment horizontal="center" vertical="center" wrapText="1"/>
    </xf>
    <xf numFmtId="0" fontId="4" fillId="23" borderId="0" xfId="0" applyFont="1" applyFill="1"/>
    <xf numFmtId="173" fontId="4" fillId="16" borderId="1" xfId="0" applyNumberFormat="1" applyFont="1" applyFill="1" applyBorder="1" applyAlignment="1">
      <alignment horizontal="center" vertical="center"/>
    </xf>
    <xf numFmtId="0" fontId="12" fillId="0" borderId="13" xfId="0" applyFont="1" applyBorder="1" applyAlignment="1">
      <alignment horizontal="center" vertical="center"/>
    </xf>
    <xf numFmtId="168" fontId="19" fillId="0" borderId="1" xfId="0" applyNumberFormat="1" applyFont="1" applyBorder="1" applyAlignment="1">
      <alignment horizontal="center" vertical="center" wrapText="1"/>
    </xf>
    <xf numFmtId="1" fontId="19" fillId="0" borderId="1" xfId="0" applyNumberFormat="1" applyFont="1" applyBorder="1" applyAlignment="1">
      <alignment horizontal="center" vertical="center" wrapText="1"/>
    </xf>
    <xf numFmtId="181" fontId="19" fillId="0" borderId="1" xfId="0" applyNumberFormat="1" applyFont="1" applyBorder="1" applyAlignment="1">
      <alignment horizontal="center" vertical="center" wrapText="1"/>
    </xf>
    <xf numFmtId="170" fontId="4" fillId="0" borderId="1"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6" xfId="0" applyFont="1" applyBorder="1" applyAlignment="1">
      <alignment horizontal="center" vertical="center"/>
    </xf>
    <xf numFmtId="166" fontId="12" fillId="0" borderId="6" xfId="0" applyNumberFormat="1" applyFont="1" applyBorder="1" applyAlignment="1">
      <alignment horizontal="center" vertical="center"/>
    </xf>
    <xf numFmtId="9" fontId="4" fillId="0" borderId="20" xfId="0" applyNumberFormat="1" applyFont="1" applyBorder="1" applyAlignment="1">
      <alignment horizontal="center" vertical="center"/>
    </xf>
    <xf numFmtId="1" fontId="4" fillId="0" borderId="6" xfId="0" applyNumberFormat="1" applyFont="1" applyBorder="1" applyAlignment="1">
      <alignment horizontal="center" vertical="center"/>
    </xf>
    <xf numFmtId="0" fontId="17" fillId="0" borderId="18" xfId="0" applyFont="1" applyBorder="1"/>
    <xf numFmtId="0" fontId="4" fillId="0" borderId="18" xfId="0" applyFont="1" applyBorder="1" applyAlignment="1">
      <alignment horizontal="center" vertical="center"/>
    </xf>
    <xf numFmtId="166" fontId="12" fillId="0" borderId="18" xfId="0" applyNumberFormat="1" applyFont="1" applyBorder="1" applyAlignment="1">
      <alignment horizontal="center" vertical="center"/>
    </xf>
    <xf numFmtId="9" fontId="4" fillId="0" borderId="18" xfId="0" applyNumberFormat="1" applyFont="1" applyBorder="1" applyAlignment="1">
      <alignment horizontal="center" vertical="center"/>
    </xf>
    <xf numFmtId="1" fontId="4" fillId="0" borderId="18" xfId="0" applyNumberFormat="1" applyFont="1" applyBorder="1" applyAlignment="1">
      <alignment horizontal="center" vertical="center"/>
    </xf>
    <xf numFmtId="0" fontId="21" fillId="20" borderId="0" xfId="0" applyFont="1" applyFill="1" applyAlignment="1">
      <alignment horizontal="left" vertical="center" wrapText="1"/>
    </xf>
    <xf numFmtId="0" fontId="21" fillId="20" borderId="5" xfId="0" applyFont="1" applyFill="1" applyBorder="1" applyAlignment="1">
      <alignment horizontal="left" vertical="center" wrapText="1"/>
    </xf>
    <xf numFmtId="0" fontId="22" fillId="0" borderId="1" xfId="0" applyFont="1" applyBorder="1" applyAlignment="1">
      <alignment horizontal="left" vertical="center" wrapText="1"/>
    </xf>
    <xf numFmtId="0" fontId="0" fillId="0" borderId="11" xfId="0" applyBorder="1" applyAlignment="1">
      <alignment horizontal="center" vertical="center"/>
    </xf>
    <xf numFmtId="0" fontId="12" fillId="0" borderId="11" xfId="0" applyFont="1" applyBorder="1" applyAlignment="1">
      <alignment horizontal="center" vertical="center"/>
    </xf>
    <xf numFmtId="166" fontId="12" fillId="0" borderId="11" xfId="0" applyNumberFormat="1" applyFont="1" applyBorder="1" applyAlignment="1">
      <alignment horizontal="center" vertical="center"/>
    </xf>
    <xf numFmtId="9" fontId="0" fillId="0" borderId="11" xfId="0" applyNumberFormat="1" applyBorder="1" applyAlignment="1">
      <alignment horizontal="center" vertical="center"/>
    </xf>
    <xf numFmtId="1" fontId="12" fillId="0" borderId="11" xfId="0" applyNumberFormat="1" applyFont="1" applyBorder="1" applyAlignment="1">
      <alignment horizontal="center" vertical="center" wrapText="1"/>
    </xf>
    <xf numFmtId="1" fontId="0" fillId="0" borderId="10" xfId="0" applyNumberFormat="1" applyBorder="1" applyAlignment="1">
      <alignment horizontal="center" vertical="center"/>
    </xf>
    <xf numFmtId="0" fontId="4" fillId="0" borderId="6" xfId="0" applyFont="1" applyBorder="1" applyAlignment="1">
      <alignment horizontal="center"/>
    </xf>
    <xf numFmtId="9" fontId="4" fillId="0" borderId="6" xfId="0" applyNumberFormat="1" applyFont="1" applyBorder="1" applyAlignment="1">
      <alignment horizontal="center" vertical="center"/>
    </xf>
    <xf numFmtId="0" fontId="4" fillId="0" borderId="18" xfId="0" applyFont="1" applyBorder="1" applyAlignment="1">
      <alignment horizontal="center"/>
    </xf>
    <xf numFmtId="2" fontId="12" fillId="0" borderId="18" xfId="0" applyNumberFormat="1" applyFont="1" applyBorder="1" applyAlignment="1">
      <alignment horizontal="center" vertical="center"/>
    </xf>
    <xf numFmtId="0" fontId="11" fillId="26" borderId="11" xfId="0" applyFont="1" applyFill="1" applyBorder="1" applyAlignment="1">
      <alignment horizontal="left"/>
    </xf>
    <xf numFmtId="0" fontId="11" fillId="0" borderId="0" xfId="0" applyFont="1" applyAlignment="1">
      <alignment horizontal="left"/>
    </xf>
    <xf numFmtId="0" fontId="19" fillId="15" borderId="1" xfId="0" applyFont="1" applyFill="1" applyBorder="1" applyAlignment="1">
      <alignment horizontal="left" vertical="center" wrapText="1"/>
    </xf>
    <xf numFmtId="0" fontId="22" fillId="15" borderId="11" xfId="0" applyFont="1" applyFill="1" applyBorder="1" applyAlignment="1">
      <alignment horizontal="left" vertical="center" wrapText="1"/>
    </xf>
    <xf numFmtId="1" fontId="12" fillId="22" borderId="1" xfId="0" applyNumberFormat="1" applyFont="1" applyFill="1" applyBorder="1" applyAlignment="1">
      <alignment horizontal="left" vertical="center" wrapText="1"/>
    </xf>
    <xf numFmtId="170" fontId="12" fillId="0" borderId="0" xfId="0" applyNumberFormat="1" applyFont="1" applyAlignment="1">
      <alignment horizontal="center" vertical="center" wrapText="1"/>
    </xf>
    <xf numFmtId="0" fontId="19" fillId="15" borderId="1" xfId="0" applyFont="1" applyFill="1" applyBorder="1" applyAlignment="1">
      <alignment horizontal="left" vertical="center"/>
    </xf>
    <xf numFmtId="0" fontId="34" fillId="21" borderId="1" xfId="0" applyFont="1" applyFill="1" applyBorder="1" applyAlignment="1">
      <alignment horizontal="center" vertical="center" wrapText="1"/>
    </xf>
    <xf numFmtId="0" fontId="22" fillId="0" borderId="1" xfId="0" applyFont="1" applyBorder="1" applyAlignment="1">
      <alignment horizontal="left" vertical="center"/>
    </xf>
    <xf numFmtId="0" fontId="22" fillId="0" borderId="0" xfId="0" applyFont="1" applyAlignment="1">
      <alignment horizontal="left"/>
    </xf>
    <xf numFmtId="0" fontId="21" fillId="20" borderId="0" xfId="0" applyFont="1" applyFill="1" applyAlignment="1">
      <alignment horizontal="left" vertical="center"/>
    </xf>
    <xf numFmtId="0" fontId="21" fillId="20" borderId="5" xfId="0" applyFont="1" applyFill="1" applyBorder="1" applyAlignment="1">
      <alignment horizontal="left" vertical="center"/>
    </xf>
    <xf numFmtId="0" fontId="19" fillId="22" borderId="2" xfId="0" applyFont="1" applyFill="1" applyBorder="1" applyAlignment="1">
      <alignment horizontal="left" vertical="center"/>
    </xf>
    <xf numFmtId="0" fontId="19" fillId="0" borderId="0" xfId="0" applyFont="1" applyAlignment="1">
      <alignment horizontal="left"/>
    </xf>
    <xf numFmtId="0" fontId="7" fillId="23" borderId="9" xfId="0" applyFont="1" applyFill="1" applyBorder="1" applyAlignment="1">
      <alignment wrapText="1"/>
    </xf>
    <xf numFmtId="0" fontId="10" fillId="26" borderId="1" xfId="0" applyFont="1" applyFill="1" applyBorder="1" applyAlignment="1">
      <alignment horizontal="left"/>
    </xf>
    <xf numFmtId="0" fontId="19" fillId="22" borderId="1" xfId="0" applyFont="1" applyFill="1" applyBorder="1" applyAlignment="1">
      <alignment horizontal="left" vertical="center"/>
    </xf>
    <xf numFmtId="1" fontId="19" fillId="22" borderId="1" xfId="0" applyNumberFormat="1" applyFont="1" applyFill="1" applyBorder="1" applyAlignment="1">
      <alignment horizontal="left" vertical="center"/>
    </xf>
    <xf numFmtId="0" fontId="28" fillId="0" borderId="2" xfId="0" applyFont="1" applyBorder="1"/>
    <xf numFmtId="0" fontId="19" fillId="7" borderId="0" xfId="0" applyFont="1" applyFill="1"/>
    <xf numFmtId="168" fontId="12" fillId="0" borderId="1" xfId="0" applyNumberFormat="1" applyFont="1" applyBorder="1" applyAlignment="1">
      <alignment vertical="center" wrapText="1"/>
    </xf>
    <xf numFmtId="0" fontId="0" fillId="20" borderId="5" xfId="0" applyFill="1" applyBorder="1"/>
    <xf numFmtId="0" fontId="0" fillId="0" borderId="6" xfId="0" applyBorder="1" applyAlignment="1">
      <alignment vertical="center"/>
    </xf>
    <xf numFmtId="0" fontId="0" fillId="23" borderId="1" xfId="0" applyFill="1" applyBorder="1" applyAlignment="1">
      <alignment vertical="center"/>
    </xf>
    <xf numFmtId="169" fontId="23" fillId="0" borderId="0" xfId="0" applyNumberFormat="1" applyFont="1" applyAlignment="1">
      <alignment wrapText="1"/>
    </xf>
    <xf numFmtId="165" fontId="19" fillId="0" borderId="1" xfId="0" applyNumberFormat="1" applyFont="1" applyBorder="1" applyAlignment="1">
      <alignment horizontal="center" vertical="center" wrapText="1"/>
    </xf>
    <xf numFmtId="181" fontId="4" fillId="0" borderId="1" xfId="0" applyNumberFormat="1" applyFont="1" applyBorder="1"/>
    <xf numFmtId="0" fontId="11" fillId="26" borderId="13" xfId="0" applyFont="1" applyFill="1" applyBorder="1"/>
    <xf numFmtId="0" fontId="18" fillId="26" borderId="4" xfId="0" applyFont="1" applyFill="1" applyBorder="1"/>
    <xf numFmtId="9" fontId="4" fillId="0" borderId="0" xfId="10" applyFont="1" applyAlignment="1">
      <alignment horizontal="center"/>
    </xf>
    <xf numFmtId="9" fontId="4" fillId="0" borderId="0" xfId="10" applyFont="1"/>
    <xf numFmtId="43" fontId="12" fillId="0" borderId="1" xfId="0" applyNumberFormat="1" applyFont="1" applyBorder="1" applyAlignment="1">
      <alignment horizontal="center" vertical="center" wrapText="1"/>
    </xf>
    <xf numFmtId="181" fontId="12" fillId="0" borderId="1" xfId="0" applyNumberFormat="1" applyFont="1" applyBorder="1" applyAlignment="1">
      <alignment horizontal="center" vertical="center" wrapText="1"/>
    </xf>
    <xf numFmtId="9" fontId="12" fillId="0" borderId="0" xfId="10" applyFont="1" applyAlignment="1">
      <alignment horizontal="center" vertical="center" wrapText="1"/>
    </xf>
    <xf numFmtId="0" fontId="12" fillId="38" borderId="0" xfId="0" applyFont="1" applyFill="1" applyAlignment="1">
      <alignment horizontal="center" vertical="center" wrapText="1"/>
    </xf>
    <xf numFmtId="0" fontId="22" fillId="19" borderId="0" xfId="0" applyFont="1" applyFill="1" applyAlignment="1">
      <alignment horizontal="center" vertical="center" wrapText="1"/>
    </xf>
    <xf numFmtId="165" fontId="19" fillId="19" borderId="0" xfId="0" applyNumberFormat="1" applyFont="1" applyFill="1" applyAlignment="1">
      <alignment horizontal="center" vertical="center" wrapText="1"/>
    </xf>
    <xf numFmtId="0" fontId="12" fillId="37" borderId="1" xfId="0" applyFont="1" applyFill="1" applyBorder="1" applyAlignment="1">
      <alignment horizontal="center" vertical="center" wrapText="1"/>
    </xf>
    <xf numFmtId="0" fontId="0" fillId="37" borderId="1" xfId="0" applyFill="1" applyBorder="1" applyAlignment="1">
      <alignment horizontal="center" vertical="center"/>
    </xf>
    <xf numFmtId="0" fontId="12" fillId="37" borderId="1" xfId="0" applyFont="1" applyFill="1" applyBorder="1" applyAlignment="1">
      <alignment horizontal="center" vertical="center"/>
    </xf>
    <xf numFmtId="2" fontId="12" fillId="37" borderId="1" xfId="0" applyNumberFormat="1" applyFont="1" applyFill="1" applyBorder="1" applyAlignment="1">
      <alignment horizontal="center" vertical="center"/>
    </xf>
    <xf numFmtId="9" fontId="0" fillId="37" borderId="1" xfId="0" applyNumberFormat="1" applyFill="1" applyBorder="1" applyAlignment="1">
      <alignment horizontal="center" vertical="center"/>
    </xf>
    <xf numFmtId="1" fontId="12" fillId="37" borderId="1" xfId="0" applyNumberFormat="1" applyFont="1" applyFill="1" applyBorder="1" applyAlignment="1">
      <alignment horizontal="center" vertical="center" wrapText="1"/>
    </xf>
    <xf numFmtId="1" fontId="0" fillId="37" borderId="1" xfId="0" applyNumberFormat="1" applyFill="1" applyBorder="1" applyAlignment="1">
      <alignment horizontal="center" vertical="center"/>
    </xf>
    <xf numFmtId="0" fontId="7" fillId="40" borderId="0" xfId="0" applyFont="1" applyFill="1"/>
    <xf numFmtId="3" fontId="7" fillId="40" borderId="0" xfId="0" applyNumberFormat="1" applyFont="1" applyFill="1"/>
    <xf numFmtId="3" fontId="0" fillId="0" borderId="0" xfId="0" applyNumberFormat="1"/>
    <xf numFmtId="186" fontId="7" fillId="40" borderId="0" xfId="0" applyNumberFormat="1" applyFont="1" applyFill="1"/>
    <xf numFmtId="186" fontId="0" fillId="0" borderId="0" xfId="0" applyNumberFormat="1"/>
    <xf numFmtId="0" fontId="7" fillId="39" borderId="0" xfId="0" applyFont="1" applyFill="1"/>
    <xf numFmtId="43" fontId="0" fillId="0" borderId="0" xfId="0" applyNumberFormat="1"/>
    <xf numFmtId="175" fontId="7" fillId="5" borderId="0" xfId="0" applyNumberFormat="1" applyFont="1" applyFill="1"/>
    <xf numFmtId="43" fontId="0" fillId="0" borderId="1" xfId="12" applyFont="1" applyBorder="1" applyAlignment="1">
      <alignment horizontal="center" vertical="center"/>
    </xf>
    <xf numFmtId="0" fontId="21" fillId="41" borderId="0" xfId="0" applyFont="1" applyFill="1" applyAlignment="1">
      <alignment horizontal="center" vertical="center" wrapText="1"/>
    </xf>
    <xf numFmtId="43" fontId="4" fillId="0" borderId="1" xfId="0" applyNumberFormat="1" applyFont="1" applyBorder="1" applyAlignment="1">
      <alignment horizontal="center" vertical="center"/>
    </xf>
    <xf numFmtId="0" fontId="4" fillId="42" borderId="0" xfId="0" applyFont="1" applyFill="1"/>
    <xf numFmtId="0" fontId="0" fillId="42" borderId="5" xfId="0" applyFill="1" applyBorder="1"/>
    <xf numFmtId="43" fontId="12" fillId="19" borderId="0" xfId="0" applyNumberFormat="1" applyFont="1" applyFill="1" applyAlignment="1">
      <alignment horizontal="center" vertical="center" wrapText="1"/>
    </xf>
    <xf numFmtId="0" fontId="4" fillId="0" borderId="3" xfId="0" applyFont="1" applyBorder="1"/>
    <xf numFmtId="9" fontId="0" fillId="0" borderId="2" xfId="10" applyFont="1" applyBorder="1" applyAlignment="1">
      <alignment horizontal="center" vertical="center"/>
    </xf>
    <xf numFmtId="175" fontId="0" fillId="0" borderId="2" xfId="0" applyNumberFormat="1" applyBorder="1" applyAlignment="1">
      <alignment horizontal="center" vertical="center"/>
    </xf>
    <xf numFmtId="0" fontId="19" fillId="0" borderId="2" xfId="0" applyFont="1" applyBorder="1" applyAlignment="1">
      <alignment horizontal="center" vertical="center" wrapText="1"/>
    </xf>
    <xf numFmtId="0" fontId="22" fillId="0" borderId="1" xfId="0" applyFont="1" applyBorder="1" applyAlignment="1">
      <alignment horizontal="center" vertical="center"/>
    </xf>
    <xf numFmtId="0" fontId="22" fillId="0" borderId="12" xfId="0" applyFont="1" applyBorder="1" applyAlignment="1">
      <alignment horizontal="center" vertical="center" wrapText="1"/>
    </xf>
    <xf numFmtId="0" fontId="22" fillId="0" borderId="3" xfId="0" applyFont="1" applyBorder="1" applyAlignment="1">
      <alignment horizontal="center" vertical="center"/>
    </xf>
    <xf numFmtId="0" fontId="38" fillId="43" borderId="1" xfId="14" applyFont="1" applyFill="1" applyBorder="1" applyAlignment="1">
      <alignment horizontal="center" vertical="center" wrapText="1"/>
    </xf>
    <xf numFmtId="187" fontId="37" fillId="0" borderId="1" xfId="14" applyNumberFormat="1" applyBorder="1" applyAlignment="1">
      <alignment horizontal="center"/>
    </xf>
    <xf numFmtId="188" fontId="37" fillId="37" borderId="1" xfId="14" applyNumberFormat="1" applyFill="1" applyBorder="1" applyAlignment="1">
      <alignment horizontal="center"/>
    </xf>
    <xf numFmtId="189" fontId="37" fillId="0" borderId="1" xfId="14" applyNumberFormat="1" applyBorder="1" applyAlignment="1">
      <alignment horizontal="center"/>
    </xf>
    <xf numFmtId="0" fontId="19" fillId="0" borderId="3" xfId="0" applyFont="1" applyBorder="1" applyAlignment="1">
      <alignment horizontal="center" vertical="center" wrapText="1"/>
    </xf>
    <xf numFmtId="0" fontId="38" fillId="0" borderId="1" xfId="14" applyFont="1" applyBorder="1" applyAlignment="1">
      <alignment horizontal="center" vertical="center" wrapText="1"/>
    </xf>
    <xf numFmtId="0" fontId="37" fillId="43" borderId="1" xfId="14" applyFill="1" applyBorder="1" applyAlignment="1">
      <alignment horizontal="center" vertical="center"/>
    </xf>
    <xf numFmtId="187" fontId="38" fillId="0" borderId="1" xfId="14" applyNumberFormat="1" applyFont="1" applyBorder="1" applyAlignment="1">
      <alignment horizontal="center" vertical="center" wrapText="1"/>
    </xf>
    <xf numFmtId="0" fontId="38" fillId="0" borderId="0" xfId="14" applyFont="1" applyAlignment="1">
      <alignment wrapText="1"/>
    </xf>
    <xf numFmtId="0" fontId="37" fillId="0" borderId="0" xfId="14"/>
    <xf numFmtId="0" fontId="40" fillId="43" borderId="1" xfId="14" applyFont="1" applyFill="1" applyBorder="1" applyAlignment="1">
      <alignment horizontal="center" vertical="center" wrapText="1"/>
    </xf>
    <xf numFmtId="0" fontId="41" fillId="43" borderId="1" xfId="14" applyFont="1" applyFill="1" applyBorder="1" applyAlignment="1">
      <alignment horizontal="center" vertical="center"/>
    </xf>
    <xf numFmtId="0" fontId="41" fillId="44" borderId="12" xfId="17" applyFont="1" applyFill="1" applyBorder="1" applyAlignment="1">
      <alignment horizontal="center" vertical="center" wrapText="1"/>
    </xf>
    <xf numFmtId="0" fontId="40" fillId="45" borderId="1" xfId="14" applyFont="1" applyFill="1" applyBorder="1" applyAlignment="1">
      <alignment horizontal="center" vertical="center" wrapText="1"/>
    </xf>
    <xf numFmtId="0" fontId="2" fillId="0" borderId="1" xfId="17" applyBorder="1" applyAlignment="1">
      <alignment vertical="center"/>
    </xf>
    <xf numFmtId="0" fontId="2" fillId="0" borderId="1" xfId="17" applyBorder="1" applyAlignment="1">
      <alignment horizontal="center" vertical="center"/>
    </xf>
    <xf numFmtId="1" fontId="38" fillId="0" borderId="1" xfId="17" applyNumberFormat="1" applyFont="1" applyBorder="1" applyAlignment="1">
      <alignment horizontal="center" vertical="center"/>
    </xf>
    <xf numFmtId="171" fontId="38" fillId="0" borderId="1" xfId="17" applyNumberFormat="1" applyFont="1" applyBorder="1" applyAlignment="1">
      <alignment horizontal="center" vertical="center"/>
    </xf>
    <xf numFmtId="9" fontId="2" fillId="0" borderId="1" xfId="17" applyNumberFormat="1" applyBorder="1" applyAlignment="1">
      <alignment horizontal="center" vertical="center"/>
    </xf>
    <xf numFmtId="1" fontId="38" fillId="0" borderId="1" xfId="17" applyNumberFormat="1" applyFont="1" applyBorder="1" applyAlignment="1">
      <alignment horizontal="center" vertical="center" wrapText="1"/>
    </xf>
    <xf numFmtId="1" fontId="2" fillId="0" borderId="1" xfId="17" applyNumberFormat="1" applyBorder="1" applyAlignment="1">
      <alignment horizontal="center" vertical="center"/>
    </xf>
    <xf numFmtId="0" fontId="2" fillId="0" borderId="0" xfId="17" applyAlignment="1">
      <alignment vertical="center"/>
    </xf>
    <xf numFmtId="0" fontId="2" fillId="0" borderId="0" xfId="17" applyAlignment="1">
      <alignment horizontal="center" vertical="center"/>
    </xf>
    <xf numFmtId="0" fontId="38" fillId="0" borderId="0" xfId="17" applyFont="1" applyAlignment="1">
      <alignment horizontal="center" vertical="center"/>
    </xf>
    <xf numFmtId="168" fontId="38" fillId="0" borderId="0" xfId="17" applyNumberFormat="1" applyFont="1" applyAlignment="1">
      <alignment horizontal="center" vertical="center"/>
    </xf>
    <xf numFmtId="9" fontId="2" fillId="0" borderId="0" xfId="17" applyNumberFormat="1" applyAlignment="1">
      <alignment horizontal="center" vertical="center"/>
    </xf>
    <xf numFmtId="168" fontId="38" fillId="0" borderId="0" xfId="17" applyNumberFormat="1" applyFont="1" applyAlignment="1">
      <alignment horizontal="center" vertical="center" wrapText="1"/>
    </xf>
    <xf numFmtId="1" fontId="2" fillId="0" borderId="0" xfId="17" applyNumberFormat="1" applyAlignment="1">
      <alignment horizontal="center" vertical="center"/>
    </xf>
    <xf numFmtId="0" fontId="42" fillId="46" borderId="11" xfId="17" applyFont="1" applyFill="1" applyBorder="1" applyAlignment="1">
      <alignment horizontal="center"/>
    </xf>
    <xf numFmtId="0" fontId="16" fillId="47" borderId="1" xfId="17" applyFont="1" applyFill="1" applyBorder="1" applyAlignment="1">
      <alignment horizontal="center" vertical="center"/>
    </xf>
    <xf numFmtId="0" fontId="42" fillId="46" borderId="1" xfId="17" applyFont="1" applyFill="1" applyBorder="1" applyAlignment="1">
      <alignment horizontal="center"/>
    </xf>
    <xf numFmtId="165" fontId="2" fillId="0" borderId="1" xfId="17" applyNumberFormat="1" applyBorder="1" applyAlignment="1">
      <alignment horizontal="center" vertical="center"/>
    </xf>
    <xf numFmtId="0" fontId="38" fillId="0" borderId="1" xfId="17" applyFont="1" applyBorder="1" applyAlignment="1">
      <alignment horizontal="center" vertical="center"/>
    </xf>
    <xf numFmtId="0" fontId="44" fillId="0" borderId="0" xfId="17" applyFont="1" applyAlignment="1">
      <alignment wrapText="1"/>
    </xf>
    <xf numFmtId="43" fontId="12" fillId="0" borderId="1" xfId="0" applyNumberFormat="1" applyFont="1" applyBorder="1" applyAlignment="1">
      <alignment horizontal="center" vertical="center"/>
    </xf>
    <xf numFmtId="0" fontId="7" fillId="49" borderId="0" xfId="0" applyFont="1" applyFill="1"/>
    <xf numFmtId="165" fontId="7" fillId="49" borderId="0" xfId="0" applyNumberFormat="1" applyFont="1" applyFill="1"/>
    <xf numFmtId="43" fontId="0" fillId="0" borderId="0" xfId="12" applyFont="1"/>
    <xf numFmtId="185" fontId="4" fillId="0" borderId="0" xfId="10" applyNumberFormat="1" applyFont="1"/>
    <xf numFmtId="185" fontId="4" fillId="0" borderId="0" xfId="0" applyNumberFormat="1" applyFont="1"/>
    <xf numFmtId="0" fontId="5" fillId="0" borderId="0" xfId="4" applyAlignment="1">
      <alignment horizontal="center" vertical="center"/>
    </xf>
    <xf numFmtId="1" fontId="5" fillId="0" borderId="1" xfId="4" applyNumberFormat="1" applyBorder="1" applyAlignment="1">
      <alignment horizontal="center" vertical="center"/>
    </xf>
    <xf numFmtId="9" fontId="5" fillId="0" borderId="1" xfId="4" applyNumberFormat="1" applyBorder="1" applyAlignment="1">
      <alignment horizontal="center" vertical="center"/>
    </xf>
    <xf numFmtId="2" fontId="49" fillId="0" borderId="1" xfId="4" applyNumberFormat="1" applyFont="1" applyBorder="1" applyAlignment="1">
      <alignment horizontal="center" vertical="center"/>
    </xf>
    <xf numFmtId="0" fontId="49" fillId="50" borderId="1" xfId="4" applyFont="1" applyFill="1" applyBorder="1" applyAlignment="1">
      <alignment horizontal="center" vertical="center" wrapText="1"/>
    </xf>
    <xf numFmtId="0" fontId="53" fillId="51" borderId="1" xfId="4" applyFont="1" applyFill="1" applyBorder="1" applyAlignment="1">
      <alignment horizontal="center" vertical="center" wrapText="1"/>
    </xf>
    <xf numFmtId="0" fontId="50" fillId="51" borderId="1" xfId="4" applyFont="1" applyFill="1" applyBorder="1" applyAlignment="1">
      <alignment horizontal="center" vertical="center"/>
    </xf>
    <xf numFmtId="0" fontId="49" fillId="0" borderId="0" xfId="4" applyFont="1" applyAlignment="1">
      <alignment horizontal="center" vertical="center" wrapText="1"/>
    </xf>
    <xf numFmtId="0" fontId="56" fillId="0" borderId="0" xfId="4" applyFont="1" applyAlignment="1">
      <alignment horizontal="center" vertical="center"/>
    </xf>
    <xf numFmtId="1" fontId="6" fillId="0" borderId="1" xfId="9" applyNumberFormat="1" applyBorder="1" applyAlignment="1">
      <alignment horizontal="center" vertical="center"/>
    </xf>
    <xf numFmtId="1" fontId="57" fillId="0" borderId="1" xfId="9" applyNumberFormat="1" applyFont="1" applyBorder="1" applyAlignment="1">
      <alignment horizontal="center" vertical="center" wrapText="1"/>
    </xf>
    <xf numFmtId="170" fontId="57" fillId="0" borderId="1" xfId="9" applyNumberFormat="1" applyFont="1" applyBorder="1" applyAlignment="1">
      <alignment horizontal="center" vertical="center"/>
    </xf>
    <xf numFmtId="0" fontId="5" fillId="0" borderId="1" xfId="4" applyBorder="1" applyAlignment="1">
      <alignment horizontal="center" vertical="center"/>
    </xf>
    <xf numFmtId="9" fontId="6" fillId="0" borderId="1" xfId="9" applyNumberFormat="1" applyBorder="1" applyAlignment="1">
      <alignment horizontal="center" vertical="center"/>
    </xf>
    <xf numFmtId="0" fontId="5" fillId="0" borderId="18" xfId="4" applyBorder="1" applyAlignment="1">
      <alignment horizontal="center" vertical="center"/>
    </xf>
    <xf numFmtId="0" fontId="16" fillId="47" borderId="6" xfId="9" applyFont="1" applyFill="1" applyBorder="1" applyAlignment="1">
      <alignment horizontal="center" vertical="center"/>
    </xf>
    <xf numFmtId="0" fontId="16" fillId="47" borderId="1" xfId="9" applyFont="1" applyFill="1" applyBorder="1" applyAlignment="1">
      <alignment horizontal="center" vertical="center"/>
    </xf>
    <xf numFmtId="9" fontId="5" fillId="0" borderId="6" xfId="4" applyNumberFormat="1" applyBorder="1" applyAlignment="1">
      <alignment horizontal="center" vertical="center"/>
    </xf>
    <xf numFmtId="0" fontId="50" fillId="21" borderId="1" xfId="4" applyFont="1" applyFill="1" applyBorder="1" applyAlignment="1">
      <alignment horizontal="center" vertical="center" wrapText="1"/>
    </xf>
    <xf numFmtId="0" fontId="59" fillId="43" borderId="1" xfId="19" applyFont="1" applyFill="1" applyBorder="1" applyAlignment="1">
      <alignment horizontal="center" vertical="center" wrapText="1"/>
    </xf>
    <xf numFmtId="0" fontId="59" fillId="45" borderId="1" xfId="19" applyFont="1" applyFill="1" applyBorder="1" applyAlignment="1">
      <alignment horizontal="center" vertical="center" wrapText="1"/>
    </xf>
    <xf numFmtId="0" fontId="60" fillId="44" borderId="12" xfId="9" applyFont="1" applyFill="1" applyBorder="1" applyAlignment="1">
      <alignment horizontal="center" vertical="center" wrapText="1"/>
    </xf>
    <xf numFmtId="0" fontId="61" fillId="0" borderId="0" xfId="4" applyFont="1" applyAlignment="1">
      <alignment vertical="center" wrapText="1"/>
    </xf>
    <xf numFmtId="0" fontId="61" fillId="0" borderId="18" xfId="4" applyFont="1" applyBorder="1" applyAlignment="1">
      <alignment vertical="center" wrapText="1"/>
    </xf>
    <xf numFmtId="0" fontId="57" fillId="0" borderId="1" xfId="19" applyFont="1" applyBorder="1" applyAlignment="1">
      <alignment wrapText="1"/>
    </xf>
    <xf numFmtId="0" fontId="57" fillId="43" borderId="3" xfId="19" applyFont="1" applyFill="1" applyBorder="1" applyAlignment="1">
      <alignment horizontal="center" vertical="center" wrapText="1"/>
    </xf>
    <xf numFmtId="187" fontId="57" fillId="0" borderId="1" xfId="9" applyNumberFormat="1" applyFont="1" applyBorder="1" applyAlignment="1">
      <alignment horizontal="center" vertical="center" wrapText="1"/>
    </xf>
    <xf numFmtId="0" fontId="57" fillId="43" borderId="1" xfId="19" applyFont="1" applyFill="1" applyBorder="1" applyAlignment="1">
      <alignment horizontal="center" vertical="center" wrapText="1"/>
    </xf>
    <xf numFmtId="188" fontId="57" fillId="0" borderId="1" xfId="19" applyNumberFormat="1" applyFont="1" applyBorder="1" applyAlignment="1">
      <alignment horizontal="center" vertical="center" wrapText="1"/>
    </xf>
    <xf numFmtId="187" fontId="57" fillId="0" borderId="1" xfId="19" applyNumberFormat="1" applyFont="1" applyBorder="1" applyAlignment="1">
      <alignment horizontal="center" vertical="center" wrapText="1"/>
    </xf>
    <xf numFmtId="0" fontId="58" fillId="43" borderId="1" xfId="19" applyFill="1" applyBorder="1" applyAlignment="1">
      <alignment horizontal="center" vertical="center"/>
    </xf>
    <xf numFmtId="0" fontId="57" fillId="0" borderId="1" xfId="19" applyFont="1" applyBorder="1" applyAlignment="1">
      <alignment horizontal="center" vertical="center" wrapText="1"/>
    </xf>
    <xf numFmtId="0" fontId="58" fillId="0" borderId="0" xfId="19"/>
    <xf numFmtId="1" fontId="5" fillId="0" borderId="0" xfId="4" applyNumberFormat="1" applyAlignment="1">
      <alignment horizontal="center" vertical="center"/>
    </xf>
    <xf numFmtId="2" fontId="48" fillId="0" borderId="0" xfId="4" applyNumberFormat="1" applyFont="1" applyAlignment="1">
      <alignment horizontal="center" vertical="center" wrapText="1"/>
    </xf>
    <xf numFmtId="9" fontId="5" fillId="0" borderId="0" xfId="4" applyNumberFormat="1" applyAlignment="1">
      <alignment horizontal="center" vertical="center"/>
    </xf>
    <xf numFmtId="165" fontId="49" fillId="0" borderId="0" xfId="11" applyNumberFormat="1" applyFont="1" applyAlignment="1">
      <alignment horizontal="center" vertical="center"/>
    </xf>
    <xf numFmtId="2" fontId="49" fillId="0" borderId="0" xfId="4" applyNumberFormat="1" applyFont="1" applyAlignment="1">
      <alignment horizontal="center" vertical="center"/>
    </xf>
    <xf numFmtId="0" fontId="50" fillId="0" borderId="0" xfId="9" applyFont="1" applyAlignment="1">
      <alignment horizontal="center" vertical="center" wrapText="1"/>
    </xf>
    <xf numFmtId="0" fontId="51" fillId="0" borderId="0" xfId="9" applyFont="1" applyAlignment="1">
      <alignment horizontal="center" vertical="center" wrapText="1" readingOrder="2"/>
    </xf>
    <xf numFmtId="165" fontId="52" fillId="0" borderId="0" xfId="11" applyNumberFormat="1" applyFont="1" applyAlignment="1">
      <alignment horizontal="center" vertical="center" wrapText="1"/>
    </xf>
    <xf numFmtId="0" fontId="53" fillId="0" borderId="0" xfId="4" applyFont="1" applyAlignment="1">
      <alignment horizontal="center" vertical="center" wrapText="1"/>
    </xf>
    <xf numFmtId="0" fontId="50" fillId="0" borderId="0" xfId="4" applyFont="1" applyAlignment="1">
      <alignment horizontal="center" vertical="center"/>
    </xf>
    <xf numFmtId="0" fontId="6" fillId="0" borderId="0" xfId="9"/>
    <xf numFmtId="1" fontId="48" fillId="0" borderId="0" xfId="4" applyNumberFormat="1" applyFont="1" applyAlignment="1">
      <alignment horizontal="center" vertical="center" wrapText="1"/>
    </xf>
    <xf numFmtId="165" fontId="49" fillId="0" borderId="0" xfId="4" applyNumberFormat="1" applyFont="1" applyAlignment="1">
      <alignment horizontal="center" vertical="center"/>
    </xf>
    <xf numFmtId="165" fontId="49" fillId="0" borderId="1" xfId="11" applyNumberFormat="1" applyFont="1" applyBorder="1" applyAlignment="1">
      <alignment horizontal="center" vertical="center" wrapText="1"/>
    </xf>
    <xf numFmtId="0" fontId="49" fillId="0" borderId="2" xfId="4" applyFont="1" applyBorder="1" applyAlignment="1">
      <alignment horizontal="center" vertical="center"/>
    </xf>
    <xf numFmtId="1" fontId="5" fillId="0" borderId="6" xfId="4" applyNumberFormat="1" applyBorder="1" applyAlignment="1">
      <alignment horizontal="center" vertical="center"/>
    </xf>
    <xf numFmtId="165" fontId="49" fillId="0" borderId="6" xfId="11" applyNumberFormat="1" applyFont="1" applyBorder="1" applyAlignment="1">
      <alignment horizontal="center" vertical="center" wrapText="1"/>
    </xf>
    <xf numFmtId="2" fontId="49" fillId="0" borderId="6" xfId="4" applyNumberFormat="1" applyFont="1" applyBorder="1" applyAlignment="1">
      <alignment horizontal="center" vertical="center"/>
    </xf>
    <xf numFmtId="168" fontId="5" fillId="0" borderId="1" xfId="4" applyNumberFormat="1" applyBorder="1" applyAlignment="1">
      <alignment horizontal="center" vertical="center"/>
    </xf>
    <xf numFmtId="0" fontId="49" fillId="0" borderId="6" xfId="4" applyFont="1" applyBorder="1" applyAlignment="1">
      <alignment horizontal="center" vertical="center" wrapText="1"/>
    </xf>
    <xf numFmtId="0" fontId="49" fillId="51" borderId="8" xfId="4" applyFont="1" applyFill="1" applyBorder="1" applyAlignment="1">
      <alignment horizontal="center" vertical="center" wrapText="1"/>
    </xf>
    <xf numFmtId="166" fontId="49" fillId="0" borderId="6" xfId="4" applyNumberFormat="1" applyFont="1" applyBorder="1" applyAlignment="1">
      <alignment horizontal="center" vertical="center" wrapText="1"/>
    </xf>
    <xf numFmtId="0" fontId="49" fillId="51" borderId="1" xfId="4" applyFont="1" applyFill="1" applyBorder="1" applyAlignment="1">
      <alignment horizontal="center" vertical="center" wrapText="1"/>
    </xf>
    <xf numFmtId="166" fontId="5" fillId="0" borderId="0" xfId="4" applyNumberFormat="1" applyAlignment="1">
      <alignment horizontal="center" vertical="center"/>
    </xf>
    <xf numFmtId="165" fontId="49" fillId="0" borderId="1" xfId="4" applyNumberFormat="1" applyFont="1" applyBorder="1" applyAlignment="1">
      <alignment horizontal="center" vertical="center" wrapText="1"/>
    </xf>
    <xf numFmtId="0" fontId="5" fillId="51" borderId="1" xfId="4" applyFill="1" applyBorder="1" applyAlignment="1">
      <alignment horizontal="center" vertical="center"/>
    </xf>
    <xf numFmtId="0" fontId="49" fillId="0" borderId="1" xfId="4" applyFont="1" applyBorder="1" applyAlignment="1">
      <alignment horizontal="center" vertical="center" wrapText="1"/>
    </xf>
    <xf numFmtId="43" fontId="5" fillId="0" borderId="1" xfId="4" applyNumberFormat="1" applyBorder="1" applyAlignment="1">
      <alignment horizontal="center" vertical="center"/>
    </xf>
    <xf numFmtId="0" fontId="63" fillId="0" borderId="0" xfId="20"/>
    <xf numFmtId="165" fontId="11" fillId="0" borderId="7" xfId="0" applyNumberFormat="1" applyFont="1" applyBorder="1"/>
    <xf numFmtId="3" fontId="7" fillId="0" borderId="1" xfId="0" applyNumberFormat="1" applyFont="1" applyBorder="1"/>
    <xf numFmtId="0" fontId="11" fillId="0" borderId="7" xfId="0" applyFont="1" applyBorder="1"/>
    <xf numFmtId="0" fontId="11" fillId="46" borderId="3" xfId="0" applyFont="1" applyFill="1" applyBorder="1"/>
    <xf numFmtId="1" fontId="7" fillId="49" borderId="0" xfId="0" applyNumberFormat="1" applyFont="1" applyFill="1" applyAlignment="1">
      <alignment horizontal="center"/>
    </xf>
    <xf numFmtId="9" fontId="4" fillId="0" borderId="1" xfId="10" applyFont="1" applyBorder="1" applyAlignment="1">
      <alignment horizontal="center" vertical="center"/>
    </xf>
    <xf numFmtId="165" fontId="66" fillId="16" borderId="7" xfId="0" applyNumberFormat="1" applyFont="1" applyFill="1" applyBorder="1"/>
    <xf numFmtId="0" fontId="0" fillId="52" borderId="0" xfId="0" applyFill="1"/>
    <xf numFmtId="0" fontId="41" fillId="44" borderId="5" xfId="17" applyFont="1" applyFill="1" applyBorder="1" applyAlignment="1">
      <alignment horizontal="center" vertical="center" wrapText="1"/>
    </xf>
    <xf numFmtId="1" fontId="2" fillId="0" borderId="3" xfId="17" applyNumberFormat="1" applyBorder="1" applyAlignment="1">
      <alignment horizontal="center" vertical="center"/>
    </xf>
    <xf numFmtId="187" fontId="38" fillId="0" borderId="6" xfId="17" applyNumberFormat="1" applyFont="1" applyBorder="1" applyAlignment="1">
      <alignment horizontal="center" vertical="center" wrapText="1"/>
    </xf>
    <xf numFmtId="0" fontId="38" fillId="43" borderId="8" xfId="14" applyFont="1" applyFill="1" applyBorder="1" applyAlignment="1">
      <alignment horizontal="center" vertical="center" wrapText="1"/>
    </xf>
    <xf numFmtId="0" fontId="38" fillId="0" borderId="6" xfId="14" applyFont="1" applyBorder="1" applyAlignment="1">
      <alignment wrapText="1"/>
    </xf>
    <xf numFmtId="0" fontId="39" fillId="0" borderId="0" xfId="14" applyFont="1" applyAlignment="1">
      <alignment vertical="center" wrapText="1"/>
    </xf>
    <xf numFmtId="0" fontId="40" fillId="0" borderId="1" xfId="14" applyFont="1" applyBorder="1" applyAlignment="1">
      <alignment horizontal="center" vertical="center" wrapText="1"/>
    </xf>
    <xf numFmtId="0" fontId="41" fillId="0" borderId="1" xfId="14" applyFont="1" applyBorder="1" applyAlignment="1">
      <alignment horizontal="center" vertical="center"/>
    </xf>
    <xf numFmtId="0" fontId="41" fillId="0" borderId="12" xfId="17" applyFont="1" applyBorder="1" applyAlignment="1">
      <alignment horizontal="center" vertical="center" wrapText="1"/>
    </xf>
    <xf numFmtId="0" fontId="41" fillId="0" borderId="5" xfId="17" applyFont="1" applyBorder="1" applyAlignment="1">
      <alignment horizontal="center" vertical="center" wrapText="1"/>
    </xf>
    <xf numFmtId="0" fontId="20" fillId="53" borderId="0" xfId="0" applyFont="1" applyFill="1" applyAlignment="1">
      <alignment horizontal="center" vertical="center" wrapText="1"/>
    </xf>
    <xf numFmtId="0" fontId="21" fillId="53" borderId="0" xfId="0" applyFont="1" applyFill="1" applyAlignment="1">
      <alignment horizontal="center" vertical="center" wrapText="1"/>
    </xf>
    <xf numFmtId="0" fontId="12" fillId="53" borderId="0" xfId="0" applyFont="1" applyFill="1" applyAlignment="1">
      <alignment horizontal="center" vertical="center"/>
    </xf>
    <xf numFmtId="166" fontId="12" fillId="53" borderId="0" xfId="0" applyNumberFormat="1" applyFont="1" applyFill="1" applyAlignment="1">
      <alignment horizontal="center" vertical="center"/>
    </xf>
    <xf numFmtId="0" fontId="4" fillId="53" borderId="0" xfId="0" applyFont="1" applyFill="1"/>
    <xf numFmtId="0" fontId="0" fillId="53" borderId="0" xfId="0" applyFill="1"/>
    <xf numFmtId="0" fontId="4" fillId="37" borderId="1" xfId="0" applyFont="1" applyFill="1" applyBorder="1" applyAlignment="1">
      <alignment horizontal="center" vertical="center"/>
    </xf>
    <xf numFmtId="2" fontId="4" fillId="37" borderId="1" xfId="0" applyNumberFormat="1" applyFont="1" applyFill="1" applyBorder="1" applyAlignment="1">
      <alignment horizontal="center" vertical="center"/>
    </xf>
    <xf numFmtId="9" fontId="4" fillId="37" borderId="1" xfId="10" applyFont="1" applyFill="1" applyBorder="1" applyAlignment="1">
      <alignment horizontal="center" vertical="center"/>
    </xf>
    <xf numFmtId="168" fontId="0" fillId="0" borderId="2" xfId="0" applyNumberFormat="1" applyBorder="1" applyAlignment="1">
      <alignment vertical="center"/>
    </xf>
    <xf numFmtId="0" fontId="66" fillId="37" borderId="7" xfId="0" applyFont="1" applyFill="1" applyBorder="1"/>
    <xf numFmtId="169" fontId="66" fillId="16" borderId="1" xfId="0" applyNumberFormat="1" applyFont="1" applyFill="1" applyBorder="1"/>
    <xf numFmtId="165" fontId="66" fillId="16" borderId="1" xfId="0" applyNumberFormat="1" applyFont="1" applyFill="1" applyBorder="1"/>
    <xf numFmtId="165" fontId="11" fillId="22" borderId="1" xfId="0" applyNumberFormat="1" applyFont="1" applyFill="1" applyBorder="1"/>
    <xf numFmtId="165" fontId="11" fillId="0" borderId="1" xfId="0" applyNumberFormat="1" applyFont="1" applyBorder="1"/>
    <xf numFmtId="0" fontId="11" fillId="0" borderId="1" xfId="0" applyFont="1" applyBorder="1"/>
    <xf numFmtId="165" fontId="11" fillId="0" borderId="1" xfId="17" applyNumberFormat="1" applyFont="1" applyBorder="1" applyAlignment="1">
      <alignment horizontal="center" vertical="center"/>
    </xf>
    <xf numFmtId="165" fontId="66" fillId="48" borderId="1" xfId="18" applyNumberFormat="1" applyFont="1" applyFill="1" applyBorder="1" applyAlignment="1">
      <alignment horizontal="center" vertical="center"/>
    </xf>
    <xf numFmtId="165" fontId="68" fillId="48" borderId="1" xfId="11" applyNumberFormat="1" applyFont="1" applyFill="1" applyBorder="1" applyAlignment="1">
      <alignment horizontal="center" vertical="center"/>
    </xf>
    <xf numFmtId="165" fontId="16" fillId="0" borderId="6" xfId="9" applyNumberFormat="1" applyFont="1" applyBorder="1" applyAlignment="1">
      <alignment horizontal="center" vertical="center"/>
    </xf>
    <xf numFmtId="43" fontId="69" fillId="0" borderId="1" xfId="4" applyNumberFormat="1" applyFont="1" applyBorder="1" applyAlignment="1">
      <alignment horizontal="center" vertical="center"/>
    </xf>
    <xf numFmtId="9" fontId="0" fillId="0" borderId="7" xfId="0" applyNumberFormat="1" applyBorder="1"/>
    <xf numFmtId="3" fontId="47" fillId="0" borderId="0" xfId="20" applyNumberFormat="1" applyFont="1" applyAlignment="1">
      <alignment horizontal="center" vertical="center"/>
    </xf>
    <xf numFmtId="0" fontId="65" fillId="0" borderId="0" xfId="20" applyFont="1" applyAlignment="1">
      <alignment horizontal="center" vertical="center"/>
    </xf>
    <xf numFmtId="0" fontId="47" fillId="0" borderId="0" xfId="20" applyFont="1" applyAlignment="1">
      <alignment horizontal="left" vertical="center"/>
    </xf>
    <xf numFmtId="186" fontId="46" fillId="0" borderId="0" xfId="20" applyNumberFormat="1" applyFont="1" applyAlignment="1">
      <alignment horizontal="center" vertical="center"/>
    </xf>
    <xf numFmtId="0" fontId="46" fillId="0" borderId="0" xfId="20" applyFont="1" applyAlignment="1">
      <alignment horizontal="center" vertical="center" wrapText="1"/>
    </xf>
    <xf numFmtId="0" fontId="46" fillId="0" borderId="0" xfId="20" applyFont="1" applyAlignment="1">
      <alignment horizontal="center" vertical="center"/>
    </xf>
    <xf numFmtId="0" fontId="47" fillId="0" borderId="0" xfId="20" applyFont="1" applyAlignment="1">
      <alignment horizontal="right" vertical="center"/>
    </xf>
    <xf numFmtId="0" fontId="47" fillId="0" borderId="0" xfId="20" applyFont="1" applyAlignment="1">
      <alignment horizontal="center" vertical="center"/>
    </xf>
    <xf numFmtId="171" fontId="47" fillId="0" borderId="0" xfId="20" applyNumberFormat="1" applyFont="1" applyAlignment="1">
      <alignment horizontal="center" vertical="center"/>
    </xf>
    <xf numFmtId="4" fontId="46" fillId="0" borderId="0" xfId="20" applyNumberFormat="1" applyFont="1" applyAlignment="1">
      <alignment horizontal="center" vertical="center"/>
    </xf>
    <xf numFmtId="0" fontId="70" fillId="0" borderId="0" xfId="20" applyFont="1" applyAlignment="1">
      <alignment horizontal="center" vertical="center"/>
    </xf>
    <xf numFmtId="186" fontId="47" fillId="0" borderId="0" xfId="20" applyNumberFormat="1" applyFont="1" applyAlignment="1">
      <alignment horizontal="center" vertical="center"/>
    </xf>
    <xf numFmtId="0" fontId="4" fillId="0" borderId="0" xfId="20" applyFont="1" applyAlignment="1">
      <alignment horizontal="left" vertical="center"/>
    </xf>
    <xf numFmtId="191" fontId="22" fillId="0" borderId="0" xfId="20" applyNumberFormat="1" applyFont="1" applyAlignment="1">
      <alignment horizontal="center" vertical="center"/>
    </xf>
    <xf numFmtId="0" fontId="64" fillId="0" borderId="0" xfId="20" applyFont="1" applyAlignment="1">
      <alignment vertical="center"/>
    </xf>
    <xf numFmtId="0" fontId="47" fillId="0" borderId="0" xfId="20" applyFont="1" applyAlignment="1">
      <alignment vertical="center"/>
    </xf>
    <xf numFmtId="0" fontId="65" fillId="0" borderId="0" xfId="20" applyFont="1" applyAlignment="1">
      <alignment vertical="center"/>
    </xf>
    <xf numFmtId="0" fontId="55" fillId="0" borderId="0" xfId="20" applyFont="1" applyAlignment="1">
      <alignment vertical="center"/>
    </xf>
    <xf numFmtId="0" fontId="46" fillId="0" borderId="0" xfId="20" applyFont="1" applyAlignment="1">
      <alignment vertical="center"/>
    </xf>
    <xf numFmtId="4" fontId="0" fillId="0" borderId="0" xfId="0" applyNumberFormat="1"/>
    <xf numFmtId="0" fontId="62" fillId="0" borderId="0" xfId="9" applyFont="1"/>
    <xf numFmtId="0" fontId="62" fillId="0" borderId="0" xfId="9" applyFont="1" applyAlignment="1">
      <alignment horizontal="center"/>
    </xf>
    <xf numFmtId="0" fontId="66" fillId="16" borderId="1" xfId="0" applyFont="1" applyFill="1" applyBorder="1"/>
    <xf numFmtId="0" fontId="20" fillId="55" borderId="0" xfId="0" applyFont="1" applyFill="1" applyAlignment="1">
      <alignment horizontal="center" vertical="center" wrapText="1"/>
    </xf>
    <xf numFmtId="0" fontId="4" fillId="55" borderId="0" xfId="0" applyFont="1" applyFill="1" applyAlignment="1">
      <alignment horizontal="center" vertical="center"/>
    </xf>
    <xf numFmtId="0" fontId="21" fillId="55" borderId="0" xfId="0" applyFont="1" applyFill="1" applyAlignment="1">
      <alignment horizontal="center" vertical="center" wrapText="1"/>
    </xf>
    <xf numFmtId="166" fontId="12" fillId="55" borderId="0" xfId="0" applyNumberFormat="1" applyFont="1" applyFill="1" applyAlignment="1">
      <alignment horizontal="center" vertical="center"/>
    </xf>
    <xf numFmtId="9" fontId="0" fillId="55" borderId="0" xfId="0" applyNumberFormat="1" applyFill="1" applyAlignment="1">
      <alignment horizontal="center" vertical="center"/>
    </xf>
    <xf numFmtId="0" fontId="4" fillId="55" borderId="0" xfId="0" applyFont="1" applyFill="1"/>
    <xf numFmtId="165" fontId="68" fillId="37" borderId="1" xfId="9" applyNumberFormat="1" applyFont="1" applyFill="1" applyBorder="1" applyAlignment="1">
      <alignment horizontal="center" vertical="center"/>
    </xf>
    <xf numFmtId="0" fontId="69" fillId="0" borderId="1" xfId="4" applyFont="1" applyBorder="1" applyAlignment="1">
      <alignment horizontal="center" vertical="center"/>
    </xf>
    <xf numFmtId="0" fontId="0" fillId="55" borderId="0" xfId="0" applyFill="1"/>
    <xf numFmtId="0" fontId="23" fillId="55" borderId="0" xfId="0" applyFont="1" applyFill="1"/>
    <xf numFmtId="165" fontId="66" fillId="37" borderId="1" xfId="17" applyNumberFormat="1" applyFont="1" applyFill="1" applyBorder="1" applyAlignment="1">
      <alignment horizontal="center" vertical="center"/>
    </xf>
    <xf numFmtId="0" fontId="1" fillId="0" borderId="0" xfId="21"/>
    <xf numFmtId="0" fontId="71" fillId="56" borderId="30" xfId="21" applyFont="1" applyFill="1" applyBorder="1" applyAlignment="1">
      <alignment horizontal="center" vertical="center"/>
    </xf>
    <xf numFmtId="0" fontId="71" fillId="0" borderId="30" xfId="21" applyFont="1" applyBorder="1" applyAlignment="1">
      <alignment horizontal="left" vertical="center"/>
    </xf>
    <xf numFmtId="3" fontId="71" fillId="0" borderId="30" xfId="21" applyNumberFormat="1" applyFont="1" applyBorder="1" applyAlignment="1">
      <alignment horizontal="right" vertical="center"/>
    </xf>
    <xf numFmtId="0" fontId="7" fillId="58" borderId="0" xfId="0" applyFont="1" applyFill="1" applyAlignment="1">
      <alignment horizontal="center" vertical="center"/>
    </xf>
    <xf numFmtId="0" fontId="0" fillId="59" borderId="0" xfId="0" applyFill="1"/>
    <xf numFmtId="0" fontId="0" fillId="60" borderId="0" xfId="0" applyFill="1"/>
    <xf numFmtId="0" fontId="0" fillId="61" borderId="0" xfId="0" applyFill="1"/>
    <xf numFmtId="0" fontId="4" fillId="61" borderId="0" xfId="0" applyFont="1" applyFill="1"/>
    <xf numFmtId="0" fontId="0" fillId="62" borderId="0" xfId="0" applyFill="1"/>
    <xf numFmtId="0" fontId="4" fillId="62" borderId="0" xfId="0" applyFont="1" applyFill="1"/>
    <xf numFmtId="0" fontId="0" fillId="63" borderId="0" xfId="0" applyFill="1"/>
    <xf numFmtId="0" fontId="0" fillId="64" borderId="0" xfId="0" applyFill="1"/>
    <xf numFmtId="0" fontId="22" fillId="37" borderId="0" xfId="0" applyFont="1" applyFill="1" applyAlignment="1">
      <alignment horizontal="center" vertical="center"/>
    </xf>
    <xf numFmtId="0" fontId="7" fillId="57" borderId="0" xfId="0" applyFont="1" applyFill="1"/>
    <xf numFmtId="0" fontId="0" fillId="65" borderId="0" xfId="0" applyFill="1"/>
    <xf numFmtId="0" fontId="7" fillId="66" borderId="0" xfId="0" applyFont="1" applyFill="1"/>
    <xf numFmtId="0" fontId="7" fillId="66" borderId="0" xfId="0" applyFont="1" applyFill="1" applyAlignment="1">
      <alignment horizontal="center"/>
    </xf>
    <xf numFmtId="1" fontId="7" fillId="66" borderId="0" xfId="0" applyNumberFormat="1" applyFont="1" applyFill="1" applyAlignment="1">
      <alignment horizontal="center" vertical="center"/>
    </xf>
    <xf numFmtId="0" fontId="0" fillId="67" borderId="0" xfId="0" applyFill="1"/>
    <xf numFmtId="0" fontId="62" fillId="0" borderId="0" xfId="21" applyFont="1"/>
    <xf numFmtId="0" fontId="74" fillId="0" borderId="33" xfId="0" applyFont="1" applyBorder="1" applyAlignment="1">
      <alignment horizontal="center" vertical="center" wrapText="1"/>
    </xf>
    <xf numFmtId="0" fontId="74" fillId="0" borderId="33" xfId="0" applyFont="1" applyBorder="1" applyAlignment="1">
      <alignment horizontal="center" vertical="center"/>
    </xf>
    <xf numFmtId="0" fontId="75" fillId="0" borderId="33" xfId="0" applyFont="1" applyBorder="1" applyAlignment="1">
      <alignment horizontal="center" vertical="center"/>
    </xf>
    <xf numFmtId="0" fontId="74" fillId="38" borderId="33" xfId="0" applyFont="1" applyFill="1" applyBorder="1" applyAlignment="1">
      <alignment horizontal="center" vertical="center" wrapText="1"/>
    </xf>
    <xf numFmtId="0" fontId="76" fillId="68" borderId="33" xfId="0" applyFont="1" applyFill="1" applyBorder="1" applyAlignment="1">
      <alignment horizontal="center" vertical="center"/>
    </xf>
    <xf numFmtId="0" fontId="19" fillId="69" borderId="33" xfId="0" applyFont="1" applyFill="1" applyBorder="1" applyAlignment="1">
      <alignment horizontal="center" vertical="center" wrapText="1"/>
    </xf>
    <xf numFmtId="0" fontId="21" fillId="0" borderId="0" xfId="0" applyFont="1" applyAlignment="1">
      <alignment vertical="center"/>
    </xf>
    <xf numFmtId="0" fontId="76" fillId="68" borderId="33" xfId="0" applyFont="1" applyFill="1" applyBorder="1" applyAlignment="1">
      <alignment horizontal="center" vertical="center" wrapText="1"/>
    </xf>
    <xf numFmtId="0" fontId="77" fillId="70" borderId="0" xfId="0" applyFont="1" applyFill="1" applyAlignment="1">
      <alignment horizontal="center" vertical="center" wrapText="1"/>
    </xf>
    <xf numFmtId="0" fontId="1" fillId="0" borderId="1" xfId="26" applyBorder="1" applyAlignment="1">
      <alignment vertical="center"/>
    </xf>
    <xf numFmtId="0" fontId="1" fillId="0" borderId="1" xfId="26" applyBorder="1" applyAlignment="1">
      <alignment horizontal="center" vertical="center"/>
    </xf>
    <xf numFmtId="1" fontId="38" fillId="0" borderId="1" xfId="26" applyNumberFormat="1" applyFont="1" applyBorder="1" applyAlignment="1">
      <alignment horizontal="center" vertical="center"/>
    </xf>
    <xf numFmtId="9" fontId="1" fillId="0" borderId="1" xfId="26" applyNumberFormat="1" applyBorder="1" applyAlignment="1">
      <alignment horizontal="center" vertical="center"/>
    </xf>
    <xf numFmtId="1" fontId="38" fillId="0" borderId="1" xfId="26" applyNumberFormat="1" applyFont="1" applyBorder="1" applyAlignment="1">
      <alignment horizontal="center" vertical="center" wrapText="1"/>
    </xf>
    <xf numFmtId="1" fontId="1" fillId="0" borderId="1" xfId="26" applyNumberFormat="1" applyBorder="1" applyAlignment="1">
      <alignment horizontal="center" vertical="center"/>
    </xf>
    <xf numFmtId="0" fontId="0" fillId="71" borderId="0" xfId="0" applyFill="1"/>
    <xf numFmtId="0" fontId="62" fillId="0" borderId="30" xfId="21" applyFont="1" applyBorder="1"/>
    <xf numFmtId="0" fontId="5" fillId="57" borderId="0" xfId="4" applyFill="1" applyAlignment="1">
      <alignment horizontal="center" vertical="center"/>
    </xf>
    <xf numFmtId="0" fontId="49" fillId="72" borderId="1" xfId="4" applyFont="1" applyFill="1" applyBorder="1" applyAlignment="1">
      <alignment horizontal="center" vertical="center" wrapText="1"/>
    </xf>
    <xf numFmtId="0" fontId="5" fillId="57" borderId="1" xfId="4" applyFill="1" applyBorder="1" applyAlignment="1">
      <alignment horizontal="center" vertical="center"/>
    </xf>
    <xf numFmtId="0" fontId="12" fillId="57" borderId="0" xfId="0" applyFont="1" applyFill="1" applyAlignment="1">
      <alignment wrapText="1"/>
    </xf>
    <xf numFmtId="0" fontId="0" fillId="57" borderId="0" xfId="0" applyFill="1"/>
    <xf numFmtId="0" fontId="19" fillId="57" borderId="0" xfId="0" applyFont="1" applyFill="1" applyAlignment="1">
      <alignment horizontal="center" vertical="center" wrapText="1"/>
    </xf>
    <xf numFmtId="0" fontId="22" fillId="57" borderId="0" xfId="0" applyFont="1" applyFill="1" applyAlignment="1">
      <alignment horizontal="center" vertical="center"/>
    </xf>
    <xf numFmtId="0" fontId="7" fillId="57" borderId="0" xfId="0" applyFont="1" applyFill="1" applyAlignment="1">
      <alignment horizontal="center" vertical="center"/>
    </xf>
    <xf numFmtId="165" fontId="7" fillId="57" borderId="0" xfId="0" applyNumberFormat="1" applyFont="1" applyFill="1" applyAlignment="1">
      <alignment horizontal="center" vertical="center"/>
    </xf>
    <xf numFmtId="0" fontId="4" fillId="57" borderId="0" xfId="0" applyFont="1" applyFill="1"/>
    <xf numFmtId="0" fontId="76" fillId="68" borderId="33" xfId="0" applyFont="1" applyFill="1" applyBorder="1" applyAlignment="1">
      <alignment vertical="center"/>
    </xf>
    <xf numFmtId="0" fontId="21" fillId="68" borderId="0" xfId="0" applyFont="1" applyFill="1" applyAlignment="1">
      <alignment vertical="center"/>
    </xf>
    <xf numFmtId="0" fontId="0" fillId="68" borderId="0" xfId="0" applyFill="1"/>
    <xf numFmtId="0" fontId="7" fillId="68" borderId="0" xfId="0" applyFont="1" applyFill="1" applyAlignment="1">
      <alignment horizontal="center" vertical="center"/>
    </xf>
    <xf numFmtId="0" fontId="9" fillId="13" borderId="0" xfId="0" applyFont="1" applyFill="1"/>
    <xf numFmtId="165" fontId="9" fillId="13" borderId="0" xfId="0" applyNumberFormat="1" applyFont="1" applyFill="1" applyAlignment="1">
      <alignment horizontal="center" vertical="center"/>
    </xf>
    <xf numFmtId="192" fontId="4" fillId="16" borderId="1" xfId="0" applyNumberFormat="1" applyFont="1" applyFill="1" applyBorder="1"/>
    <xf numFmtId="0" fontId="76" fillId="68" borderId="34" xfId="0" applyFont="1" applyFill="1" applyBorder="1" applyAlignment="1">
      <alignment vertical="center"/>
    </xf>
    <xf numFmtId="0" fontId="27" fillId="73" borderId="0" xfId="0" applyFont="1" applyFill="1" applyAlignment="1">
      <alignment horizontal="center" vertical="center"/>
    </xf>
    <xf numFmtId="43" fontId="4" fillId="0" borderId="0" xfId="0" applyNumberFormat="1" applyFont="1"/>
    <xf numFmtId="0" fontId="71" fillId="56" borderId="1" xfId="21" applyFont="1" applyFill="1" applyBorder="1" applyAlignment="1">
      <alignment horizontal="center" vertical="center"/>
    </xf>
    <xf numFmtId="0" fontId="71" fillId="0" borderId="1" xfId="21" applyFont="1" applyBorder="1" applyAlignment="1">
      <alignment horizontal="left" vertical="center"/>
    </xf>
    <xf numFmtId="0" fontId="62" fillId="0" borderId="1" xfId="21" applyFont="1" applyBorder="1"/>
    <xf numFmtId="3" fontId="71" fillId="0" borderId="1" xfId="21" applyNumberFormat="1" applyFont="1" applyBorder="1" applyAlignment="1">
      <alignment horizontal="right" vertical="center"/>
    </xf>
    <xf numFmtId="0" fontId="16" fillId="0" borderId="0" xfId="9" applyFont="1" applyAlignment="1">
      <alignment horizontal="center" vertical="center"/>
    </xf>
    <xf numFmtId="0" fontId="12" fillId="0" borderId="0" xfId="0" applyFont="1" applyAlignment="1">
      <alignment horizontal="left" vertical="center" wrapText="1"/>
    </xf>
    <xf numFmtId="169" fontId="0" fillId="0" borderId="0" xfId="0" applyNumberFormat="1" applyAlignment="1">
      <alignment vertical="center"/>
    </xf>
    <xf numFmtId="169" fontId="18" fillId="0" borderId="0" xfId="0" applyNumberFormat="1" applyFont="1"/>
    <xf numFmtId="0" fontId="21" fillId="74" borderId="0" xfId="0" applyFont="1" applyFill="1" applyAlignment="1">
      <alignment horizontal="center" vertical="center"/>
    </xf>
    <xf numFmtId="176" fontId="26" fillId="75" borderId="0" xfId="0" applyNumberFormat="1" applyFont="1" applyFill="1"/>
    <xf numFmtId="0" fontId="27" fillId="74" borderId="0" xfId="0" applyFont="1" applyFill="1" applyAlignment="1">
      <alignment horizontal="center" vertical="center"/>
    </xf>
    <xf numFmtId="177" fontId="26" fillId="75" borderId="0" xfId="0" applyNumberFormat="1" applyFont="1" applyFill="1"/>
    <xf numFmtId="169" fontId="26" fillId="75" borderId="0" xfId="0" applyNumberFormat="1" applyFont="1" applyFill="1"/>
    <xf numFmtId="0" fontId="11" fillId="57" borderId="0" xfId="0" applyFont="1" applyFill="1" applyAlignment="1">
      <alignment horizontal="center" vertical="center"/>
    </xf>
    <xf numFmtId="1" fontId="0" fillId="57" borderId="0" xfId="0" applyNumberFormat="1" applyFill="1"/>
    <xf numFmtId="0" fontId="17" fillId="57" borderId="0" xfId="0" applyFont="1" applyFill="1" applyAlignment="1">
      <alignment horizontal="center"/>
    </xf>
    <xf numFmtId="175" fontId="0" fillId="0" borderId="0" xfId="0" applyNumberFormat="1" applyAlignment="1">
      <alignment vertical="center"/>
    </xf>
    <xf numFmtId="9" fontId="0" fillId="0" borderId="0" xfId="0" applyNumberFormat="1" applyAlignment="1">
      <alignment vertical="center"/>
    </xf>
    <xf numFmtId="1" fontId="0" fillId="0" borderId="0" xfId="0" applyNumberFormat="1" applyAlignment="1">
      <alignment vertical="center"/>
    </xf>
    <xf numFmtId="165" fontId="0" fillId="0" borderId="0" xfId="0" applyNumberFormat="1" applyAlignment="1">
      <alignment horizontal="center" vertical="center"/>
    </xf>
    <xf numFmtId="0" fontId="46" fillId="0" borderId="0" xfId="9" applyFont="1" applyAlignment="1">
      <alignment horizontal="left" vertical="center"/>
    </xf>
    <xf numFmtId="0" fontId="54" fillId="0" borderId="0" xfId="9" applyFont="1" applyAlignment="1">
      <alignment horizontal="left" vertical="center"/>
    </xf>
    <xf numFmtId="0" fontId="45" fillId="0" borderId="0" xfId="9" applyFont="1"/>
    <xf numFmtId="170" fontId="54" fillId="0" borderId="0" xfId="9" applyNumberFormat="1" applyFont="1" applyAlignment="1">
      <alignment horizontal="left" vertical="center"/>
    </xf>
    <xf numFmtId="0" fontId="47" fillId="0" borderId="0" xfId="9" applyFont="1" applyAlignment="1">
      <alignment horizontal="left" vertical="center"/>
    </xf>
    <xf numFmtId="0" fontId="46" fillId="0" borderId="0" xfId="9" applyFont="1" applyAlignment="1">
      <alignment horizontal="center" vertical="center" wrapText="1"/>
    </xf>
    <xf numFmtId="4" fontId="47" fillId="0" borderId="0" xfId="9" applyNumberFormat="1" applyFont="1" applyAlignment="1">
      <alignment horizontal="left" vertical="center"/>
    </xf>
    <xf numFmtId="171" fontId="47" fillId="0" borderId="0" xfId="9" applyNumberFormat="1" applyFont="1" applyAlignment="1">
      <alignment horizontal="left" vertical="center"/>
    </xf>
    <xf numFmtId="0" fontId="48" fillId="0" borderId="0" xfId="4" applyFont="1" applyAlignment="1">
      <alignment horizontal="center" vertical="center"/>
    </xf>
    <xf numFmtId="1" fontId="6" fillId="0" borderId="0" xfId="9" applyNumberFormat="1" applyAlignment="1">
      <alignment horizontal="center" vertical="center"/>
    </xf>
    <xf numFmtId="0" fontId="49" fillId="0" borderId="0" xfId="9" applyFont="1" applyAlignment="1">
      <alignment horizontal="center" vertical="center" wrapText="1"/>
    </xf>
    <xf numFmtId="4" fontId="46" fillId="0" borderId="0" xfId="9" applyNumberFormat="1" applyFont="1" applyAlignment="1">
      <alignment horizontal="left" vertical="center"/>
    </xf>
    <xf numFmtId="165" fontId="4" fillId="0" borderId="1" xfId="12" applyNumberFormat="1" applyFont="1" applyBorder="1" applyAlignment="1">
      <alignment horizontal="center"/>
    </xf>
    <xf numFmtId="165" fontId="37" fillId="0" borderId="1" xfId="14" applyNumberFormat="1" applyBorder="1" applyAlignment="1">
      <alignment horizontal="center"/>
    </xf>
    <xf numFmtId="165" fontId="49" fillId="0" borderId="0" xfId="4" applyNumberFormat="1" applyFont="1" applyAlignment="1">
      <alignment horizontal="center" vertical="center" wrapText="1"/>
    </xf>
    <xf numFmtId="165" fontId="51" fillId="0" borderId="0" xfId="9" applyNumberFormat="1" applyFont="1" applyAlignment="1">
      <alignment horizontal="center" vertical="center" wrapText="1" readingOrder="2"/>
    </xf>
    <xf numFmtId="165" fontId="53" fillId="0" borderId="0" xfId="4" applyNumberFormat="1" applyFont="1" applyAlignment="1">
      <alignment horizontal="center" vertical="center" wrapText="1"/>
    </xf>
    <xf numFmtId="165" fontId="18" fillId="0" borderId="0" xfId="0" applyNumberFormat="1" applyFont="1"/>
    <xf numFmtId="176" fontId="0" fillId="0" borderId="0" xfId="0" applyNumberFormat="1"/>
    <xf numFmtId="181" fontId="26" fillId="32" borderId="0" xfId="0" applyNumberFormat="1" applyFont="1" applyFill="1"/>
    <xf numFmtId="181" fontId="0" fillId="0" borderId="0" xfId="0" applyNumberFormat="1"/>
    <xf numFmtId="181" fontId="12" fillId="0" borderId="0" xfId="0" applyNumberFormat="1" applyFont="1" applyAlignment="1">
      <alignment wrapText="1"/>
    </xf>
    <xf numFmtId="176" fontId="12" fillId="0" borderId="0" xfId="0" applyNumberFormat="1" applyFont="1" applyAlignment="1">
      <alignment wrapText="1"/>
    </xf>
    <xf numFmtId="0" fontId="37" fillId="0" borderId="1" xfId="14" applyBorder="1"/>
    <xf numFmtId="0" fontId="4" fillId="20" borderId="1" xfId="0" applyFont="1" applyFill="1" applyBorder="1"/>
    <xf numFmtId="0" fontId="17" fillId="76" borderId="0" xfId="0" applyFont="1" applyFill="1"/>
    <xf numFmtId="0" fontId="7" fillId="76" borderId="0" xfId="0" applyFont="1" applyFill="1"/>
    <xf numFmtId="193" fontId="26" fillId="32" borderId="0" xfId="0" applyNumberFormat="1" applyFont="1" applyFill="1"/>
    <xf numFmtId="193" fontId="0" fillId="0" borderId="0" xfId="0" applyNumberFormat="1"/>
    <xf numFmtId="193" fontId="12" fillId="0" borderId="0" xfId="0" applyNumberFormat="1" applyFont="1" applyAlignment="1">
      <alignment wrapText="1"/>
    </xf>
    <xf numFmtId="0" fontId="4" fillId="76" borderId="0" xfId="0" applyFont="1" applyFill="1"/>
    <xf numFmtId="0" fontId="4" fillId="76" borderId="1" xfId="0" applyFont="1" applyFill="1" applyBorder="1"/>
    <xf numFmtId="0" fontId="7" fillId="0" borderId="1" xfId="21" applyFont="1" applyBorder="1"/>
    <xf numFmtId="176" fontId="4" fillId="0" borderId="0" xfId="0" applyNumberFormat="1" applyFont="1"/>
    <xf numFmtId="176" fontId="27" fillId="31" borderId="0" xfId="0" applyNumberFormat="1" applyFont="1" applyFill="1" applyAlignment="1">
      <alignment horizontal="center" vertical="center"/>
    </xf>
    <xf numFmtId="176" fontId="27" fillId="73" borderId="0" xfId="0" applyNumberFormat="1" applyFont="1" applyFill="1" applyAlignment="1">
      <alignment horizontal="center" vertical="center"/>
    </xf>
    <xf numFmtId="176" fontId="26" fillId="32" borderId="0" xfId="0" applyNumberFormat="1" applyFont="1" applyFill="1" applyAlignment="1">
      <alignment vertical="center"/>
    </xf>
    <xf numFmtId="176" fontId="0" fillId="0" borderId="0" xfId="0" applyNumberFormat="1" applyAlignment="1">
      <alignment vertical="center"/>
    </xf>
    <xf numFmtId="176" fontId="12" fillId="0" borderId="0" xfId="0" applyNumberFormat="1" applyFont="1" applyAlignment="1">
      <alignment vertical="center" wrapText="1"/>
    </xf>
    <xf numFmtId="176" fontId="4" fillId="0" borderId="0" xfId="0" applyNumberFormat="1" applyFont="1" applyAlignment="1">
      <alignment vertical="center"/>
    </xf>
    <xf numFmtId="176" fontId="19" fillId="15" borderId="1" xfId="0" applyNumberFormat="1" applyFont="1" applyFill="1" applyBorder="1" applyAlignment="1">
      <alignment vertical="center" wrapText="1"/>
    </xf>
    <xf numFmtId="176" fontId="22" fillId="15" borderId="1" xfId="0" applyNumberFormat="1" applyFont="1" applyFill="1" applyBorder="1" applyAlignment="1">
      <alignment vertical="center"/>
    </xf>
    <xf numFmtId="176" fontId="22" fillId="21" borderId="12" xfId="0" applyNumberFormat="1" applyFont="1" applyFill="1" applyBorder="1" applyAlignment="1">
      <alignment vertical="center" wrapText="1"/>
    </xf>
    <xf numFmtId="176" fontId="19" fillId="21" borderId="1" xfId="0" applyNumberFormat="1" applyFont="1" applyFill="1" applyBorder="1" applyAlignment="1">
      <alignment vertical="center" wrapText="1"/>
    </xf>
    <xf numFmtId="176" fontId="12" fillId="0" borderId="1" xfId="0" applyNumberFormat="1" applyFont="1" applyBorder="1" applyAlignment="1">
      <alignment vertical="center" wrapText="1"/>
    </xf>
    <xf numFmtId="176" fontId="12" fillId="0" borderId="1" xfId="0" applyNumberFormat="1" applyFont="1" applyBorder="1" applyAlignment="1">
      <alignment vertical="center"/>
    </xf>
    <xf numFmtId="176" fontId="0" fillId="0" borderId="1" xfId="0" applyNumberFormat="1" applyBorder="1" applyAlignment="1">
      <alignment vertical="center"/>
    </xf>
    <xf numFmtId="176" fontId="21" fillId="31" borderId="0" xfId="0" applyNumberFormat="1" applyFont="1" applyFill="1" applyAlignment="1">
      <alignment vertical="center"/>
    </xf>
    <xf numFmtId="176" fontId="27" fillId="31" borderId="0" xfId="0" applyNumberFormat="1" applyFont="1" applyFill="1" applyAlignment="1">
      <alignment vertical="center"/>
    </xf>
    <xf numFmtId="176" fontId="27" fillId="73" borderId="0" xfId="0" applyNumberFormat="1" applyFont="1" applyFill="1" applyAlignment="1">
      <alignment vertical="center"/>
    </xf>
    <xf numFmtId="0" fontId="17" fillId="76" borderId="0" xfId="0" applyFont="1" applyFill="1" applyAlignment="1">
      <alignment horizontal="center"/>
    </xf>
    <xf numFmtId="0" fontId="7" fillId="78" borderId="1" xfId="0" applyFont="1" applyFill="1" applyBorder="1" applyAlignment="1">
      <alignment horizontal="center"/>
    </xf>
    <xf numFmtId="0" fontId="7" fillId="78" borderId="1" xfId="0" applyFont="1" applyFill="1" applyBorder="1"/>
    <xf numFmtId="0" fontId="7" fillId="78" borderId="1" xfId="0" applyFont="1" applyFill="1" applyBorder="1" applyAlignment="1">
      <alignment horizontal="left"/>
    </xf>
    <xf numFmtId="0" fontId="0" fillId="38" borderId="0" xfId="0" applyFill="1"/>
    <xf numFmtId="0" fontId="71" fillId="0" borderId="0" xfId="21" applyFont="1" applyAlignment="1">
      <alignment horizontal="center" vertical="center"/>
    </xf>
    <xf numFmtId="0" fontId="71" fillId="0" borderId="0" xfId="21" applyFont="1" applyAlignment="1">
      <alignment horizontal="left" vertical="center"/>
    </xf>
    <xf numFmtId="3" fontId="71" fillId="0" borderId="0" xfId="21" applyNumberFormat="1" applyFont="1" applyAlignment="1">
      <alignment horizontal="right" vertical="center"/>
    </xf>
    <xf numFmtId="3" fontId="7" fillId="0" borderId="0" xfId="0" applyNumberFormat="1" applyFont="1"/>
    <xf numFmtId="0" fontId="7" fillId="0" borderId="0" xfId="0" applyFont="1" applyAlignment="1">
      <alignment horizontal="left"/>
    </xf>
    <xf numFmtId="0" fontId="7" fillId="0" borderId="0" xfId="21" applyFont="1"/>
    <xf numFmtId="0" fontId="7" fillId="79" borderId="0" xfId="0" applyFont="1" applyFill="1"/>
    <xf numFmtId="0" fontId="7" fillId="43" borderId="0" xfId="0" applyFont="1" applyFill="1"/>
    <xf numFmtId="194" fontId="4" fillId="0" borderId="1" xfId="12" applyNumberFormat="1" applyFont="1" applyBorder="1" applyAlignment="1">
      <alignment horizontal="center"/>
    </xf>
    <xf numFmtId="0" fontId="7" fillId="76" borderId="1" xfId="0" applyFont="1" applyFill="1" applyBorder="1"/>
    <xf numFmtId="166" fontId="49" fillId="0" borderId="1" xfId="4" applyNumberFormat="1" applyFont="1" applyBorder="1" applyAlignment="1">
      <alignment horizontal="center" vertical="center" wrapText="1"/>
    </xf>
    <xf numFmtId="0" fontId="49" fillId="51" borderId="3" xfId="4" applyFont="1" applyFill="1" applyBorder="1" applyAlignment="1">
      <alignment horizontal="center" vertical="center" wrapText="1"/>
    </xf>
    <xf numFmtId="0" fontId="19" fillId="14" borderId="1" xfId="9" applyFont="1" applyFill="1" applyBorder="1" applyAlignment="1">
      <alignment horizontal="center" vertical="center" wrapText="1"/>
    </xf>
    <xf numFmtId="0" fontId="12" fillId="21" borderId="0" xfId="9" applyFont="1" applyFill="1" applyAlignment="1">
      <alignment horizontal="center" vertical="center" wrapText="1"/>
    </xf>
    <xf numFmtId="0" fontId="22" fillId="43" borderId="0" xfId="4" applyFont="1" applyFill="1" applyAlignment="1">
      <alignment horizontal="center" vertical="center"/>
    </xf>
    <xf numFmtId="0" fontId="22" fillId="37" borderId="0" xfId="4" applyFont="1" applyFill="1" applyAlignment="1">
      <alignment horizontal="center" vertical="center"/>
    </xf>
    <xf numFmtId="0" fontId="61" fillId="20" borderId="5" xfId="4" applyFont="1" applyFill="1" applyBorder="1" applyAlignment="1">
      <alignment vertical="center" wrapText="1"/>
    </xf>
    <xf numFmtId="0" fontId="53" fillId="21" borderId="1" xfId="4" applyFont="1" applyFill="1" applyBorder="1" applyAlignment="1">
      <alignment horizontal="center" vertical="center" wrapText="1"/>
    </xf>
    <xf numFmtId="165" fontId="53" fillId="51" borderId="1" xfId="11" applyNumberFormat="1" applyFont="1" applyFill="1" applyBorder="1" applyAlignment="1">
      <alignment horizontal="center" vertical="center" wrapText="1"/>
    </xf>
    <xf numFmtId="0" fontId="38" fillId="57" borderId="1" xfId="4" applyFont="1" applyFill="1" applyBorder="1" applyAlignment="1">
      <alignment horizontal="center" vertical="center" wrapText="1"/>
    </xf>
    <xf numFmtId="0" fontId="38" fillId="0" borderId="1" xfId="4" applyFont="1" applyBorder="1" applyAlignment="1">
      <alignment horizontal="center" vertical="center"/>
    </xf>
    <xf numFmtId="166" fontId="5" fillId="0" borderId="1" xfId="4" applyNumberFormat="1" applyBorder="1" applyAlignment="1">
      <alignment horizontal="center" vertical="center"/>
    </xf>
    <xf numFmtId="165" fontId="16" fillId="0" borderId="1" xfId="11" applyNumberFormat="1" applyFont="1" applyBorder="1" applyAlignment="1">
      <alignment horizontal="center" vertical="center"/>
    </xf>
    <xf numFmtId="165" fontId="69" fillId="0" borderId="1" xfId="4" applyNumberFormat="1" applyFont="1" applyBorder="1" applyAlignment="1">
      <alignment horizontal="center" vertical="center"/>
    </xf>
    <xf numFmtId="165" fontId="6" fillId="0" borderId="1" xfId="9" applyNumberFormat="1" applyBorder="1" applyAlignment="1">
      <alignment horizontal="center" vertical="center"/>
    </xf>
    <xf numFmtId="165" fontId="5" fillId="0" borderId="1" xfId="4" applyNumberFormat="1" applyBorder="1" applyAlignment="1">
      <alignment horizontal="center" vertical="center"/>
    </xf>
    <xf numFmtId="0" fontId="49" fillId="0" borderId="1" xfId="4" applyFont="1" applyBorder="1" applyAlignment="1">
      <alignment horizontal="center" vertical="center"/>
    </xf>
    <xf numFmtId="166" fontId="49" fillId="0" borderId="1" xfId="11" applyFont="1" applyBorder="1" applyAlignment="1">
      <alignment horizontal="center" vertical="center" wrapText="1"/>
    </xf>
    <xf numFmtId="0" fontId="16" fillId="47" borderId="11" xfId="9" applyFont="1" applyFill="1" applyBorder="1" applyAlignment="1">
      <alignment horizontal="center" vertical="center"/>
    </xf>
    <xf numFmtId="175" fontId="5" fillId="0" borderId="1" xfId="4" applyNumberFormat="1" applyBorder="1" applyAlignment="1">
      <alignment horizontal="center" vertical="center"/>
    </xf>
    <xf numFmtId="0" fontId="20" fillId="28" borderId="1" xfId="9" applyFont="1" applyFill="1" applyBorder="1" applyAlignment="1">
      <alignment wrapText="1"/>
    </xf>
    <xf numFmtId="9" fontId="5" fillId="37" borderId="0" xfId="4" applyNumberFormat="1" applyFill="1" applyAlignment="1">
      <alignment horizontal="center" vertical="center"/>
    </xf>
    <xf numFmtId="165" fontId="6" fillId="0" borderId="0" xfId="11" applyNumberFormat="1" applyAlignment="1">
      <alignment horizontal="center" vertical="center"/>
    </xf>
    <xf numFmtId="165" fontId="6" fillId="0" borderId="0" xfId="9" applyNumberFormat="1" applyAlignment="1">
      <alignment horizontal="center" vertical="center"/>
    </xf>
    <xf numFmtId="0" fontId="14" fillId="0" borderId="0" xfId="9" applyFont="1" applyAlignment="1">
      <alignment horizontal="center" vertical="center"/>
    </xf>
    <xf numFmtId="0" fontId="6" fillId="0" borderId="0" xfId="9" applyAlignment="1">
      <alignment horizontal="center" vertical="center"/>
    </xf>
    <xf numFmtId="0" fontId="5" fillId="77" borderId="0" xfId="4" applyFill="1" applyAlignment="1">
      <alignment horizontal="center" vertical="center"/>
    </xf>
    <xf numFmtId="0" fontId="49" fillId="50" borderId="1" xfId="4" applyFont="1" applyFill="1" applyBorder="1" applyAlignment="1">
      <alignment vertical="center" wrapText="1"/>
    </xf>
    <xf numFmtId="175" fontId="49" fillId="0" borderId="1" xfId="4" applyNumberFormat="1" applyFont="1" applyBorder="1" applyAlignment="1">
      <alignment vertical="center"/>
    </xf>
    <xf numFmtId="9" fontId="5" fillId="0" borderId="1" xfId="4" applyNumberFormat="1" applyBorder="1" applyAlignment="1">
      <alignment vertical="center"/>
    </xf>
    <xf numFmtId="175" fontId="49" fillId="0" borderId="1" xfId="4" applyNumberFormat="1" applyFont="1" applyBorder="1" applyAlignment="1">
      <alignment horizontal="center" vertical="center"/>
    </xf>
    <xf numFmtId="0" fontId="38" fillId="0" borderId="1" xfId="4" applyFont="1" applyBorder="1" applyAlignment="1">
      <alignment horizontal="center" vertical="center" wrapText="1"/>
    </xf>
    <xf numFmtId="43" fontId="5" fillId="0" borderId="0" xfId="4" applyNumberFormat="1" applyAlignment="1">
      <alignment horizontal="center" vertical="center"/>
    </xf>
    <xf numFmtId="0" fontId="80" fillId="0" borderId="1" xfId="0" applyFont="1" applyBorder="1" applyAlignment="1">
      <alignment horizontal="center" wrapText="1"/>
    </xf>
    <xf numFmtId="194" fontId="5" fillId="0" borderId="0" xfId="12" applyNumberFormat="1" applyFont="1" applyAlignment="1">
      <alignment horizontal="center" vertical="center"/>
    </xf>
    <xf numFmtId="9" fontId="49" fillId="0" borderId="1" xfId="10" applyFont="1" applyBorder="1" applyAlignment="1">
      <alignment vertical="center"/>
    </xf>
    <xf numFmtId="2" fontId="49" fillId="0" borderId="1" xfId="4" applyNumberFormat="1" applyFont="1" applyBorder="1" applyAlignment="1">
      <alignment vertical="center" wrapText="1"/>
    </xf>
    <xf numFmtId="9" fontId="49" fillId="0" borderId="1" xfId="10" applyFont="1" applyBorder="1" applyAlignment="1">
      <alignment horizontal="center" vertical="center"/>
    </xf>
    <xf numFmtId="0" fontId="7" fillId="80" borderId="0" xfId="0" applyFont="1" applyFill="1" applyAlignment="1">
      <alignment horizontal="center" vertical="center" wrapText="1"/>
    </xf>
    <xf numFmtId="0" fontId="7" fillId="80" borderId="0" xfId="0" applyFont="1" applyFill="1" applyAlignment="1">
      <alignment horizontal="center" vertical="center"/>
    </xf>
    <xf numFmtId="165" fontId="82" fillId="0" borderId="0" xfId="0" applyNumberFormat="1" applyFont="1"/>
    <xf numFmtId="166" fontId="82" fillId="0" borderId="0" xfId="0" applyNumberFormat="1" applyFont="1"/>
    <xf numFmtId="168" fontId="7" fillId="5" borderId="0" xfId="0" applyNumberFormat="1" applyFont="1" applyFill="1"/>
    <xf numFmtId="0" fontId="82" fillId="0" borderId="0" xfId="0" applyFont="1"/>
    <xf numFmtId="0" fontId="81" fillId="0" borderId="0" xfId="0" applyFont="1"/>
    <xf numFmtId="0" fontId="7" fillId="37" borderId="0" xfId="0" applyFont="1" applyFill="1"/>
    <xf numFmtId="168" fontId="12" fillId="37" borderId="1" xfId="0" applyNumberFormat="1" applyFont="1" applyFill="1" applyBorder="1" applyAlignment="1">
      <alignment horizontal="center" vertical="center" wrapText="1"/>
    </xf>
    <xf numFmtId="166" fontId="7" fillId="12" borderId="0" xfId="0" applyNumberFormat="1" applyFont="1" applyFill="1" applyAlignment="1">
      <alignment horizontal="center" vertical="center"/>
    </xf>
    <xf numFmtId="168" fontId="7" fillId="4" borderId="0" xfId="0" applyNumberFormat="1" applyFont="1" applyFill="1" applyAlignment="1">
      <alignment horizontal="center"/>
    </xf>
    <xf numFmtId="165" fontId="7" fillId="81" borderId="0" xfId="0" applyNumberFormat="1" applyFont="1" applyFill="1" applyAlignment="1">
      <alignment horizontal="center" vertical="center"/>
    </xf>
    <xf numFmtId="166" fontId="7" fillId="81" borderId="0" xfId="0" applyNumberFormat="1" applyFont="1" applyFill="1" applyAlignment="1">
      <alignment horizontal="center" vertical="center"/>
    </xf>
    <xf numFmtId="2" fontId="7" fillId="82" borderId="0" xfId="0" applyNumberFormat="1" applyFont="1" applyFill="1" applyAlignment="1">
      <alignment horizontal="center" vertical="center"/>
    </xf>
    <xf numFmtId="166" fontId="7" fillId="9" borderId="0" xfId="0" applyNumberFormat="1" applyFont="1" applyFill="1" applyAlignment="1">
      <alignment horizontal="center" vertical="center"/>
    </xf>
    <xf numFmtId="166" fontId="7" fillId="10" borderId="0" xfId="0" applyNumberFormat="1" applyFont="1" applyFill="1" applyAlignment="1">
      <alignment horizontal="center" vertical="center"/>
    </xf>
    <xf numFmtId="166" fontId="7" fillId="8" borderId="0" xfId="0" applyNumberFormat="1" applyFont="1" applyFill="1" applyAlignment="1">
      <alignment horizontal="center" vertical="center"/>
    </xf>
    <xf numFmtId="0" fontId="7" fillId="83" borderId="0" xfId="0" applyFont="1" applyFill="1" applyAlignment="1">
      <alignment horizontal="left"/>
    </xf>
    <xf numFmtId="0" fontId="7" fillId="83" borderId="0" xfId="0" applyFont="1" applyFill="1"/>
    <xf numFmtId="0" fontId="7" fillId="83" borderId="0" xfId="0" applyFont="1" applyFill="1" applyAlignment="1">
      <alignment horizontal="center"/>
    </xf>
    <xf numFmtId="1" fontId="7" fillId="83" borderId="0" xfId="0" applyNumberFormat="1" applyFont="1" applyFill="1" applyAlignment="1">
      <alignment horizontal="center" vertical="center"/>
    </xf>
    <xf numFmtId="165" fontId="7" fillId="83" borderId="0" xfId="0" applyNumberFormat="1" applyFont="1" applyFill="1"/>
    <xf numFmtId="2" fontId="7" fillId="83" borderId="0" xfId="0" applyNumberFormat="1" applyFont="1" applyFill="1" applyAlignment="1">
      <alignment horizontal="center" vertical="center"/>
    </xf>
    <xf numFmtId="165" fontId="81" fillId="83" borderId="0" xfId="0" applyNumberFormat="1" applyFont="1" applyFill="1" applyAlignment="1">
      <alignment horizontal="center" vertical="center"/>
    </xf>
    <xf numFmtId="166" fontId="81" fillId="83" borderId="0" xfId="0" applyNumberFormat="1" applyFont="1" applyFill="1" applyAlignment="1">
      <alignment horizontal="center" vertical="center"/>
    </xf>
    <xf numFmtId="0" fontId="7" fillId="84" borderId="0" xfId="0" applyFont="1" applyFill="1"/>
    <xf numFmtId="0" fontId="7" fillId="84" borderId="0" xfId="0" applyFont="1" applyFill="1" applyAlignment="1">
      <alignment horizontal="center"/>
    </xf>
    <xf numFmtId="1" fontId="7" fillId="84" borderId="0" xfId="0" applyNumberFormat="1" applyFont="1" applyFill="1" applyAlignment="1">
      <alignment horizontal="center" vertical="center"/>
    </xf>
    <xf numFmtId="165" fontId="7" fillId="84" borderId="0" xfId="0" applyNumberFormat="1" applyFont="1" applyFill="1"/>
    <xf numFmtId="2" fontId="7" fillId="84" borderId="0" xfId="0" applyNumberFormat="1" applyFont="1" applyFill="1" applyAlignment="1">
      <alignment horizontal="center" vertical="center"/>
    </xf>
    <xf numFmtId="165" fontId="7" fillId="84" borderId="0" xfId="0" applyNumberFormat="1" applyFont="1" applyFill="1" applyAlignment="1">
      <alignment horizontal="center" vertical="center"/>
    </xf>
    <xf numFmtId="166" fontId="7" fillId="84" borderId="0" xfId="0" applyNumberFormat="1" applyFont="1" applyFill="1" applyAlignment="1">
      <alignment horizontal="center" vertical="center"/>
    </xf>
    <xf numFmtId="0" fontId="7" fillId="85" borderId="0" xfId="0" applyFont="1" applyFill="1"/>
    <xf numFmtId="0" fontId="7" fillId="85" borderId="0" xfId="0" applyFont="1" applyFill="1" applyAlignment="1">
      <alignment horizontal="center"/>
    </xf>
    <xf numFmtId="1" fontId="7" fillId="85" borderId="0" xfId="0" applyNumberFormat="1" applyFont="1" applyFill="1" applyAlignment="1">
      <alignment horizontal="center" vertical="center"/>
    </xf>
    <xf numFmtId="165" fontId="7" fillId="85" borderId="0" xfId="0" applyNumberFormat="1" applyFont="1" applyFill="1"/>
    <xf numFmtId="2" fontId="7" fillId="85" borderId="0" xfId="0" applyNumberFormat="1" applyFont="1" applyFill="1" applyAlignment="1">
      <alignment horizontal="center" vertical="center"/>
    </xf>
    <xf numFmtId="168" fontId="7" fillId="85" borderId="0" xfId="0" applyNumberFormat="1" applyFont="1" applyFill="1" applyAlignment="1">
      <alignment horizontal="center"/>
    </xf>
    <xf numFmtId="165" fontId="7" fillId="85" borderId="0" xfId="0" applyNumberFormat="1" applyFont="1" applyFill="1" applyAlignment="1">
      <alignment horizontal="center" vertical="center"/>
    </xf>
    <xf numFmtId="0" fontId="7" fillId="86" borderId="0" xfId="0" applyFont="1" applyFill="1"/>
    <xf numFmtId="0" fontId="7" fillId="86" borderId="0" xfId="0" applyFont="1" applyFill="1" applyAlignment="1">
      <alignment horizontal="center"/>
    </xf>
    <xf numFmtId="1" fontId="7" fillId="86" borderId="0" xfId="0" applyNumberFormat="1" applyFont="1" applyFill="1" applyAlignment="1">
      <alignment horizontal="center" vertical="center"/>
    </xf>
    <xf numFmtId="165" fontId="7" fillId="86" borderId="0" xfId="0" applyNumberFormat="1" applyFont="1" applyFill="1"/>
    <xf numFmtId="2" fontId="7" fillId="86" borderId="0" xfId="0" applyNumberFormat="1" applyFont="1" applyFill="1" applyAlignment="1">
      <alignment horizontal="center" vertical="center"/>
    </xf>
    <xf numFmtId="165" fontId="7" fillId="86" borderId="0" xfId="0" applyNumberFormat="1" applyFont="1" applyFill="1" applyAlignment="1">
      <alignment horizontal="center" vertical="center"/>
    </xf>
    <xf numFmtId="166" fontId="7" fillId="86" borderId="0" xfId="0" applyNumberFormat="1" applyFont="1" applyFill="1" applyAlignment="1">
      <alignment horizontal="center" vertical="center"/>
    </xf>
    <xf numFmtId="0" fontId="7" fillId="87" borderId="0" xfId="0" applyFont="1" applyFill="1"/>
    <xf numFmtId="0" fontId="7" fillId="87" borderId="0" xfId="0" applyFont="1" applyFill="1" applyAlignment="1">
      <alignment horizontal="center"/>
    </xf>
    <xf numFmtId="1" fontId="7" fillId="87" borderId="0" xfId="0" applyNumberFormat="1" applyFont="1" applyFill="1" applyAlignment="1">
      <alignment horizontal="center" vertical="center"/>
    </xf>
    <xf numFmtId="165" fontId="7" fillId="87" borderId="0" xfId="0" applyNumberFormat="1" applyFont="1" applyFill="1"/>
    <xf numFmtId="2" fontId="7" fillId="87" borderId="0" xfId="0" applyNumberFormat="1" applyFont="1" applyFill="1" applyAlignment="1">
      <alignment horizontal="center" vertical="center"/>
    </xf>
    <xf numFmtId="165" fontId="7" fillId="87" borderId="0" xfId="0" applyNumberFormat="1" applyFont="1" applyFill="1" applyAlignment="1">
      <alignment horizontal="center" vertical="center"/>
    </xf>
    <xf numFmtId="166" fontId="7" fillId="87" borderId="0" xfId="0" applyNumberFormat="1" applyFont="1" applyFill="1" applyAlignment="1">
      <alignment horizontal="center" vertical="center"/>
    </xf>
    <xf numFmtId="0" fontId="7" fillId="88" borderId="0" xfId="0" applyFont="1" applyFill="1"/>
    <xf numFmtId="0" fontId="7" fillId="88" borderId="0" xfId="0" applyFont="1" applyFill="1" applyAlignment="1">
      <alignment horizontal="center"/>
    </xf>
    <xf numFmtId="1" fontId="7" fillId="88" borderId="0" xfId="0" applyNumberFormat="1" applyFont="1" applyFill="1" applyAlignment="1">
      <alignment horizontal="center"/>
    </xf>
    <xf numFmtId="165" fontId="7" fillId="88" borderId="0" xfId="0" applyNumberFormat="1" applyFont="1" applyFill="1"/>
    <xf numFmtId="166" fontId="7" fillId="88" borderId="0" xfId="0" applyNumberFormat="1" applyFont="1" applyFill="1"/>
    <xf numFmtId="0" fontId="14" fillId="89" borderId="0" xfId="0" applyFont="1" applyFill="1" applyAlignment="1">
      <alignment horizontal="center" vertical="center"/>
    </xf>
    <xf numFmtId="0" fontId="14" fillId="89" borderId="0" xfId="0" applyFont="1" applyFill="1" applyAlignment="1">
      <alignment horizontal="center" vertical="center" wrapText="1"/>
    </xf>
    <xf numFmtId="0" fontId="7" fillId="89" borderId="0" xfId="0" applyFont="1" applyFill="1" applyAlignment="1">
      <alignment horizontal="center" vertical="center" wrapText="1"/>
    </xf>
    <xf numFmtId="0" fontId="7" fillId="89" borderId="0" xfId="0" applyFont="1" applyFill="1" applyAlignment="1">
      <alignment horizontal="center" vertical="center"/>
    </xf>
    <xf numFmtId="0" fontId="14" fillId="90" borderId="0" xfId="0" applyFont="1" applyFill="1"/>
    <xf numFmtId="0" fontId="14" fillId="90" borderId="0" xfId="0" applyFont="1" applyFill="1" applyAlignment="1">
      <alignment horizontal="center"/>
    </xf>
    <xf numFmtId="1" fontId="14" fillId="90" borderId="0" xfId="0" applyNumberFormat="1" applyFont="1" applyFill="1" applyAlignment="1">
      <alignment horizontal="center"/>
    </xf>
    <xf numFmtId="1" fontId="14" fillId="90" borderId="0" xfId="0" applyNumberFormat="1" applyFont="1" applyFill="1"/>
    <xf numFmtId="0" fontId="7" fillId="90" borderId="0" xfId="0" applyFont="1" applyFill="1" applyAlignment="1">
      <alignment horizontal="center"/>
    </xf>
    <xf numFmtId="168" fontId="7" fillId="90" borderId="0" xfId="0" applyNumberFormat="1" applyFont="1" applyFill="1" applyAlignment="1">
      <alignment horizontal="center"/>
    </xf>
    <xf numFmtId="2" fontId="14" fillId="90" borderId="0" xfId="0" applyNumberFormat="1" applyFont="1" applyFill="1"/>
    <xf numFmtId="0" fontId="7" fillId="91" borderId="0" xfId="0" applyFont="1" applyFill="1"/>
    <xf numFmtId="0" fontId="7" fillId="91" borderId="0" xfId="0" applyFont="1" applyFill="1" applyAlignment="1">
      <alignment horizontal="center"/>
    </xf>
    <xf numFmtId="1" fontId="14" fillId="91" borderId="0" xfId="0" applyNumberFormat="1" applyFont="1" applyFill="1" applyAlignment="1">
      <alignment horizontal="center"/>
    </xf>
    <xf numFmtId="1" fontId="14" fillId="91" borderId="0" xfId="0" applyNumberFormat="1" applyFont="1" applyFill="1"/>
    <xf numFmtId="0" fontId="14" fillId="91" borderId="0" xfId="0" applyFont="1" applyFill="1"/>
    <xf numFmtId="0" fontId="14" fillId="92" borderId="0" xfId="0" applyFont="1" applyFill="1"/>
    <xf numFmtId="0" fontId="14" fillId="92" borderId="0" xfId="0" applyFont="1" applyFill="1" applyAlignment="1">
      <alignment horizontal="center"/>
    </xf>
    <xf numFmtId="1" fontId="14" fillId="92" borderId="0" xfId="0" applyNumberFormat="1" applyFont="1" applyFill="1" applyAlignment="1">
      <alignment horizontal="center"/>
    </xf>
    <xf numFmtId="1" fontId="14" fillId="92" borderId="0" xfId="0" applyNumberFormat="1" applyFont="1" applyFill="1"/>
    <xf numFmtId="0" fontId="7" fillId="92" borderId="0" xfId="0" applyFont="1" applyFill="1" applyAlignment="1">
      <alignment horizontal="center"/>
    </xf>
    <xf numFmtId="2" fontId="14" fillId="92" borderId="0" xfId="0" applyNumberFormat="1" applyFont="1" applyFill="1"/>
    <xf numFmtId="0" fontId="15" fillId="92" borderId="0" xfId="0" applyFont="1" applyFill="1"/>
    <xf numFmtId="0" fontId="14" fillId="93" borderId="0" xfId="0" applyFont="1" applyFill="1"/>
    <xf numFmtId="0" fontId="7" fillId="93" borderId="0" xfId="0" applyFont="1" applyFill="1"/>
    <xf numFmtId="0" fontId="14" fillId="93" borderId="0" xfId="0" applyFont="1" applyFill="1" applyAlignment="1">
      <alignment horizontal="center"/>
    </xf>
    <xf numFmtId="1" fontId="14" fillId="93" borderId="0" xfId="0" applyNumberFormat="1" applyFont="1" applyFill="1" applyAlignment="1">
      <alignment horizontal="center"/>
    </xf>
    <xf numFmtId="1" fontId="14" fillId="93" borderId="0" xfId="0" applyNumberFormat="1" applyFont="1" applyFill="1"/>
    <xf numFmtId="0" fontId="7" fillId="93" borderId="0" xfId="0" applyFont="1" applyFill="1" applyAlignment="1">
      <alignment horizontal="center"/>
    </xf>
    <xf numFmtId="2" fontId="14" fillId="93" borderId="0" xfId="0" applyNumberFormat="1" applyFont="1" applyFill="1"/>
    <xf numFmtId="0" fontId="14" fillId="94" borderId="0" xfId="0" applyFont="1" applyFill="1"/>
    <xf numFmtId="0" fontId="14" fillId="94" borderId="0" xfId="0" applyFont="1" applyFill="1" applyAlignment="1">
      <alignment horizontal="center"/>
    </xf>
    <xf numFmtId="1" fontId="14" fillId="94" borderId="0" xfId="0" applyNumberFormat="1" applyFont="1" applyFill="1" applyAlignment="1">
      <alignment horizontal="center"/>
    </xf>
    <xf numFmtId="1" fontId="14" fillId="94" borderId="0" xfId="0" applyNumberFormat="1" applyFont="1" applyFill="1"/>
    <xf numFmtId="0" fontId="7" fillId="94" borderId="0" xfId="0" applyFont="1" applyFill="1" applyAlignment="1">
      <alignment horizontal="center"/>
    </xf>
    <xf numFmtId="2" fontId="14" fillId="94" borderId="0" xfId="0" applyNumberFormat="1" applyFont="1" applyFill="1"/>
    <xf numFmtId="0" fontId="14" fillId="95" borderId="0" xfId="0" applyFont="1" applyFill="1"/>
    <xf numFmtId="0" fontId="14" fillId="95" borderId="0" xfId="0" applyFont="1" applyFill="1" applyAlignment="1">
      <alignment horizontal="center"/>
    </xf>
    <xf numFmtId="1" fontId="14" fillId="95" borderId="0" xfId="0" applyNumberFormat="1" applyFont="1" applyFill="1" applyAlignment="1">
      <alignment horizontal="center"/>
    </xf>
    <xf numFmtId="1" fontId="14" fillId="95" borderId="0" xfId="0" applyNumberFormat="1" applyFont="1" applyFill="1"/>
    <xf numFmtId="2" fontId="14" fillId="95" borderId="0" xfId="0" applyNumberFormat="1" applyFont="1" applyFill="1"/>
    <xf numFmtId="2" fontId="0" fillId="0" borderId="0" xfId="0" applyNumberFormat="1" applyAlignment="1">
      <alignment horizontal="center" vertical="center"/>
    </xf>
    <xf numFmtId="165" fontId="7" fillId="88" borderId="0" xfId="0" applyNumberFormat="1" applyFont="1" applyFill="1" applyAlignment="1">
      <alignment horizontal="center" vertical="center"/>
    </xf>
    <xf numFmtId="165" fontId="7" fillId="6" borderId="0" xfId="0" applyNumberFormat="1" applyFont="1" applyFill="1" applyAlignment="1">
      <alignment horizontal="center" vertical="center"/>
    </xf>
    <xf numFmtId="165" fontId="82" fillId="0" borderId="0" xfId="0" applyNumberFormat="1" applyFont="1" applyAlignment="1">
      <alignment horizontal="center" vertical="center"/>
    </xf>
    <xf numFmtId="165" fontId="7" fillId="5" borderId="0" xfId="0" applyNumberFormat="1" applyFont="1" applyFill="1" applyAlignment="1">
      <alignment horizontal="center" vertical="center"/>
    </xf>
    <xf numFmtId="1" fontId="7" fillId="86" borderId="0" xfId="0" applyNumberFormat="1" applyFont="1" applyFill="1" applyAlignment="1">
      <alignment horizontal="center"/>
    </xf>
    <xf numFmtId="166" fontId="7" fillId="13" borderId="0" xfId="0" applyNumberFormat="1" applyFont="1" applyFill="1"/>
    <xf numFmtId="0" fontId="7" fillId="86" borderId="0" xfId="0" applyFont="1" applyFill="1" applyAlignment="1">
      <alignment horizontal="right" vertical="center"/>
    </xf>
    <xf numFmtId="0" fontId="7" fillId="85" borderId="0" xfId="0" applyFont="1" applyFill="1" applyAlignment="1">
      <alignment horizontal="right" vertical="center"/>
    </xf>
    <xf numFmtId="165" fontId="7" fillId="84" borderId="0" xfId="0" applyNumberFormat="1" applyFont="1" applyFill="1" applyAlignment="1">
      <alignment horizontal="right" vertical="center"/>
    </xf>
    <xf numFmtId="0" fontId="22" fillId="56" borderId="1" xfId="21" applyFont="1" applyFill="1" applyBorder="1" applyAlignment="1">
      <alignment vertical="center"/>
    </xf>
    <xf numFmtId="175" fontId="7" fillId="0" borderId="0" xfId="0" applyNumberFormat="1" applyFont="1"/>
    <xf numFmtId="171" fontId="14" fillId="94" borderId="0" xfId="0" applyNumberFormat="1" applyFont="1" applyFill="1"/>
    <xf numFmtId="1" fontId="37" fillId="0" borderId="0" xfId="14" applyNumberFormat="1"/>
    <xf numFmtId="1" fontId="38" fillId="37" borderId="1" xfId="17" applyNumberFormat="1" applyFont="1" applyFill="1" applyBorder="1" applyAlignment="1">
      <alignment horizontal="center" vertical="center"/>
    </xf>
    <xf numFmtId="194" fontId="37" fillId="0" borderId="0" xfId="12" applyNumberFormat="1" applyFont="1"/>
    <xf numFmtId="43" fontId="37" fillId="0" borderId="0" xfId="14" applyNumberFormat="1"/>
    <xf numFmtId="0" fontId="0" fillId="0" borderId="0" xfId="0" applyAlignment="1">
      <alignment horizontal="left"/>
    </xf>
    <xf numFmtId="0" fontId="11" fillId="29" borderId="3" xfId="0" applyFont="1" applyFill="1" applyBorder="1" applyAlignment="1">
      <alignment horizontal="left"/>
    </xf>
    <xf numFmtId="0" fontId="0" fillId="0" borderId="1" xfId="0" applyBorder="1" applyAlignment="1">
      <alignment horizontal="left" vertical="center"/>
    </xf>
    <xf numFmtId="0" fontId="21" fillId="31" borderId="0" xfId="0" applyFont="1" applyFill="1" applyAlignment="1">
      <alignment horizontal="left" vertical="center"/>
    </xf>
    <xf numFmtId="176" fontId="26" fillId="32" borderId="0" xfId="0" applyNumberFormat="1" applyFont="1" applyFill="1" applyAlignment="1">
      <alignment horizontal="left"/>
    </xf>
    <xf numFmtId="0" fontId="0" fillId="37" borderId="0" xfId="0" applyFill="1"/>
    <xf numFmtId="0" fontId="0" fillId="49" borderId="0" xfId="0" applyFill="1"/>
    <xf numFmtId="2" fontId="7" fillId="49" borderId="0" xfId="0" applyNumberFormat="1" applyFont="1" applyFill="1"/>
    <xf numFmtId="165" fontId="7" fillId="96" borderId="0" xfId="0" applyNumberFormat="1" applyFont="1" applyFill="1"/>
    <xf numFmtId="175" fontId="7" fillId="96" borderId="0" xfId="0" applyNumberFormat="1" applyFont="1" applyFill="1"/>
    <xf numFmtId="171" fontId="22" fillId="0" borderId="0" xfId="0" applyNumberFormat="1" applyFont="1"/>
    <xf numFmtId="1" fontId="12" fillId="37" borderId="1" xfId="0" applyNumberFormat="1" applyFont="1" applyFill="1" applyBorder="1" applyAlignment="1">
      <alignment horizontal="center" vertical="center"/>
    </xf>
    <xf numFmtId="1" fontId="0" fillId="0" borderId="7" xfId="0" applyNumberFormat="1" applyBorder="1"/>
    <xf numFmtId="169" fontId="19" fillId="0" borderId="7" xfId="0" applyNumberFormat="1" applyFont="1" applyBorder="1"/>
    <xf numFmtId="164" fontId="4" fillId="0" borderId="0" xfId="0" applyNumberFormat="1" applyFont="1"/>
    <xf numFmtId="195" fontId="4" fillId="0" borderId="0" xfId="0" applyNumberFormat="1" applyFont="1"/>
    <xf numFmtId="196" fontId="4" fillId="0" borderId="0" xfId="0" applyNumberFormat="1" applyFont="1"/>
    <xf numFmtId="171" fontId="22" fillId="9" borderId="1" xfId="0" applyNumberFormat="1" applyFont="1" applyFill="1" applyBorder="1"/>
    <xf numFmtId="0" fontId="12" fillId="0" borderId="1" xfId="0" applyFont="1" applyBorder="1" applyAlignment="1">
      <alignment horizontal="center" wrapText="1"/>
    </xf>
    <xf numFmtId="197" fontId="4" fillId="0" borderId="3" xfId="0" applyNumberFormat="1" applyFont="1" applyBorder="1"/>
    <xf numFmtId="0" fontId="4" fillId="97" borderId="0" xfId="0" applyFont="1" applyFill="1"/>
    <xf numFmtId="1" fontId="7" fillId="93" borderId="0" xfId="0" applyNumberFormat="1" applyFont="1" applyFill="1" applyAlignment="1">
      <alignment horizontal="center"/>
    </xf>
    <xf numFmtId="165" fontId="7" fillId="93" borderId="0" xfId="0" applyNumberFormat="1" applyFont="1" applyFill="1"/>
    <xf numFmtId="165" fontId="7" fillId="93" borderId="0" xfId="0" applyNumberFormat="1" applyFont="1" applyFill="1" applyAlignment="1">
      <alignment horizontal="center" vertical="center"/>
    </xf>
    <xf numFmtId="166" fontId="7" fillId="93" borderId="0" xfId="0" applyNumberFormat="1" applyFont="1" applyFill="1"/>
    <xf numFmtId="175" fontId="7" fillId="93" borderId="0" xfId="0" applyNumberFormat="1" applyFont="1" applyFill="1"/>
    <xf numFmtId="0" fontId="7" fillId="98" borderId="0" xfId="0" applyFont="1" applyFill="1"/>
    <xf numFmtId="0" fontId="7" fillId="98" borderId="0" xfId="0" applyFont="1" applyFill="1" applyAlignment="1">
      <alignment horizontal="center"/>
    </xf>
    <xf numFmtId="1" fontId="7" fillId="98" borderId="0" xfId="0" applyNumberFormat="1" applyFont="1" applyFill="1" applyAlignment="1">
      <alignment horizontal="center"/>
    </xf>
    <xf numFmtId="165" fontId="7" fillId="98" borderId="0" xfId="0" applyNumberFormat="1" applyFont="1" applyFill="1"/>
    <xf numFmtId="165" fontId="7" fillId="98" borderId="0" xfId="0" applyNumberFormat="1" applyFont="1" applyFill="1" applyAlignment="1">
      <alignment horizontal="center" vertical="center"/>
    </xf>
    <xf numFmtId="166" fontId="7" fillId="98" borderId="0" xfId="0" applyNumberFormat="1" applyFont="1" applyFill="1"/>
    <xf numFmtId="0" fontId="7" fillId="99" borderId="0" xfId="0" applyFont="1" applyFill="1"/>
    <xf numFmtId="0" fontId="7" fillId="99" borderId="0" xfId="0" applyFont="1" applyFill="1" applyAlignment="1">
      <alignment horizontal="center"/>
    </xf>
    <xf numFmtId="1" fontId="7" fillId="99" borderId="0" xfId="0" applyNumberFormat="1" applyFont="1" applyFill="1" applyAlignment="1">
      <alignment horizontal="center"/>
    </xf>
    <xf numFmtId="165" fontId="7" fillId="99" borderId="0" xfId="0" applyNumberFormat="1" applyFont="1" applyFill="1"/>
    <xf numFmtId="165" fontId="7" fillId="99" borderId="0" xfId="0" applyNumberFormat="1" applyFont="1" applyFill="1" applyAlignment="1">
      <alignment horizontal="center" vertical="center"/>
    </xf>
    <xf numFmtId="166" fontId="7" fillId="99" borderId="0" xfId="0" applyNumberFormat="1" applyFont="1" applyFill="1"/>
    <xf numFmtId="167" fontId="7" fillId="98" borderId="0" xfId="0" applyNumberFormat="1" applyFont="1" applyFill="1"/>
    <xf numFmtId="1" fontId="74" fillId="0" borderId="33" xfId="0" applyNumberFormat="1" applyFont="1" applyBorder="1" applyAlignment="1">
      <alignment horizontal="center" vertical="center" wrapText="1"/>
    </xf>
    <xf numFmtId="196" fontId="4" fillId="0" borderId="1" xfId="0" applyNumberFormat="1" applyFont="1" applyBorder="1"/>
    <xf numFmtId="164" fontId="4" fillId="0" borderId="1" xfId="0" applyNumberFormat="1" applyFont="1" applyBorder="1"/>
    <xf numFmtId="170" fontId="0" fillId="0" borderId="0" xfId="0" applyNumberFormat="1" applyAlignment="1">
      <alignment horizontal="center" vertical="center"/>
    </xf>
    <xf numFmtId="0" fontId="41" fillId="0" borderId="0" xfId="17" applyFont="1" applyAlignment="1">
      <alignment horizontal="center" vertical="center" wrapText="1"/>
    </xf>
    <xf numFmtId="0" fontId="41" fillId="0" borderId="0" xfId="17" applyFont="1" applyAlignment="1">
      <alignment horizontal="center" vertical="center"/>
    </xf>
    <xf numFmtId="170" fontId="38" fillId="0" borderId="0" xfId="17" applyNumberFormat="1" applyFont="1" applyAlignment="1">
      <alignment horizontal="center" vertical="center"/>
    </xf>
    <xf numFmtId="1" fontId="38" fillId="0" borderId="0" xfId="17" applyNumberFormat="1" applyFont="1" applyAlignment="1">
      <alignment horizontal="center" vertical="center" wrapText="1"/>
    </xf>
    <xf numFmtId="188" fontId="2" fillId="0" borderId="0" xfId="17" applyNumberFormat="1" applyAlignment="1">
      <alignment vertical="center"/>
    </xf>
    <xf numFmtId="9" fontId="2" fillId="0" borderId="0" xfId="17" applyNumberFormat="1" applyAlignment="1">
      <alignment vertical="center"/>
    </xf>
    <xf numFmtId="9" fontId="0" fillId="0" borderId="0" xfId="10" applyFont="1"/>
    <xf numFmtId="171" fontId="4" fillId="0" borderId="0" xfId="0" applyNumberFormat="1" applyFont="1"/>
    <xf numFmtId="0" fontId="4" fillId="97" borderId="5" xfId="0" applyFont="1" applyFill="1" applyBorder="1"/>
    <xf numFmtId="0" fontId="22" fillId="25" borderId="0" xfId="0" applyFont="1" applyFill="1" applyAlignment="1">
      <alignment horizontal="center"/>
    </xf>
    <xf numFmtId="0" fontId="22" fillId="16" borderId="0" xfId="0" applyFont="1" applyFill="1" applyAlignment="1">
      <alignment horizontal="center"/>
    </xf>
    <xf numFmtId="0" fontId="22" fillId="25" borderId="6" xfId="0" applyFont="1" applyFill="1" applyBorder="1" applyAlignment="1">
      <alignment horizontal="center"/>
    </xf>
    <xf numFmtId="0" fontId="22" fillId="25" borderId="1" xfId="0" applyFont="1" applyFill="1" applyBorder="1" applyAlignment="1">
      <alignment horizontal="center"/>
    </xf>
    <xf numFmtId="0" fontId="4" fillId="25" borderId="0" xfId="0" applyFont="1" applyFill="1" applyAlignment="1">
      <alignment horizontal="center"/>
    </xf>
    <xf numFmtId="2" fontId="22" fillId="100" borderId="0" xfId="0" applyNumberFormat="1" applyFont="1" applyFill="1" applyAlignment="1">
      <alignment horizontal="center"/>
    </xf>
    <xf numFmtId="2" fontId="22" fillId="16" borderId="2" xfId="0" applyNumberFormat="1" applyFont="1" applyFill="1" applyBorder="1" applyAlignment="1">
      <alignment horizontal="center"/>
    </xf>
    <xf numFmtId="2" fontId="22" fillId="16" borderId="1" xfId="0" applyNumberFormat="1" applyFont="1" applyFill="1" applyBorder="1" applyAlignment="1">
      <alignment horizontal="center"/>
    </xf>
    <xf numFmtId="170" fontId="22" fillId="0" borderId="1" xfId="0" applyNumberFormat="1" applyFont="1" applyBorder="1" applyAlignment="1">
      <alignment horizontal="center"/>
    </xf>
    <xf numFmtId="2" fontId="22" fillId="101" borderId="0" xfId="0" applyNumberFormat="1" applyFont="1" applyFill="1" applyAlignment="1">
      <alignment horizontal="center"/>
    </xf>
    <xf numFmtId="2" fontId="22" fillId="0" borderId="2" xfId="0" applyNumberFormat="1" applyFont="1" applyBorder="1" applyAlignment="1">
      <alignment horizontal="center"/>
    </xf>
    <xf numFmtId="2" fontId="22" fillId="0" borderId="1" xfId="0" applyNumberFormat="1" applyFont="1" applyBorder="1" applyAlignment="1">
      <alignment horizontal="center"/>
    </xf>
    <xf numFmtId="9" fontId="22" fillId="0" borderId="1" xfId="0" applyNumberFormat="1" applyFont="1" applyBorder="1" applyAlignment="1">
      <alignment horizontal="center"/>
    </xf>
    <xf numFmtId="171" fontId="22" fillId="0" borderId="11" xfId="0" applyNumberFormat="1" applyFont="1" applyBorder="1" applyAlignment="1">
      <alignment horizontal="center"/>
    </xf>
    <xf numFmtId="171" fontId="22" fillId="9" borderId="1" xfId="0" applyNumberFormat="1" applyFont="1" applyFill="1" applyBorder="1" applyAlignment="1">
      <alignment horizontal="center"/>
    </xf>
    <xf numFmtId="171" fontId="22" fillId="0" borderId="1" xfId="0" applyNumberFormat="1" applyFont="1" applyBorder="1" applyAlignment="1">
      <alignment horizontal="center"/>
    </xf>
    <xf numFmtId="199" fontId="22" fillId="0" borderId="1" xfId="0" applyNumberFormat="1" applyFont="1" applyBorder="1" applyAlignment="1">
      <alignment horizontal="center"/>
    </xf>
    <xf numFmtId="1" fontId="22" fillId="16" borderId="1" xfId="0" applyNumberFormat="1" applyFont="1" applyFill="1" applyBorder="1"/>
    <xf numFmtId="199" fontId="22" fillId="9" borderId="1" xfId="0" applyNumberFormat="1" applyFont="1" applyFill="1" applyBorder="1"/>
    <xf numFmtId="164" fontId="22" fillId="9" borderId="1" xfId="0" applyNumberFormat="1" applyFont="1" applyFill="1" applyBorder="1"/>
    <xf numFmtId="173" fontId="19" fillId="0" borderId="7" xfId="0" applyNumberFormat="1" applyFont="1" applyBorder="1"/>
    <xf numFmtId="164" fontId="22" fillId="0" borderId="1" xfId="0" applyNumberFormat="1" applyFont="1" applyBorder="1"/>
    <xf numFmtId="0" fontId="4" fillId="101" borderId="0" xfId="0" applyFont="1" applyFill="1"/>
    <xf numFmtId="0" fontId="4" fillId="46" borderId="0" xfId="0" applyFont="1" applyFill="1"/>
    <xf numFmtId="170" fontId="22" fillId="9" borderId="1" xfId="0" applyNumberFormat="1" applyFont="1" applyFill="1" applyBorder="1"/>
    <xf numFmtId="165" fontId="6" fillId="48" borderId="1" xfId="11" applyNumberFormat="1" applyFill="1" applyBorder="1" applyAlignment="1">
      <alignment horizontal="center" vertical="center"/>
    </xf>
    <xf numFmtId="43" fontId="49" fillId="0" borderId="1" xfId="4" applyNumberFormat="1" applyFont="1" applyBorder="1" applyAlignment="1">
      <alignment horizontal="center" vertical="center"/>
    </xf>
    <xf numFmtId="165" fontId="6" fillId="37" borderId="1" xfId="9" applyNumberFormat="1" applyFill="1" applyBorder="1" applyAlignment="1">
      <alignment horizontal="center" vertical="center"/>
    </xf>
    <xf numFmtId="0" fontId="49" fillId="0" borderId="0" xfId="4" applyFont="1" applyAlignment="1">
      <alignment horizontal="center" vertical="center"/>
    </xf>
    <xf numFmtId="169" fontId="49" fillId="0" borderId="0" xfId="4" applyNumberFormat="1" applyFont="1" applyAlignment="1">
      <alignment horizontal="center" vertical="center"/>
    </xf>
    <xf numFmtId="188" fontId="57" fillId="0" borderId="1" xfId="9" applyNumberFormat="1" applyFont="1" applyBorder="1" applyAlignment="1">
      <alignment horizontal="center" vertical="center" wrapText="1"/>
    </xf>
    <xf numFmtId="189" fontId="57" fillId="0" borderId="1" xfId="19" applyNumberFormat="1" applyFont="1" applyBorder="1" applyAlignment="1">
      <alignment horizontal="center" vertical="center" wrapText="1"/>
    </xf>
    <xf numFmtId="198" fontId="0" fillId="0" borderId="0" xfId="0" applyNumberFormat="1"/>
    <xf numFmtId="170" fontId="0" fillId="0" borderId="0" xfId="0" applyNumberFormat="1"/>
    <xf numFmtId="166" fontId="0" fillId="0" borderId="7" xfId="0" applyNumberFormat="1" applyBorder="1"/>
    <xf numFmtId="0" fontId="0" fillId="46" borderId="0" xfId="0" applyFill="1"/>
    <xf numFmtId="194" fontId="0" fillId="0" borderId="3" xfId="12" applyNumberFormat="1" applyFont="1" applyBorder="1" applyAlignment="1">
      <alignment horizontal="center" vertical="center"/>
    </xf>
    <xf numFmtId="183" fontId="0" fillId="0" borderId="1" xfId="0" applyNumberFormat="1" applyBorder="1"/>
    <xf numFmtId="0" fontId="12" fillId="102" borderId="0" xfId="0" applyFont="1" applyFill="1" applyAlignment="1">
      <alignment horizontal="center" vertical="center" wrapText="1"/>
    </xf>
    <xf numFmtId="175" fontId="0" fillId="0" borderId="7" xfId="0" applyNumberFormat="1" applyBorder="1"/>
    <xf numFmtId="167" fontId="0" fillId="0" borderId="7" xfId="0" applyNumberFormat="1" applyBorder="1"/>
    <xf numFmtId="198" fontId="22" fillId="0" borderId="1" xfId="0" applyNumberFormat="1" applyFont="1" applyBorder="1" applyAlignment="1">
      <alignment horizontal="center"/>
    </xf>
    <xf numFmtId="9" fontId="22" fillId="0" borderId="1" xfId="10" applyFont="1" applyBorder="1"/>
    <xf numFmtId="10" fontId="22" fillId="0" borderId="1" xfId="0" applyNumberFormat="1" applyFont="1" applyBorder="1"/>
    <xf numFmtId="172" fontId="22" fillId="0" borderId="1" xfId="0" applyNumberFormat="1" applyFont="1" applyBorder="1"/>
    <xf numFmtId="169" fontId="0" fillId="0" borderId="7" xfId="0" applyNumberFormat="1" applyBorder="1"/>
    <xf numFmtId="165" fontId="22" fillId="16" borderId="0" xfId="0" applyNumberFormat="1" applyFont="1" applyFill="1"/>
    <xf numFmtId="9" fontId="22" fillId="0" borderId="1" xfId="10" applyFont="1" applyBorder="1" applyAlignment="1">
      <alignment horizontal="center"/>
    </xf>
    <xf numFmtId="201" fontId="22" fillId="16" borderId="1" xfId="0" applyNumberFormat="1" applyFont="1" applyFill="1" applyBorder="1"/>
    <xf numFmtId="2" fontId="22" fillId="16" borderId="0" xfId="0" applyNumberFormat="1" applyFont="1" applyFill="1"/>
    <xf numFmtId="1" fontId="0" fillId="16" borderId="7" xfId="0" applyNumberFormat="1" applyFill="1" applyBorder="1"/>
    <xf numFmtId="0" fontId="4" fillId="45" borderId="0" xfId="0" applyFont="1" applyFill="1"/>
    <xf numFmtId="1" fontId="4" fillId="0" borderId="0" xfId="0" applyNumberFormat="1" applyFont="1" applyAlignment="1">
      <alignment horizontal="center"/>
    </xf>
    <xf numFmtId="0" fontId="0" fillId="16" borderId="7" xfId="0" applyFill="1" applyBorder="1"/>
    <xf numFmtId="171" fontId="22" fillId="16" borderId="0" xfId="0" applyNumberFormat="1" applyFont="1" applyFill="1"/>
    <xf numFmtId="173" fontId="22" fillId="0" borderId="7" xfId="0" applyNumberFormat="1" applyFont="1" applyBorder="1"/>
    <xf numFmtId="192" fontId="22" fillId="0" borderId="7" xfId="0" applyNumberFormat="1" applyFont="1" applyBorder="1"/>
    <xf numFmtId="192" fontId="19" fillId="0" borderId="7" xfId="0" applyNumberFormat="1" applyFont="1" applyBorder="1"/>
    <xf numFmtId="173" fontId="12" fillId="0" borderId="7" xfId="0" applyNumberFormat="1" applyFont="1" applyBorder="1"/>
    <xf numFmtId="199" fontId="4" fillId="45" borderId="0" xfId="0" applyNumberFormat="1" applyFont="1" applyFill="1"/>
    <xf numFmtId="2" fontId="4" fillId="45" borderId="0" xfId="0" applyNumberFormat="1" applyFont="1" applyFill="1"/>
    <xf numFmtId="0" fontId="22" fillId="0" borderId="11" xfId="0" applyFont="1" applyBorder="1" applyAlignment="1">
      <alignment horizontal="center"/>
    </xf>
    <xf numFmtId="165" fontId="0" fillId="0" borderId="7" xfId="0" applyNumberFormat="1" applyBorder="1" applyAlignment="1">
      <alignment horizontal="center" vertical="center"/>
    </xf>
    <xf numFmtId="0" fontId="0" fillId="0" borderId="7" xfId="0" applyBorder="1" applyAlignment="1">
      <alignment horizontal="center" vertical="center"/>
    </xf>
    <xf numFmtId="183" fontId="0" fillId="0" borderId="7" xfId="0" applyNumberFormat="1" applyBorder="1" applyAlignment="1">
      <alignment horizontal="center" vertical="center"/>
    </xf>
    <xf numFmtId="166" fontId="0" fillId="0" borderId="7" xfId="0" applyNumberFormat="1" applyBorder="1" applyAlignment="1">
      <alignment horizontal="center" vertical="center"/>
    </xf>
    <xf numFmtId="175" fontId="0" fillId="0" borderId="7" xfId="0" applyNumberFormat="1" applyBorder="1" applyAlignment="1">
      <alignment horizontal="center" vertical="center"/>
    </xf>
    <xf numFmtId="1" fontId="22" fillId="37" borderId="0" xfId="0" applyNumberFormat="1" applyFont="1" applyFill="1" applyAlignment="1">
      <alignment horizontal="center" vertical="center"/>
    </xf>
    <xf numFmtId="200" fontId="22" fillId="16" borderId="0" xfId="0" applyNumberFormat="1" applyFont="1" applyFill="1"/>
    <xf numFmtId="12" fontId="0" fillId="0" borderId="0" xfId="12" applyNumberFormat="1" applyFont="1"/>
    <xf numFmtId="0" fontId="4" fillId="103" borderId="0" xfId="0" applyFont="1" applyFill="1"/>
    <xf numFmtId="0" fontId="37" fillId="57" borderId="0" xfId="14" applyFill="1"/>
    <xf numFmtId="0" fontId="38" fillId="57" borderId="0" xfId="14" applyFont="1" applyFill="1" applyAlignment="1">
      <alignment wrapText="1"/>
    </xf>
    <xf numFmtId="0" fontId="44" fillId="57" borderId="0" xfId="17" applyFont="1" applyFill="1" applyAlignment="1">
      <alignment wrapText="1"/>
    </xf>
    <xf numFmtId="176" fontId="26" fillId="57" borderId="0" xfId="0" applyNumberFormat="1" applyFont="1" applyFill="1"/>
    <xf numFmtId="0" fontId="19" fillId="105" borderId="0" xfId="0" applyFont="1" applyFill="1" applyAlignment="1">
      <alignment horizontal="center" vertical="center" wrapText="1"/>
    </xf>
    <xf numFmtId="0" fontId="41" fillId="106" borderId="0" xfId="17" applyFont="1" applyFill="1" applyAlignment="1">
      <alignment horizontal="center" vertical="center" wrapText="1"/>
    </xf>
    <xf numFmtId="0" fontId="41" fillId="106" borderId="0" xfId="17" applyFont="1" applyFill="1" applyAlignment="1">
      <alignment horizontal="center" vertical="center"/>
    </xf>
    <xf numFmtId="0" fontId="2" fillId="57" borderId="0" xfId="17" applyFill="1" applyAlignment="1">
      <alignment vertical="center"/>
    </xf>
    <xf numFmtId="170" fontId="38" fillId="57" borderId="0" xfId="17" applyNumberFormat="1" applyFont="1" applyFill="1" applyAlignment="1">
      <alignment horizontal="center" vertical="center"/>
    </xf>
    <xf numFmtId="9" fontId="2" fillId="57" borderId="0" xfId="17" applyNumberFormat="1" applyFill="1" applyAlignment="1">
      <alignment horizontal="center" vertical="center"/>
    </xf>
    <xf numFmtId="1" fontId="38" fillId="57" borderId="0" xfId="17" applyNumberFormat="1" applyFont="1" applyFill="1" applyAlignment="1">
      <alignment horizontal="center" vertical="center" wrapText="1"/>
    </xf>
    <xf numFmtId="1" fontId="2" fillId="57" borderId="0" xfId="17" applyNumberFormat="1" applyFill="1" applyAlignment="1">
      <alignment horizontal="center" vertical="center"/>
    </xf>
    <xf numFmtId="188" fontId="2" fillId="57" borderId="0" xfId="17" applyNumberFormat="1" applyFill="1" applyAlignment="1">
      <alignment vertical="center"/>
    </xf>
    <xf numFmtId="9" fontId="2" fillId="57" borderId="0" xfId="17" applyNumberFormat="1" applyFill="1" applyAlignment="1">
      <alignment vertical="center"/>
    </xf>
    <xf numFmtId="0" fontId="22" fillId="105" borderId="0" xfId="0" applyFont="1" applyFill="1" applyAlignment="1">
      <alignment horizontal="center" vertical="center" wrapText="1"/>
    </xf>
    <xf numFmtId="0" fontId="22" fillId="105" borderId="0" xfId="0" applyFont="1" applyFill="1" applyAlignment="1">
      <alignment horizontal="center" vertical="center"/>
    </xf>
    <xf numFmtId="0" fontId="22" fillId="107" borderId="0" xfId="0" applyFont="1" applyFill="1" applyAlignment="1">
      <alignment horizontal="center" vertical="center" wrapText="1"/>
    </xf>
    <xf numFmtId="0" fontId="0" fillId="57" borderId="0" xfId="0" applyFill="1" applyAlignment="1">
      <alignment vertical="center"/>
    </xf>
    <xf numFmtId="170" fontId="12" fillId="57" borderId="0" xfId="0" applyNumberFormat="1" applyFont="1" applyFill="1" applyAlignment="1">
      <alignment horizontal="center" vertical="center"/>
    </xf>
    <xf numFmtId="9" fontId="0" fillId="57" borderId="0" xfId="0" applyNumberFormat="1" applyFill="1" applyAlignment="1">
      <alignment horizontal="center" vertical="center"/>
    </xf>
    <xf numFmtId="1" fontId="12" fillId="57" borderId="0" xfId="0" applyNumberFormat="1" applyFont="1" applyFill="1" applyAlignment="1">
      <alignment horizontal="center" vertical="center" wrapText="1"/>
    </xf>
    <xf numFmtId="1" fontId="0" fillId="57" borderId="0" xfId="0" applyNumberFormat="1" applyFill="1" applyAlignment="1">
      <alignment horizontal="center" vertical="center"/>
    </xf>
    <xf numFmtId="1" fontId="12" fillId="57" borderId="0" xfId="0" applyNumberFormat="1" applyFont="1" applyFill="1" applyAlignment="1">
      <alignment horizontal="center" vertical="center"/>
    </xf>
    <xf numFmtId="2" fontId="12" fillId="57" borderId="0" xfId="0" applyNumberFormat="1" applyFont="1" applyFill="1" applyAlignment="1">
      <alignment horizontal="center" vertical="center"/>
    </xf>
    <xf numFmtId="168" fontId="12" fillId="57" borderId="0" xfId="0" applyNumberFormat="1" applyFont="1" applyFill="1" applyAlignment="1">
      <alignment horizontal="center" vertical="center"/>
    </xf>
    <xf numFmtId="2" fontId="0" fillId="57" borderId="0" xfId="0" applyNumberFormat="1" applyFill="1"/>
    <xf numFmtId="0" fontId="24" fillId="57" borderId="0" xfId="0" applyFont="1" applyFill="1" applyAlignment="1">
      <alignment wrapText="1"/>
    </xf>
    <xf numFmtId="165" fontId="7" fillId="0" borderId="6" xfId="0" applyNumberFormat="1" applyFont="1" applyBorder="1"/>
    <xf numFmtId="0" fontId="11" fillId="57" borderId="0" xfId="0" applyFont="1" applyFill="1" applyAlignment="1">
      <alignment vertical="center"/>
    </xf>
    <xf numFmtId="175" fontId="0" fillId="57" borderId="0" xfId="0" applyNumberFormat="1" applyFill="1" applyAlignment="1">
      <alignment vertical="center"/>
    </xf>
    <xf numFmtId="9" fontId="0" fillId="57" borderId="0" xfId="0" applyNumberFormat="1" applyFill="1" applyAlignment="1">
      <alignment vertical="center"/>
    </xf>
    <xf numFmtId="170" fontId="12" fillId="57" borderId="0" xfId="0" applyNumberFormat="1" applyFont="1" applyFill="1" applyAlignment="1">
      <alignment horizontal="center" vertical="center" wrapText="1"/>
    </xf>
    <xf numFmtId="170" fontId="0" fillId="57" borderId="0" xfId="0" applyNumberFormat="1" applyFill="1" applyAlignment="1">
      <alignment horizontal="center" vertical="center"/>
    </xf>
    <xf numFmtId="165" fontId="7" fillId="108" borderId="0" xfId="0" applyNumberFormat="1" applyFont="1" applyFill="1" applyAlignment="1">
      <alignment horizontal="center" vertical="center"/>
    </xf>
    <xf numFmtId="165" fontId="7" fillId="108" borderId="0" xfId="0" applyNumberFormat="1" applyFont="1" applyFill="1"/>
    <xf numFmtId="166" fontId="7" fillId="108" borderId="0" xfId="0" applyNumberFormat="1" applyFont="1" applyFill="1"/>
    <xf numFmtId="165" fontId="0" fillId="16" borderId="7" xfId="0" applyNumberFormat="1" applyFill="1" applyBorder="1" applyAlignment="1">
      <alignment horizontal="center"/>
    </xf>
    <xf numFmtId="0" fontId="0" fillId="37" borderId="7" xfId="0" applyFill="1" applyBorder="1" applyAlignment="1">
      <alignment horizontal="center"/>
    </xf>
    <xf numFmtId="169" fontId="19" fillId="0" borderId="7" xfId="0" applyNumberFormat="1" applyFont="1" applyBorder="1" applyAlignment="1">
      <alignment horizontal="center"/>
    </xf>
    <xf numFmtId="0" fontId="4" fillId="45" borderId="0" xfId="0" applyFont="1" applyFill="1" applyAlignment="1">
      <alignment horizontal="center"/>
    </xf>
    <xf numFmtId="0" fontId="0" fillId="45" borderId="0" xfId="0" applyFill="1"/>
    <xf numFmtId="0" fontId="0" fillId="37" borderId="7" xfId="0" applyFill="1" applyBorder="1"/>
    <xf numFmtId="0" fontId="5" fillId="45" borderId="0" xfId="4" applyFill="1" applyAlignment="1">
      <alignment horizontal="center" vertical="center"/>
    </xf>
    <xf numFmtId="0" fontId="12" fillId="109" borderId="0" xfId="0" applyFont="1" applyFill="1" applyAlignment="1">
      <alignment horizontal="center" vertical="center" wrapText="1"/>
    </xf>
    <xf numFmtId="10" fontId="4" fillId="16" borderId="0" xfId="0" applyNumberFormat="1" applyFont="1" applyFill="1" applyAlignment="1">
      <alignment vertical="center"/>
    </xf>
    <xf numFmtId="168" fontId="0" fillId="0" borderId="7" xfId="0" applyNumberFormat="1" applyBorder="1"/>
    <xf numFmtId="202" fontId="22" fillId="0" borderId="1" xfId="0" applyNumberFormat="1" applyFont="1" applyBorder="1" applyAlignment="1">
      <alignment horizontal="center"/>
    </xf>
    <xf numFmtId="203" fontId="19" fillId="0" borderId="7" xfId="0" applyNumberFormat="1" applyFont="1" applyBorder="1"/>
    <xf numFmtId="2" fontId="22" fillId="9" borderId="1" xfId="0" applyNumberFormat="1" applyFont="1" applyFill="1" applyBorder="1"/>
    <xf numFmtId="165" fontId="0" fillId="16" borderId="1" xfId="0" applyNumberFormat="1" applyFill="1" applyBorder="1"/>
    <xf numFmtId="169" fontId="0" fillId="16" borderId="1" xfId="0" applyNumberFormat="1" applyFill="1" applyBorder="1"/>
    <xf numFmtId="0" fontId="37" fillId="45" borderId="0" xfId="14" applyFill="1"/>
    <xf numFmtId="43" fontId="0" fillId="0" borderId="7" xfId="0" applyNumberFormat="1" applyBorder="1"/>
    <xf numFmtId="198" fontId="22" fillId="9" borderId="1" xfId="0" applyNumberFormat="1" applyFont="1" applyFill="1" applyBorder="1" applyAlignment="1">
      <alignment horizontal="center"/>
    </xf>
    <xf numFmtId="174" fontId="4" fillId="0" borderId="1" xfId="0" applyNumberFormat="1" applyFont="1" applyBorder="1"/>
    <xf numFmtId="169" fontId="0" fillId="0" borderId="1" xfId="0" applyNumberFormat="1" applyBorder="1"/>
    <xf numFmtId="165" fontId="0" fillId="22" borderId="1" xfId="0" applyNumberFormat="1" applyFill="1" applyBorder="1"/>
    <xf numFmtId="166" fontId="0" fillId="22" borderId="7" xfId="0" applyNumberFormat="1" applyFill="1" applyBorder="1"/>
    <xf numFmtId="2" fontId="74" fillId="0" borderId="33" xfId="0" applyNumberFormat="1" applyFont="1" applyBorder="1" applyAlignment="1">
      <alignment horizontal="center" vertical="center" wrapText="1"/>
    </xf>
    <xf numFmtId="0" fontId="0" fillId="29" borderId="7" xfId="0" applyFill="1" applyBorder="1"/>
    <xf numFmtId="165" fontId="0" fillId="29" borderId="1" xfId="0" applyNumberFormat="1" applyFill="1" applyBorder="1"/>
    <xf numFmtId="0" fontId="0" fillId="16" borderId="1" xfId="0" applyFill="1" applyBorder="1"/>
    <xf numFmtId="0" fontId="22" fillId="16" borderId="1" xfId="0" applyFont="1" applyFill="1" applyBorder="1" applyAlignment="1">
      <alignment horizontal="center"/>
    </xf>
    <xf numFmtId="199" fontId="22" fillId="9" borderId="1" xfId="0" applyNumberFormat="1" applyFont="1" applyFill="1" applyBorder="1" applyAlignment="1">
      <alignment horizontal="center"/>
    </xf>
    <xf numFmtId="1" fontId="22" fillId="16" borderId="1" xfId="0" applyNumberFormat="1" applyFont="1" applyFill="1" applyBorder="1" applyAlignment="1">
      <alignment horizontal="center"/>
    </xf>
    <xf numFmtId="1" fontId="22" fillId="0" borderId="1" xfId="0" applyNumberFormat="1" applyFont="1" applyBorder="1" applyAlignment="1">
      <alignment horizontal="center"/>
    </xf>
    <xf numFmtId="165" fontId="0" fillId="54" borderId="7" xfId="0" applyNumberFormat="1" applyFill="1" applyBorder="1"/>
    <xf numFmtId="204" fontId="4" fillId="0" borderId="0" xfId="0" applyNumberFormat="1" applyFont="1"/>
    <xf numFmtId="164" fontId="22" fillId="16" borderId="0" xfId="0" applyNumberFormat="1" applyFont="1" applyFill="1"/>
    <xf numFmtId="165" fontId="0" fillId="37" borderId="7" xfId="0" applyNumberFormat="1" applyFill="1" applyBorder="1"/>
    <xf numFmtId="165" fontId="0" fillId="36" borderId="7" xfId="0" applyNumberFormat="1" applyFill="1" applyBorder="1"/>
    <xf numFmtId="205" fontId="4" fillId="0" borderId="0" xfId="0" applyNumberFormat="1" applyFont="1"/>
    <xf numFmtId="175" fontId="19" fillId="0" borderId="7" xfId="0" applyNumberFormat="1" applyFont="1" applyBorder="1"/>
    <xf numFmtId="199" fontId="4" fillId="0" borderId="0" xfId="0" applyNumberFormat="1" applyFont="1"/>
    <xf numFmtId="0" fontId="0" fillId="46" borderId="0" xfId="0" applyFill="1" applyAlignment="1">
      <alignment horizontal="center"/>
    </xf>
    <xf numFmtId="0" fontId="20" fillId="27" borderId="0" xfId="0" applyFont="1" applyFill="1" applyAlignment="1">
      <alignment horizontal="center"/>
    </xf>
    <xf numFmtId="43" fontId="22" fillId="16" borderId="0" xfId="0" applyNumberFormat="1" applyFont="1" applyFill="1"/>
    <xf numFmtId="1" fontId="22" fillId="0" borderId="1" xfId="0" applyNumberFormat="1" applyFont="1" applyBorder="1"/>
    <xf numFmtId="180" fontId="0" fillId="0" borderId="7" xfId="0" applyNumberFormat="1" applyBorder="1"/>
    <xf numFmtId="165" fontId="0" fillId="54" borderId="1" xfId="0" applyNumberFormat="1" applyFill="1" applyBorder="1"/>
    <xf numFmtId="169" fontId="0" fillId="54" borderId="1" xfId="0" applyNumberFormat="1" applyFill="1" applyBorder="1"/>
    <xf numFmtId="165" fontId="0" fillId="57" borderId="6" xfId="0" applyNumberFormat="1" applyFill="1" applyBorder="1"/>
    <xf numFmtId="0" fontId="0" fillId="57" borderId="15" xfId="0" applyFill="1" applyBorder="1"/>
    <xf numFmtId="0" fontId="0" fillId="57" borderId="11" xfId="0" applyFill="1" applyBorder="1"/>
    <xf numFmtId="169" fontId="19" fillId="57" borderId="7" xfId="0" applyNumberFormat="1" applyFont="1" applyFill="1" applyBorder="1"/>
    <xf numFmtId="0" fontId="4" fillId="25" borderId="1" xfId="0" applyFont="1" applyFill="1" applyBorder="1"/>
    <xf numFmtId="0" fontId="4" fillId="101" borderId="1" xfId="0" applyFont="1" applyFill="1" applyBorder="1"/>
    <xf numFmtId="173" fontId="19" fillId="57" borderId="7" xfId="0" applyNumberFormat="1" applyFont="1" applyFill="1" applyBorder="1"/>
    <xf numFmtId="175" fontId="0" fillId="0" borderId="1" xfId="0" applyNumberFormat="1" applyBorder="1" applyAlignment="1">
      <alignment horizontal="center" vertical="center"/>
    </xf>
    <xf numFmtId="9" fontId="0" fillId="0" borderId="1" xfId="10" applyFont="1" applyBorder="1" applyAlignment="1">
      <alignment horizontal="center" vertical="center"/>
    </xf>
    <xf numFmtId="0" fontId="0" fillId="0" borderId="5" xfId="0" applyBorder="1"/>
    <xf numFmtId="0" fontId="19" fillId="37" borderId="0" xfId="0" applyFont="1" applyFill="1" applyAlignment="1">
      <alignment wrapText="1"/>
    </xf>
    <xf numFmtId="0" fontId="74" fillId="37" borderId="33" xfId="0" applyFont="1" applyFill="1" applyBorder="1" applyAlignment="1">
      <alignment horizontal="center" vertical="center" wrapText="1"/>
    </xf>
    <xf numFmtId="0" fontId="24" fillId="37" borderId="0" xfId="0" applyFont="1" applyFill="1"/>
    <xf numFmtId="165" fontId="7" fillId="0" borderId="0" xfId="0" applyNumberFormat="1" applyFont="1" applyAlignment="1">
      <alignment horizontal="center"/>
    </xf>
    <xf numFmtId="2" fontId="7" fillId="88" borderId="0" xfId="0" applyNumberFormat="1" applyFont="1" applyFill="1" applyAlignment="1">
      <alignment horizontal="center"/>
    </xf>
    <xf numFmtId="2" fontId="7" fillId="6" borderId="0" xfId="0" applyNumberFormat="1" applyFont="1" applyFill="1" applyAlignment="1">
      <alignment horizontal="center"/>
    </xf>
    <xf numFmtId="2" fontId="11" fillId="0" borderId="0" xfId="0" applyNumberFormat="1" applyFont="1" applyAlignment="1">
      <alignment horizontal="center"/>
    </xf>
    <xf numFmtId="2" fontId="7" fillId="5" borderId="0" xfId="0" applyNumberFormat="1" applyFont="1" applyFill="1" applyAlignment="1">
      <alignment horizontal="center"/>
    </xf>
    <xf numFmtId="2" fontId="7" fillId="93" borderId="0" xfId="0" applyNumberFormat="1" applyFont="1" applyFill="1" applyAlignment="1">
      <alignment horizontal="center"/>
    </xf>
    <xf numFmtId="2" fontId="7" fillId="98" borderId="0" xfId="0" applyNumberFormat="1" applyFont="1" applyFill="1" applyAlignment="1">
      <alignment horizontal="center"/>
    </xf>
    <xf numFmtId="2" fontId="9" fillId="93" borderId="0" xfId="0" applyNumberFormat="1" applyFont="1" applyFill="1" applyAlignment="1">
      <alignment horizontal="center"/>
    </xf>
    <xf numFmtId="2" fontId="7" fillId="99" borderId="0" xfId="0" applyNumberFormat="1" applyFont="1" applyFill="1" applyAlignment="1">
      <alignment horizontal="center"/>
    </xf>
    <xf numFmtId="2" fontId="9" fillId="98" borderId="0" xfId="0" applyNumberFormat="1" applyFont="1" applyFill="1" applyAlignment="1">
      <alignment horizontal="center"/>
    </xf>
    <xf numFmtId="2" fontId="0" fillId="13" borderId="0" xfId="0" applyNumberFormat="1" applyFill="1" applyAlignment="1">
      <alignment horizontal="center"/>
    </xf>
    <xf numFmtId="2" fontId="83" fillId="10" borderId="0" xfId="0" applyNumberFormat="1" applyFont="1" applyFill="1" applyAlignment="1">
      <alignment horizontal="center" vertical="center"/>
    </xf>
    <xf numFmtId="2" fontId="0" fillId="38" borderId="0" xfId="0" applyNumberFormat="1" applyFill="1"/>
    <xf numFmtId="0" fontId="0" fillId="57" borderId="2" xfId="0" applyFill="1" applyBorder="1" applyAlignment="1">
      <alignment horizontal="left"/>
    </xf>
    <xf numFmtId="169" fontId="11" fillId="0" borderId="7" xfId="0" applyNumberFormat="1" applyFont="1" applyBorder="1"/>
    <xf numFmtId="165" fontId="66" fillId="0" borderId="7" xfId="0" applyNumberFormat="1" applyFont="1" applyBorder="1"/>
    <xf numFmtId="43" fontId="11" fillId="0" borderId="7" xfId="0" applyNumberFormat="1" applyFont="1" applyBorder="1"/>
    <xf numFmtId="190" fontId="18" fillId="0" borderId="0" xfId="0" applyNumberFormat="1" applyFont="1"/>
    <xf numFmtId="165" fontId="11" fillId="0" borderId="7" xfId="0" applyNumberFormat="1" applyFont="1" applyBorder="1" applyAlignment="1">
      <alignment horizontal="center" vertical="center"/>
    </xf>
    <xf numFmtId="166" fontId="11" fillId="0" borderId="7" xfId="0" applyNumberFormat="1" applyFont="1" applyBorder="1" applyAlignment="1">
      <alignment horizontal="center" vertical="center"/>
    </xf>
    <xf numFmtId="1" fontId="11" fillId="0" borderId="7" xfId="0" applyNumberFormat="1" applyFont="1" applyBorder="1" applyAlignment="1">
      <alignment horizontal="center" vertical="center"/>
    </xf>
    <xf numFmtId="175" fontId="11" fillId="0" borderId="7" xfId="0" applyNumberFormat="1" applyFont="1" applyBorder="1"/>
    <xf numFmtId="166" fontId="66" fillId="16" borderId="7" xfId="0" applyNumberFormat="1" applyFont="1" applyFill="1" applyBorder="1" applyAlignment="1">
      <alignment horizontal="center" vertical="center"/>
    </xf>
    <xf numFmtId="175" fontId="66" fillId="16" borderId="7" xfId="0" applyNumberFormat="1" applyFont="1" applyFill="1" applyBorder="1" applyAlignment="1">
      <alignment horizontal="center" vertical="center"/>
    </xf>
    <xf numFmtId="183" fontId="66" fillId="16" borderId="7" xfId="0" applyNumberFormat="1" applyFont="1" applyFill="1" applyBorder="1"/>
    <xf numFmtId="0" fontId="66" fillId="16" borderId="7" xfId="0" applyFont="1" applyFill="1" applyBorder="1"/>
    <xf numFmtId="165" fontId="11" fillId="22" borderId="7" xfId="0" applyNumberFormat="1" applyFont="1" applyFill="1" applyBorder="1"/>
    <xf numFmtId="165" fontId="11" fillId="0" borderId="7" xfId="0" applyNumberFormat="1" applyFont="1" applyBorder="1" applyAlignment="1">
      <alignment horizontal="center"/>
    </xf>
    <xf numFmtId="0" fontId="11" fillId="0" borderId="7" xfId="0" applyFont="1" applyBorder="1" applyAlignment="1">
      <alignment horizontal="center"/>
    </xf>
    <xf numFmtId="169" fontId="11" fillId="0" borderId="7" xfId="0" applyNumberFormat="1" applyFont="1" applyBorder="1" applyAlignment="1">
      <alignment horizontal="center"/>
    </xf>
    <xf numFmtId="165" fontId="66" fillId="16" borderId="7" xfId="0" applyNumberFormat="1" applyFont="1" applyFill="1" applyBorder="1" applyAlignment="1">
      <alignment horizontal="center"/>
    </xf>
    <xf numFmtId="169" fontId="11" fillId="0" borderId="1" xfId="0" applyNumberFormat="1" applyFont="1" applyBorder="1"/>
    <xf numFmtId="165" fontId="0" fillId="16" borderId="7" xfId="0" applyNumberFormat="1" applyFill="1" applyBorder="1" applyAlignment="1">
      <alignment horizontal="center" vertical="center"/>
    </xf>
    <xf numFmtId="169" fontId="0" fillId="0" borderId="7" xfId="0" applyNumberFormat="1" applyBorder="1" applyAlignment="1">
      <alignment horizontal="center" vertical="center"/>
    </xf>
    <xf numFmtId="0" fontId="25" fillId="30" borderId="5" xfId="0" applyFont="1" applyFill="1" applyBorder="1" applyAlignment="1">
      <alignment horizontal="center" vertical="center" wrapText="1"/>
    </xf>
    <xf numFmtId="0" fontId="0" fillId="77" borderId="5" xfId="0" applyFill="1" applyBorder="1"/>
    <xf numFmtId="0" fontId="25" fillId="30" borderId="4" xfId="0" applyFont="1" applyFill="1" applyBorder="1" applyAlignment="1">
      <alignment horizontal="center" vertical="center" wrapText="1"/>
    </xf>
    <xf numFmtId="0" fontId="0" fillId="77" borderId="4" xfId="0" applyFill="1" applyBorder="1"/>
    <xf numFmtId="0" fontId="21" fillId="18" borderId="0" xfId="0" applyFont="1" applyFill="1" applyAlignment="1">
      <alignment horizontal="center" vertical="center" wrapText="1"/>
    </xf>
    <xf numFmtId="0" fontId="21" fillId="20" borderId="5" xfId="0" applyFont="1" applyFill="1" applyBorder="1" applyAlignment="1">
      <alignment horizontal="center" vertical="center" wrapText="1"/>
    </xf>
    <xf numFmtId="0" fontId="0" fillId="0" borderId="5" xfId="0" applyBorder="1"/>
    <xf numFmtId="0" fontId="4" fillId="0" borderId="0" xfId="0" applyFont="1"/>
    <xf numFmtId="0" fontId="4" fillId="0" borderId="0" xfId="0" applyFont="1" applyAlignment="1">
      <alignment horizontal="center" vertical="center"/>
    </xf>
    <xf numFmtId="0" fontId="21" fillId="0" borderId="0" xfId="0" applyFont="1" applyAlignment="1">
      <alignment horizontal="center" vertical="center" wrapText="1"/>
    </xf>
    <xf numFmtId="0" fontId="11" fillId="26" borderId="10" xfId="0" applyFont="1" applyFill="1" applyBorder="1" applyAlignment="1">
      <alignment horizontal="center" vertical="center"/>
    </xf>
    <xf numFmtId="0" fontId="21" fillId="24" borderId="5" xfId="0" applyFont="1" applyFill="1" applyBorder="1" applyAlignment="1">
      <alignment horizontal="center" vertical="center"/>
    </xf>
    <xf numFmtId="0" fontId="76" fillId="68" borderId="33" xfId="0" applyFont="1" applyFill="1" applyBorder="1" applyAlignment="1">
      <alignment horizontal="center" vertical="center"/>
    </xf>
    <xf numFmtId="0" fontId="36" fillId="39" borderId="0" xfId="0" applyFont="1" applyFill="1" applyAlignment="1">
      <alignment horizontal="center"/>
    </xf>
    <xf numFmtId="0" fontId="0" fillId="0" borderId="0" xfId="0" applyAlignment="1">
      <alignment horizontal="center"/>
    </xf>
    <xf numFmtId="0" fontId="22" fillId="56" borderId="1" xfId="21" applyFont="1" applyFill="1" applyBorder="1" applyAlignment="1">
      <alignment horizontal="center" vertical="center"/>
    </xf>
    <xf numFmtId="0" fontId="62" fillId="0" borderId="1" xfId="21" applyFont="1" applyBorder="1"/>
    <xf numFmtId="0" fontId="22" fillId="56" borderId="31" xfId="21" applyFont="1" applyFill="1" applyBorder="1" applyAlignment="1">
      <alignment horizontal="center" vertical="center"/>
    </xf>
    <xf numFmtId="0" fontId="22" fillId="56" borderId="32" xfId="21" applyFont="1" applyFill="1" applyBorder="1" applyAlignment="1">
      <alignment horizontal="center" vertical="center"/>
    </xf>
    <xf numFmtId="0" fontId="22" fillId="56" borderId="30" xfId="21" applyFont="1" applyFill="1" applyBorder="1" applyAlignment="1">
      <alignment horizontal="center" vertical="center"/>
    </xf>
    <xf numFmtId="0" fontId="62" fillId="0" borderId="0" xfId="21" applyFont="1"/>
    <xf numFmtId="0" fontId="7" fillId="78" borderId="1" xfId="0" applyFont="1" applyFill="1" applyBorder="1" applyAlignment="1">
      <alignment horizontal="center"/>
    </xf>
    <xf numFmtId="0" fontId="7" fillId="0" borderId="1" xfId="21" applyFont="1" applyBorder="1"/>
    <xf numFmtId="0" fontId="22" fillId="0" borderId="0" xfId="21" applyFont="1" applyAlignment="1">
      <alignment horizontal="center" vertical="center"/>
    </xf>
    <xf numFmtId="0" fontId="7" fillId="0" borderId="0" xfId="21" applyFont="1"/>
    <xf numFmtId="0" fontId="7" fillId="0" borderId="0" xfId="0" applyFont="1" applyAlignment="1">
      <alignment horizontal="center"/>
    </xf>
    <xf numFmtId="0" fontId="21" fillId="20" borderId="4" xfId="0" applyFont="1" applyFill="1" applyBorder="1" applyAlignment="1">
      <alignment horizontal="center" vertical="center" wrapText="1"/>
    </xf>
    <xf numFmtId="0" fontId="11" fillId="26" borderId="3" xfId="0" applyFont="1" applyFill="1" applyBorder="1" applyAlignment="1">
      <alignment horizontal="center"/>
    </xf>
    <xf numFmtId="0" fontId="0" fillId="0" borderId="4" xfId="0" applyBorder="1"/>
    <xf numFmtId="0" fontId="21" fillId="24" borderId="5" xfId="0" applyFont="1" applyFill="1" applyBorder="1" applyAlignment="1">
      <alignment horizontal="center"/>
    </xf>
    <xf numFmtId="0" fontId="76" fillId="68" borderId="34" xfId="0" applyFont="1" applyFill="1" applyBorder="1" applyAlignment="1">
      <alignment horizontal="center" vertical="center"/>
    </xf>
    <xf numFmtId="0" fontId="25" fillId="30" borderId="0" xfId="0" applyFont="1" applyFill="1" applyAlignment="1">
      <alignment horizontal="center" vertical="center" wrapText="1"/>
    </xf>
    <xf numFmtId="0" fontId="4" fillId="77" borderId="0" xfId="0" applyFont="1" applyFill="1" applyAlignment="1">
      <alignment horizontal="center"/>
    </xf>
    <xf numFmtId="0" fontId="21" fillId="20" borderId="18" xfId="0" applyFont="1" applyFill="1" applyBorder="1" applyAlignment="1">
      <alignment horizontal="center" vertical="center" wrapText="1"/>
    </xf>
    <xf numFmtId="0" fontId="18" fillId="26" borderId="0" xfId="0" applyFont="1" applyFill="1" applyAlignment="1">
      <alignment horizontal="center"/>
    </xf>
    <xf numFmtId="0" fontId="4" fillId="0" borderId="0" xfId="0" applyFont="1" applyAlignment="1">
      <alignment horizontal="center"/>
    </xf>
    <xf numFmtId="0" fontId="76" fillId="68" borderId="35" xfId="0" applyFont="1" applyFill="1" applyBorder="1" applyAlignment="1">
      <alignment horizontal="center" vertical="center"/>
    </xf>
    <xf numFmtId="0" fontId="76" fillId="68" borderId="36" xfId="0" applyFont="1" applyFill="1" applyBorder="1" applyAlignment="1">
      <alignment horizontal="center" vertical="center"/>
    </xf>
    <xf numFmtId="0" fontId="76" fillId="68" borderId="37" xfId="0" applyFont="1" applyFill="1" applyBorder="1" applyAlignment="1">
      <alignment horizontal="center" vertical="center"/>
    </xf>
    <xf numFmtId="0" fontId="0" fillId="77" borderId="0" xfId="0" applyFill="1"/>
    <xf numFmtId="0" fontId="0" fillId="0" borderId="0" xfId="0"/>
    <xf numFmtId="0" fontId="11" fillId="26" borderId="10" xfId="0" applyFont="1" applyFill="1" applyBorder="1" applyAlignment="1">
      <alignment horizontal="center"/>
    </xf>
    <xf numFmtId="0" fontId="4" fillId="77" borderId="0" xfId="0" applyFont="1" applyFill="1"/>
    <xf numFmtId="0" fontId="21" fillId="20" borderId="1" xfId="0" applyFont="1" applyFill="1" applyBorder="1" applyAlignment="1">
      <alignment horizontal="center" vertical="center" wrapText="1"/>
    </xf>
    <xf numFmtId="0" fontId="0" fillId="0" borderId="11" xfId="0" applyBorder="1"/>
    <xf numFmtId="0" fontId="21" fillId="24" borderId="4" xfId="0" applyFont="1" applyFill="1" applyBorder="1" applyAlignment="1">
      <alignment horizontal="center"/>
    </xf>
    <xf numFmtId="0" fontId="25" fillId="0" borderId="0" xfId="0" applyFont="1" applyAlignment="1">
      <alignment horizontal="center" vertical="center" wrapText="1"/>
    </xf>
    <xf numFmtId="0" fontId="0" fillId="0" borderId="18" xfId="0" applyBorder="1"/>
    <xf numFmtId="0" fontId="18" fillId="26" borderId="5" xfId="0" applyFont="1" applyFill="1" applyBorder="1" applyAlignment="1">
      <alignment horizontal="center"/>
    </xf>
    <xf numFmtId="0" fontId="61" fillId="20" borderId="5" xfId="4" applyFont="1" applyFill="1" applyBorder="1" applyAlignment="1">
      <alignment horizontal="center" vertical="center" wrapText="1"/>
    </xf>
    <xf numFmtId="0" fontId="61" fillId="20" borderId="18" xfId="4" applyFont="1" applyFill="1" applyBorder="1" applyAlignment="1">
      <alignment horizontal="center" vertical="center" wrapText="1"/>
    </xf>
    <xf numFmtId="0" fontId="61" fillId="0" borderId="18" xfId="4" applyFont="1" applyBorder="1" applyAlignment="1">
      <alignment horizontal="center" vertical="center" wrapText="1"/>
    </xf>
    <xf numFmtId="0" fontId="61" fillId="0" borderId="0" xfId="4" applyFont="1" applyAlignment="1">
      <alignment horizontal="center" vertical="center" wrapText="1"/>
    </xf>
    <xf numFmtId="0" fontId="16" fillId="47" borderId="10" xfId="9" applyFont="1" applyFill="1" applyBorder="1" applyAlignment="1">
      <alignment horizontal="center" vertical="center"/>
    </xf>
    <xf numFmtId="0" fontId="16" fillId="47" borderId="5" xfId="9" applyFont="1" applyFill="1" applyBorder="1" applyAlignment="1">
      <alignment horizontal="center" vertical="center"/>
    </xf>
    <xf numFmtId="0" fontId="16" fillId="0" borderId="0" xfId="9" applyFont="1" applyAlignment="1">
      <alignment horizontal="center" vertical="center"/>
    </xf>
    <xf numFmtId="0" fontId="18" fillId="26" borderId="4" xfId="0" applyFont="1" applyFill="1" applyBorder="1" applyAlignment="1">
      <alignment horizontal="center"/>
    </xf>
    <xf numFmtId="0" fontId="25" fillId="104" borderId="0" xfId="0" applyFont="1" applyFill="1" applyAlignment="1">
      <alignment horizontal="center" vertical="center" wrapText="1"/>
    </xf>
    <xf numFmtId="0" fontId="0" fillId="57" borderId="0" xfId="0" applyFill="1"/>
    <xf numFmtId="0" fontId="39" fillId="42" borderId="18" xfId="14" applyFont="1" applyFill="1" applyBorder="1" applyAlignment="1">
      <alignment horizontal="center" vertical="center" wrapText="1"/>
    </xf>
    <xf numFmtId="0" fontId="39" fillId="42" borderId="5" xfId="14" applyFont="1" applyFill="1" applyBorder="1" applyAlignment="1">
      <alignment horizontal="center" vertical="center" wrapText="1"/>
    </xf>
    <xf numFmtId="0" fontId="16" fillId="47" borderId="1" xfId="17" applyFont="1" applyFill="1" applyBorder="1" applyAlignment="1">
      <alignment horizontal="center" vertical="center"/>
    </xf>
    <xf numFmtId="0" fontId="25" fillId="30" borderId="0" xfId="0" applyFont="1" applyFill="1" applyAlignment="1">
      <alignment horizontal="center" vertical="center" wrapText="1" readingOrder="2"/>
    </xf>
    <xf numFmtId="0" fontId="18" fillId="26" borderId="1" xfId="0" applyFont="1" applyFill="1" applyBorder="1" applyAlignment="1">
      <alignment horizontal="center"/>
    </xf>
    <xf numFmtId="0" fontId="0" fillId="0" borderId="2" xfId="0" applyBorder="1"/>
    <xf numFmtId="1" fontId="4" fillId="0" borderId="0" xfId="0" applyNumberFormat="1" applyFont="1"/>
    <xf numFmtId="1" fontId="4" fillId="77" borderId="0" xfId="0" applyNumberFormat="1" applyFont="1" applyFill="1"/>
    <xf numFmtId="0" fontId="21" fillId="20" borderId="12" xfId="0" applyFont="1" applyFill="1" applyBorder="1" applyAlignment="1">
      <alignment horizontal="center" vertical="center" wrapText="1"/>
    </xf>
    <xf numFmtId="0" fontId="0" fillId="0" borderId="20" xfId="0" applyBorder="1"/>
    <xf numFmtId="0" fontId="0" fillId="0" borderId="12" xfId="0" applyBorder="1"/>
    <xf numFmtId="0" fontId="27" fillId="76" borderId="4" xfId="0" applyFont="1" applyFill="1" applyBorder="1" applyAlignment="1">
      <alignment horizontal="center" vertical="center" wrapText="1"/>
    </xf>
    <xf numFmtId="0" fontId="27" fillId="20" borderId="4" xfId="0" applyFont="1" applyFill="1" applyBorder="1" applyAlignment="1">
      <alignment horizontal="center" vertical="center" wrapText="1"/>
    </xf>
    <xf numFmtId="0" fontId="21" fillId="18" borderId="5" xfId="0" applyFont="1" applyFill="1" applyBorder="1" applyAlignment="1">
      <alignment horizontal="center" vertical="center" wrapText="1"/>
    </xf>
    <xf numFmtId="0" fontId="25" fillId="0" borderId="0" xfId="0" applyFont="1" applyAlignment="1">
      <alignment horizontal="center" vertical="center" wrapText="1" readingOrder="2"/>
    </xf>
    <xf numFmtId="176" fontId="25" fillId="30" borderId="5" xfId="0" applyNumberFormat="1" applyFont="1" applyFill="1" applyBorder="1" applyAlignment="1">
      <alignment horizontal="center" vertical="center" wrapText="1"/>
    </xf>
    <xf numFmtId="176" fontId="0" fillId="77" borderId="5" xfId="0" applyNumberFormat="1" applyFill="1" applyBorder="1" applyAlignment="1">
      <alignment horizontal="center" vertical="center"/>
    </xf>
    <xf numFmtId="176" fontId="25" fillId="30" borderId="4" xfId="0" applyNumberFormat="1" applyFont="1" applyFill="1" applyBorder="1" applyAlignment="1">
      <alignment horizontal="center" vertical="center" wrapText="1"/>
    </xf>
    <xf numFmtId="176" fontId="0" fillId="77" borderId="4" xfId="0" applyNumberFormat="1" applyFill="1" applyBorder="1" applyAlignment="1">
      <alignment horizontal="center" vertical="center"/>
    </xf>
    <xf numFmtId="0" fontId="21" fillId="20" borderId="0" xfId="0" applyFont="1" applyFill="1" applyAlignment="1">
      <alignment horizontal="center" vertical="center" wrapText="1"/>
    </xf>
    <xf numFmtId="0" fontId="25" fillId="30" borderId="2" xfId="0" applyFont="1" applyFill="1" applyBorder="1" applyAlignment="1">
      <alignment horizontal="center" vertical="center" wrapText="1"/>
    </xf>
    <xf numFmtId="0" fontId="0" fillId="77" borderId="2" xfId="0" applyFill="1" applyBorder="1"/>
    <xf numFmtId="0" fontId="21" fillId="20" borderId="3" xfId="0" applyFont="1" applyFill="1" applyBorder="1" applyAlignment="1">
      <alignment horizontal="center" vertical="center" wrapText="1"/>
    </xf>
    <xf numFmtId="0" fontId="0" fillId="0" borderId="10" xfId="0" applyBorder="1"/>
    <xf numFmtId="0" fontId="25" fillId="30" borderId="12" xfId="0" applyFont="1" applyFill="1" applyBorder="1" applyAlignment="1">
      <alignment horizontal="center" vertical="center" wrapText="1"/>
    </xf>
    <xf numFmtId="0" fontId="0" fillId="77" borderId="12" xfId="0" applyFill="1" applyBorder="1"/>
    <xf numFmtId="0" fontId="25" fillId="30" borderId="3" xfId="0" applyFont="1" applyFill="1" applyBorder="1" applyAlignment="1">
      <alignment horizontal="center" vertical="center" wrapText="1"/>
    </xf>
    <xf numFmtId="0" fontId="10" fillId="26" borderId="10" xfId="0" applyFont="1" applyFill="1" applyBorder="1" applyAlignment="1">
      <alignment horizontal="center"/>
    </xf>
    <xf numFmtId="0" fontId="51" fillId="30" borderId="0" xfId="9" applyFont="1" applyFill="1" applyAlignment="1">
      <alignment horizontal="center" vertical="center" wrapText="1" readingOrder="2"/>
    </xf>
    <xf numFmtId="0" fontId="6" fillId="0" borderId="5" xfId="9" applyBorder="1"/>
    <xf numFmtId="0" fontId="16" fillId="47" borderId="3" xfId="9" applyFont="1" applyFill="1" applyBorder="1" applyAlignment="1">
      <alignment horizontal="center" vertical="center"/>
    </xf>
    <xf numFmtId="0" fontId="16" fillId="47" borderId="4" xfId="9" applyFont="1" applyFill="1" applyBorder="1" applyAlignment="1">
      <alignment horizontal="center" vertical="center"/>
    </xf>
    <xf numFmtId="0" fontId="16" fillId="47" borderId="2" xfId="9" applyFont="1" applyFill="1" applyBorder="1" applyAlignment="1">
      <alignment horizontal="center" vertical="center"/>
    </xf>
    <xf numFmtId="0" fontId="5" fillId="0" borderId="0" xfId="4" applyAlignment="1">
      <alignment horizontal="center" vertical="center"/>
    </xf>
    <xf numFmtId="0" fontId="4" fillId="46" borderId="0" xfId="0" applyFont="1" applyFill="1"/>
    <xf numFmtId="0" fontId="0" fillId="46" borderId="5" xfId="0" applyFill="1" applyBorder="1"/>
    <xf numFmtId="0" fontId="27" fillId="20" borderId="5" xfId="0" applyFont="1" applyFill="1" applyBorder="1" applyAlignment="1">
      <alignment horizontal="center" vertical="center" wrapText="1"/>
    </xf>
    <xf numFmtId="0" fontId="10" fillId="26" borderId="3" xfId="0" applyFont="1" applyFill="1" applyBorder="1" applyAlignment="1">
      <alignment horizontal="center"/>
    </xf>
    <xf numFmtId="0" fontId="21" fillId="24" borderId="0" xfId="0" applyFont="1" applyFill="1" applyAlignment="1">
      <alignment horizontal="center"/>
    </xf>
    <xf numFmtId="0" fontId="11" fillId="26" borderId="5" xfId="0" applyFont="1" applyFill="1" applyBorder="1" applyAlignment="1">
      <alignment horizontal="center"/>
    </xf>
    <xf numFmtId="0" fontId="0" fillId="46" borderId="4" xfId="0" applyFill="1" applyBorder="1"/>
    <xf numFmtId="0" fontId="21" fillId="57" borderId="0" xfId="0" applyFont="1" applyFill="1" applyAlignment="1">
      <alignment horizontal="center" vertical="center"/>
    </xf>
    <xf numFmtId="0" fontId="21" fillId="20" borderId="2" xfId="0" applyFont="1" applyFill="1" applyBorder="1" applyAlignment="1">
      <alignment horizontal="center" vertical="center" wrapText="1"/>
    </xf>
    <xf numFmtId="0" fontId="0" fillId="0" borderId="19" xfId="0" applyBorder="1"/>
    <xf numFmtId="0" fontId="10" fillId="26" borderId="4" xfId="0" applyFont="1" applyFill="1" applyBorder="1" applyAlignment="1">
      <alignment horizontal="center"/>
    </xf>
    <xf numFmtId="0" fontId="10" fillId="26" borderId="5" xfId="0" applyFont="1" applyFill="1" applyBorder="1" applyAlignment="1">
      <alignment horizontal="center"/>
    </xf>
    <xf numFmtId="0" fontId="21" fillId="110" borderId="5" xfId="0" applyFont="1" applyFill="1" applyBorder="1" applyAlignment="1">
      <alignment horizontal="center"/>
    </xf>
    <xf numFmtId="0" fontId="0" fillId="46" borderId="4" xfId="0" applyFill="1" applyBorder="1" applyAlignment="1">
      <alignment horizontal="center"/>
    </xf>
    <xf numFmtId="0" fontId="0" fillId="46" borderId="5" xfId="0" applyFill="1" applyBorder="1" applyAlignment="1">
      <alignment horizontal="center"/>
    </xf>
    <xf numFmtId="0" fontId="61" fillId="20" borderId="0" xfId="4" applyFont="1" applyFill="1" applyAlignment="1">
      <alignment horizontal="center" vertical="center" wrapText="1"/>
    </xf>
    <xf numFmtId="0" fontId="16" fillId="47" borderId="1" xfId="9" applyFont="1" applyFill="1" applyBorder="1" applyAlignment="1">
      <alignment horizontal="center" vertical="center"/>
    </xf>
    <xf numFmtId="0" fontId="55" fillId="0" borderId="0" xfId="9" applyFont="1" applyAlignment="1">
      <alignment horizontal="center" vertical="center"/>
    </xf>
    <xf numFmtId="0" fontId="18" fillId="26" borderId="3" xfId="0" applyFont="1" applyFill="1" applyBorder="1" applyAlignment="1">
      <alignment horizontal="center"/>
    </xf>
    <xf numFmtId="1" fontId="37" fillId="111" borderId="17" xfId="14" applyNumberFormat="1" applyFill="1" applyBorder="1"/>
    <xf numFmtId="165" fontId="66" fillId="16" borderId="7" xfId="0" applyNumberFormat="1" applyFont="1" applyFill="1" applyBorder="1" applyAlignment="1">
      <alignment horizontal="center" vertical="center"/>
    </xf>
    <xf numFmtId="182" fontId="84" fillId="112" borderId="1" xfId="10" applyNumberFormat="1" applyFont="1" applyFill="1" applyBorder="1"/>
    <xf numFmtId="0" fontId="4" fillId="37" borderId="0" xfId="0" applyFont="1" applyFill="1"/>
  </cellXfs>
  <cellStyles count="28">
    <cellStyle name="Comma" xfId="12" builtinId="3"/>
    <cellStyle name="Comma 2" xfId="11" xr:uid="{18EA1BA5-0704-41E7-A012-391B0077F9D3}"/>
    <cellStyle name="Comma 3" xfId="16" xr:uid="{3D365F4C-4208-4309-B57A-8044CE14F6C7}"/>
    <cellStyle name="Comma 3 2" xfId="27" xr:uid="{214CECBC-8A4C-4039-A34E-24E358261D53}"/>
    <cellStyle name="Comma 4" xfId="18" xr:uid="{0A675ED8-89BB-4079-AB9D-B7D3C6E0BDDA}"/>
    <cellStyle name="Normal" xfId="0" builtinId="0"/>
    <cellStyle name="Normal 2" xfId="1" xr:uid="{00000000-0005-0000-0000-000006000000}"/>
    <cellStyle name="Normal 2 2" xfId="2" xr:uid="{00000000-0005-0000-0000-000007000000}"/>
    <cellStyle name="Normal 2 2 2" xfId="3" xr:uid="{00000000-0005-0000-0000-000008000000}"/>
    <cellStyle name="Normal 2 2 2 2" xfId="4" xr:uid="{00000000-0005-0000-0000-000009000000}"/>
    <cellStyle name="Normal 2 2 2 3" xfId="19" xr:uid="{A0C47EFC-8466-4B3C-BBF0-A07CFD00619B}"/>
    <cellStyle name="Normal 2 2 3" xfId="5" xr:uid="{00000000-0005-0000-0000-00000A000000}"/>
    <cellStyle name="Normal 2 2 4" xfId="14" xr:uid="{15999F1B-21DE-4099-99DA-8C6F2A7F4172}"/>
    <cellStyle name="Normal 2 3" xfId="6" xr:uid="{00000000-0005-0000-0000-00000B000000}"/>
    <cellStyle name="Normal 2 3 2" xfId="7" xr:uid="{00000000-0005-0000-0000-00000C000000}"/>
    <cellStyle name="Normal 2 4" xfId="8" xr:uid="{00000000-0005-0000-0000-00000D000000}"/>
    <cellStyle name="Normal 2 5" xfId="13" xr:uid="{BEDDAC02-889E-4940-884F-A3E6BC16C164}"/>
    <cellStyle name="Normal 2 6" xfId="23" xr:uid="{C4FC1722-6972-4885-843A-4C1F9DFDAACC}"/>
    <cellStyle name="Normal 2 7" xfId="25" xr:uid="{D2C94E10-B01C-4ECA-A68A-C8134B54DF30}"/>
    <cellStyle name="Normal 3" xfId="9" xr:uid="{00000000-0005-0000-0000-00000E000000}"/>
    <cellStyle name="Normal 4" xfId="15" xr:uid="{47F5779C-A916-404B-AF62-18779521A302}"/>
    <cellStyle name="Normal 4 2" xfId="26" xr:uid="{1E752618-0C21-4AB7-888E-88B7BDFBA922}"/>
    <cellStyle name="Normal 5" xfId="17" xr:uid="{8A243A6A-FF21-4FC6-85D5-99D85DC12BEF}"/>
    <cellStyle name="Normal 6" xfId="20" xr:uid="{02B9C210-B94F-482B-80C3-4A7C1E9CAFE5}"/>
    <cellStyle name="Normal 7" xfId="21" xr:uid="{01C06B8A-553A-4B42-9E90-C9726582D414}"/>
    <cellStyle name="Normal 8" xfId="22" xr:uid="{2F3A9262-5A8A-4FBD-B51F-A19E9BD9BA98}"/>
    <cellStyle name="Normal 9" xfId="24" xr:uid="{A9FECBB2-4940-49A4-AD68-E3CDD267D5A0}"/>
    <cellStyle name="Percent" xfId="10" builtinId="5"/>
  </cellStyles>
  <dxfs count="0"/>
  <tableStyles count="0" defaultTableStyle="TableStyleMedium2" defaultPivotStyle="PivotStyleLight16"/>
  <colors>
    <indexedColors>
      <rgbColor rgb="FF000000"/>
      <rgbColor rgb="FFFFFFFF"/>
      <rgbColor rgb="FFFF0000"/>
      <rgbColor rgb="FFFBE5D6"/>
      <rgbColor rgb="FF0000FF"/>
      <rgbColor rgb="FFFFFF00"/>
      <rgbColor rgb="FFFFCCFF"/>
      <rgbColor rgb="FFE7E6E6"/>
      <rgbColor rgb="FFC00000"/>
      <rgbColor rgb="FF008000"/>
      <rgbColor rgb="FF000080"/>
      <rgbColor rgb="FFC55A11"/>
      <rgbColor rgb="FF9966FF"/>
      <rgbColor rgb="FF2F5597"/>
      <rgbColor rgb="FFC9C9C9"/>
      <rgbColor rgb="FF7C7C7C"/>
      <rgbColor rgb="FFADB9CA"/>
      <rgbColor rgb="FF7030A0"/>
      <rgbColor rgb="FFFFF2CC"/>
      <rgbColor rgb="FFDEEBF7"/>
      <rgbColor rgb="FF660066"/>
      <rgbColor rgb="FFF4B183"/>
      <rgbColor rgb="FF0070C0"/>
      <rgbColor rgb="FFB4C7E7"/>
      <rgbColor rgb="FF000080"/>
      <rgbColor rgb="FFFF00FF"/>
      <rgbColor rgb="FFC5E0B4"/>
      <rgbColor rgb="FFF2F2F2"/>
      <rgbColor rgb="FF800080"/>
      <rgbColor rgb="FF800000"/>
      <rgbColor rgb="FF008080"/>
      <rgbColor rgb="FF0000FF"/>
      <rgbColor rgb="FFD6DCE5"/>
      <rgbColor rgb="FFDAE3F3"/>
      <rgbColor rgb="FFE2F0D9"/>
      <rgbColor rgb="FFFFE699"/>
      <rgbColor rgb="FF9DC3E6"/>
      <rgbColor rgb="FFFF99CC"/>
      <rgbColor rgb="FFAFABAB"/>
      <rgbColor rgb="FFF8CBAD"/>
      <rgbColor rgb="FF2E75B6"/>
      <rgbColor rgb="FFA9D18E"/>
      <rgbColor rgb="FF92D050"/>
      <rgbColor rgb="FFFFC000"/>
      <rgbColor rgb="FFBF9000"/>
      <rgbColor rgb="FFED7D31"/>
      <rgbColor rgb="FF595959"/>
      <rgbColor rgb="FFA6A6A6"/>
      <rgbColor rgb="FF002060"/>
      <rgbColor rgb="FF00B050"/>
      <rgbColor rgb="FF0D0D0D"/>
      <rgbColor rgb="FF333300"/>
      <rgbColor rgb="FF843C0B"/>
      <rgbColor rgb="FF833C0C"/>
      <rgbColor rgb="FF203864"/>
      <rgbColor rgb="FF333F50"/>
      <rgbColor rgb="00003366"/>
      <rgbColor rgb="00339966"/>
      <rgbColor rgb="00003300"/>
      <rgbColor rgb="00333300"/>
      <rgbColor rgb="00993300"/>
      <rgbColor rgb="00993366"/>
      <rgbColor rgb="00333399"/>
      <rgbColor rgb="00333333"/>
    </indexedColors>
    <mruColors>
      <color rgb="FFFF7C80"/>
      <color rgb="FF66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theme" Target="theme/theme1.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tyles" Target="styles.xml"/><Relationship Id="rId95" Type="http://schemas.microsoft.com/office/2006/relationships/vbaProject" Target="vbaProject.bin"/><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microsoft.com/office/2017/10/relationships/person" Target="persons/pers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heetMetadata" Target="metadata.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6</xdr:col>
      <xdr:colOff>203200</xdr:colOff>
      <xdr:row>0</xdr:row>
      <xdr:rowOff>95250</xdr:rowOff>
    </xdr:from>
    <xdr:to>
      <xdr:col>6</xdr:col>
      <xdr:colOff>1117600</xdr:colOff>
      <xdr:row>4</xdr:row>
      <xdr:rowOff>177800</xdr:rowOff>
    </xdr:to>
    <xdr:pic macro="[0]!RefreshButchery_Click">
      <xdr:nvPicPr>
        <xdr:cNvPr id="4" name="Graphic 3" descr="Cow with solid fill">
          <a:extLst>
            <a:ext uri="{FF2B5EF4-FFF2-40B4-BE49-F238E27FC236}">
              <a16:creationId xmlns:a16="http://schemas.microsoft.com/office/drawing/2014/main" id="{579707F3-D0DA-2D8C-9591-F66E923D7B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82300" y="95250"/>
          <a:ext cx="914400" cy="914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16</xdr:col>
      <xdr:colOff>465404</xdr:colOff>
      <xdr:row>140</xdr:row>
      <xdr:rowOff>134494</xdr:rowOff>
    </xdr:from>
    <xdr:to>
      <xdr:col>16</xdr:col>
      <xdr:colOff>1056443</xdr:colOff>
      <xdr:row>144</xdr:row>
      <xdr:rowOff>24839</xdr:rowOff>
    </xdr:to>
    <xdr:pic macro="[0]!RecalcMasterSheet">
      <xdr:nvPicPr>
        <xdr:cNvPr id="2" name="Graphic 1" descr="Salt And Pepper with solid fill">
          <a:extLst>
            <a:ext uri="{FF2B5EF4-FFF2-40B4-BE49-F238E27FC236}">
              <a16:creationId xmlns:a16="http://schemas.microsoft.com/office/drawing/2014/main" id="{ABA56C9B-A484-41FA-83AE-502A6803B4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7410833" y="25851994"/>
          <a:ext cx="591039" cy="616060"/>
        </a:xfrm>
        <a:prstGeom prst="rect">
          <a:avLst/>
        </a:prstGeom>
      </xdr:spPr>
    </xdr:pic>
    <xdr:clientData/>
  </xdr:twoCellAnchor>
  <xdr:twoCellAnchor>
    <xdr:from>
      <xdr:col>34</xdr:col>
      <xdr:colOff>15393</xdr:colOff>
      <xdr:row>2</xdr:row>
      <xdr:rowOff>153940</xdr:rowOff>
    </xdr:from>
    <xdr:to>
      <xdr:col>34</xdr:col>
      <xdr:colOff>623454</xdr:colOff>
      <xdr:row>7</xdr:row>
      <xdr:rowOff>153941</xdr:rowOff>
    </xdr:to>
    <xdr:sp macro="[0]!UpdateRecipeData" textlink="">
      <xdr:nvSpPr>
        <xdr:cNvPr id="4" name="Lightning Bolt 3">
          <a:extLst>
            <a:ext uri="{FF2B5EF4-FFF2-40B4-BE49-F238E27FC236}">
              <a16:creationId xmlns:a16="http://schemas.microsoft.com/office/drawing/2014/main" id="{585151FD-718F-C171-B5DB-B132B1F544A4}"/>
            </a:ext>
          </a:extLst>
        </xdr:cNvPr>
        <xdr:cNvSpPr/>
      </xdr:nvSpPr>
      <xdr:spPr>
        <a:xfrm>
          <a:off x="31388242" y="846667"/>
          <a:ext cx="608061" cy="885152"/>
        </a:xfrm>
        <a:prstGeom prst="lightningBol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2144059</xdr:colOff>
      <xdr:row>2</xdr:row>
      <xdr:rowOff>141941</xdr:rowOff>
    </xdr:from>
    <xdr:to>
      <xdr:col>21</xdr:col>
      <xdr:colOff>1053353</xdr:colOff>
      <xdr:row>4</xdr:row>
      <xdr:rowOff>97118</xdr:rowOff>
    </xdr:to>
    <xdr:sp macro="[0]!ExportBatchTablesToPDF" textlink="">
      <xdr:nvSpPr>
        <xdr:cNvPr id="5" name="Rectangle: Rounded Corners 4">
          <a:extLst>
            <a:ext uri="{FF2B5EF4-FFF2-40B4-BE49-F238E27FC236}">
              <a16:creationId xmlns:a16="http://schemas.microsoft.com/office/drawing/2014/main" id="{99EFFE51-3113-E070-6305-A24352284241}"/>
            </a:ext>
          </a:extLst>
        </xdr:cNvPr>
        <xdr:cNvSpPr/>
      </xdr:nvSpPr>
      <xdr:spPr>
        <a:xfrm>
          <a:off x="21649765" y="836706"/>
          <a:ext cx="1068294" cy="313765"/>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a:r>
            <a:rPr lang="en-AE" sz="1100" b="1">
              <a:solidFill>
                <a:schemeClr val="bg1"/>
              </a:solidFill>
            </a:rPr>
            <a:t>Batch Tables</a:t>
          </a:r>
          <a:endParaRPr lang="ar-EG" sz="1100" b="1">
            <a:solidFill>
              <a:schemeClr val="bg1"/>
            </a:solidFill>
          </a:endParaRPr>
        </a:p>
      </xdr:txBody>
    </xdr:sp>
    <xdr:clientData/>
  </xdr:twoCellAnchor>
  <xdr:twoCellAnchor>
    <xdr:from>
      <xdr:col>20</xdr:col>
      <xdr:colOff>2157755</xdr:colOff>
      <xdr:row>5</xdr:row>
      <xdr:rowOff>17930</xdr:rowOff>
    </xdr:from>
    <xdr:to>
      <xdr:col>22</xdr:col>
      <xdr:colOff>6226</xdr:colOff>
      <xdr:row>6</xdr:row>
      <xdr:rowOff>152401</xdr:rowOff>
    </xdr:to>
    <xdr:sp macro="[0]!Module9.ExportSpecialTablesToPDF" textlink="">
      <xdr:nvSpPr>
        <xdr:cNvPr id="6" name="Rectangle: Rounded Corners 5">
          <a:extLst>
            <a:ext uri="{FF2B5EF4-FFF2-40B4-BE49-F238E27FC236}">
              <a16:creationId xmlns:a16="http://schemas.microsoft.com/office/drawing/2014/main" id="{CD6C6886-EA98-4210-AC84-79A389E84128}"/>
            </a:ext>
          </a:extLst>
        </xdr:cNvPr>
        <xdr:cNvSpPr/>
      </xdr:nvSpPr>
      <xdr:spPr>
        <a:xfrm>
          <a:off x="21652255" y="1241363"/>
          <a:ext cx="1065804" cy="312271"/>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a:r>
            <a:rPr lang="en-AE" sz="1100" b="1">
              <a:solidFill>
                <a:schemeClr val="bg1"/>
              </a:solidFill>
            </a:rPr>
            <a:t>Special Tables</a:t>
          </a:r>
          <a:endParaRPr lang="ar-EG" sz="1100" b="1">
            <a:solidFill>
              <a:schemeClr val="bg1"/>
            </a:solidFill>
          </a:endParaRPr>
        </a:p>
      </xdr:txBody>
    </xdr:sp>
    <xdr:clientData/>
  </xdr:twoCellAnchor>
  <xdr:twoCellAnchor>
    <xdr:from>
      <xdr:col>20</xdr:col>
      <xdr:colOff>2150036</xdr:colOff>
      <xdr:row>7</xdr:row>
      <xdr:rowOff>58271</xdr:rowOff>
    </xdr:from>
    <xdr:to>
      <xdr:col>21</xdr:col>
      <xdr:colOff>1059330</xdr:colOff>
      <xdr:row>9</xdr:row>
      <xdr:rowOff>13447</xdr:rowOff>
    </xdr:to>
    <xdr:sp macro="[0]!Module8.ExportGarnishToPDF" textlink="">
      <xdr:nvSpPr>
        <xdr:cNvPr id="7" name="Rectangle: Rounded Corners 6">
          <a:extLst>
            <a:ext uri="{FF2B5EF4-FFF2-40B4-BE49-F238E27FC236}">
              <a16:creationId xmlns:a16="http://schemas.microsoft.com/office/drawing/2014/main" id="{5780ACDF-4056-451E-9C7F-8A8C1728BAC5}"/>
            </a:ext>
          </a:extLst>
        </xdr:cNvPr>
        <xdr:cNvSpPr/>
      </xdr:nvSpPr>
      <xdr:spPr>
        <a:xfrm>
          <a:off x="21655742" y="1649506"/>
          <a:ext cx="1068294" cy="313765"/>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a:r>
            <a:rPr lang="en-AE" sz="1100" b="1">
              <a:solidFill>
                <a:schemeClr val="bg1"/>
              </a:solidFill>
            </a:rPr>
            <a:t>Garnish Tables</a:t>
          </a:r>
          <a:endParaRPr lang="ar-EG" sz="1100" b="1">
            <a:solidFill>
              <a:schemeClr val="bg1"/>
            </a:solidFill>
          </a:endParaRPr>
        </a:p>
      </xdr:txBody>
    </xdr:sp>
    <xdr:clientData/>
  </xdr:twoCellAnchor>
  <xdr:twoCellAnchor>
    <xdr:from>
      <xdr:col>20</xdr:col>
      <xdr:colOff>2157506</xdr:colOff>
      <xdr:row>9</xdr:row>
      <xdr:rowOff>95623</xdr:rowOff>
    </xdr:from>
    <xdr:to>
      <xdr:col>22</xdr:col>
      <xdr:colOff>5977</xdr:colOff>
      <xdr:row>11</xdr:row>
      <xdr:rowOff>50800</xdr:rowOff>
    </xdr:to>
    <xdr:sp macro="[0]!Module10.ExportActualsToPDF" textlink="">
      <xdr:nvSpPr>
        <xdr:cNvPr id="8" name="Rectangle: Rounded Corners 7">
          <a:extLst>
            <a:ext uri="{FF2B5EF4-FFF2-40B4-BE49-F238E27FC236}">
              <a16:creationId xmlns:a16="http://schemas.microsoft.com/office/drawing/2014/main" id="{8F014FB4-C4F6-44FF-8D79-F5AC66738A25}"/>
            </a:ext>
          </a:extLst>
        </xdr:cNvPr>
        <xdr:cNvSpPr/>
      </xdr:nvSpPr>
      <xdr:spPr>
        <a:xfrm>
          <a:off x="21663212" y="2045447"/>
          <a:ext cx="1068294" cy="313765"/>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a:r>
            <a:rPr lang="en-AE" sz="1100" b="1">
              <a:solidFill>
                <a:schemeClr val="bg1"/>
              </a:solidFill>
            </a:rPr>
            <a:t>Actuals Tables</a:t>
          </a:r>
          <a:endParaRPr lang="ar-EG" sz="1100" b="1">
            <a:solidFill>
              <a:schemeClr val="bg1"/>
            </a:solidFill>
          </a:endParaRPr>
        </a:p>
      </xdr:txBody>
    </xdr:sp>
    <xdr:clientData/>
  </xdr:twoCellAnchor>
  <xdr:twoCellAnchor editAs="oneCell">
    <xdr:from>
      <xdr:col>16</xdr:col>
      <xdr:colOff>460375</xdr:colOff>
      <xdr:row>7</xdr:row>
      <xdr:rowOff>63500</xdr:rowOff>
    </xdr:from>
    <xdr:to>
      <xdr:col>16</xdr:col>
      <xdr:colOff>1051414</xdr:colOff>
      <xdr:row>10</xdr:row>
      <xdr:rowOff>128470</xdr:rowOff>
    </xdr:to>
    <xdr:pic macro="[0]!RecalcMasterSheet">
      <xdr:nvPicPr>
        <xdr:cNvPr id="9" name="Graphic 8" descr="Salt And Pepper with solid fill">
          <a:extLst>
            <a:ext uri="{FF2B5EF4-FFF2-40B4-BE49-F238E27FC236}">
              <a16:creationId xmlns:a16="http://schemas.microsoft.com/office/drawing/2014/main" id="{923609EB-09ED-4D20-9519-2D1BDCC84E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431125" y="1619250"/>
          <a:ext cx="591039" cy="58884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546000</xdr:colOff>
      <xdr:row>2</xdr:row>
      <xdr:rowOff>75900</xdr:rowOff>
    </xdr:from>
    <xdr:to>
      <xdr:col>18</xdr:col>
      <xdr:colOff>215566</xdr:colOff>
      <xdr:row>8</xdr:row>
      <xdr:rowOff>75900</xdr:rowOff>
    </xdr:to>
    <xdr:pic macro="[0]!RecalcMarinationSheet">
      <xdr:nvPicPr>
        <xdr:cNvPr id="2" name="Graphic 2" descr="Chicken leg with solid fill">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stretch>
          <a:fillRect/>
        </a:stretch>
      </xdr:blipFill>
      <xdr:spPr>
        <a:xfrm>
          <a:off x="15468500" y="755350"/>
          <a:ext cx="717050" cy="721280"/>
        </a:xfrm>
        <a:prstGeom prst="rect">
          <a:avLst/>
        </a:prstGeom>
        <a:ln w="0">
          <a:noFill/>
          <a:prstDash val="solid"/>
        </a:ln>
      </xdr:spPr>
    </xdr:pic>
    <xdr:clientData/>
  </xdr:twoCellAnchor>
  <xdr:twoCellAnchor>
    <xdr:from>
      <xdr:col>21</xdr:col>
      <xdr:colOff>127000</xdr:colOff>
      <xdr:row>2</xdr:row>
      <xdr:rowOff>36286</xdr:rowOff>
    </xdr:from>
    <xdr:to>
      <xdr:col>22</xdr:col>
      <xdr:colOff>589643</xdr:colOff>
      <xdr:row>4</xdr:row>
      <xdr:rowOff>154215</xdr:rowOff>
    </xdr:to>
    <xdr:sp macro="[0]!Module5.ExportMarinationToPDF" textlink="">
      <xdr:nvSpPr>
        <xdr:cNvPr id="3" name="Rectangle: Rounded Corners 2">
          <a:extLst>
            <a:ext uri="{FF2B5EF4-FFF2-40B4-BE49-F238E27FC236}">
              <a16:creationId xmlns:a16="http://schemas.microsoft.com/office/drawing/2014/main" id="{1157AAB6-A2A8-46A6-8748-8A65382F2F13}"/>
            </a:ext>
          </a:extLst>
        </xdr:cNvPr>
        <xdr:cNvSpPr/>
      </xdr:nvSpPr>
      <xdr:spPr>
        <a:xfrm>
          <a:off x="18297071" y="716643"/>
          <a:ext cx="1115786" cy="480786"/>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a:r>
            <a:rPr lang="en-AE" sz="1100" b="1">
              <a:solidFill>
                <a:schemeClr val="bg1"/>
              </a:solidFill>
            </a:rPr>
            <a:t>Marination Tables</a:t>
          </a:r>
          <a:endParaRPr lang="ar-EG" sz="1100" b="1">
            <a:solidFill>
              <a:schemeClr val="bg1"/>
            </a:solidFill>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Amira Fathy" id="{D0A273E1-AE59-40C9-9EFD-381E588CF6FC}" userId="f5fe407a88cb1524" providerId="Windows Live"/>
  <person displayName="Kamal Alshareef" id="{E4E539F7-EF01-4E1C-A881-E9D2CB5C903B}" userId="S::Alshareef.ka@octafoodksa.com::cb6032f9-5897-4e48-8775-ec7e07c838a6" providerId="AD"/>
</personList>
</file>

<file path=xl/theme/theme1.xml><?xml version="1.0" encoding="utf-8"?>
<a:theme xmlns:a="http://schemas.openxmlformats.org/drawingml/2006/main"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C25" dT="2026-06-23T02:19:27.89" personId="{E4E539F7-EF01-4E1C-A881-E9D2CB5C903B}" id="{1DC842B1-13E5-4C73-8113-AF5C0DA1D93B}">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C634B071-63C1-479E-A95A-6D74175549F9}" parentId="{1DC842B1-13E5-4C73-8113-AF5C0DA1D93B}">
    <text xml:space="preserve">If true the Cost of Protein + Mix + Topping will be equal to the Blue Table </text>
  </threadedComment>
  <threadedComment ref="AC25" dT="2026-06-23T02:29:24.85" personId="{E4E539F7-EF01-4E1C-A881-E9D2CB5C903B}" id="{57649925-FF84-4FBB-83C5-CACD6E437374}" parentId="{1DC842B1-13E5-4C73-8113-AF5C0DA1D93B}">
    <text>Marination Cost per gram is only linked to the uncoocked chicken quantity not total with Sauce</text>
  </threadedComment>
  <threadedComment ref="AC25" dT="2026-06-23T02:34:15.40" personId="{E4E539F7-EF01-4E1C-A881-E9D2CB5C903B}" id="{0E857DDC-4BA7-45B4-A583-FAEE249271DA}" parentId="{1DC842B1-13E5-4C73-8113-AF5C0DA1D93B}">
    <text>Garnish rate is divided on the total quantity of Chicken and Sauce to get its contribution for each gm of total</text>
  </threadedComment>
  <threadedComment ref="AF28" dT="2026-06-23T02:20:15.12" personId="{E4E539F7-EF01-4E1C-A881-E9D2CB5C903B}" id="{44D9B5F2-A946-4132-B746-CFB757F18171}">
    <text>If the Equation is correct, you will have the total of Protein + Mix + Topping = to the total in the Blue Table</text>
  </threadedComment>
  <threadedComment ref="AA30" dT="2026-06-23T02:48:35.04" personId="{E4E539F7-EF01-4E1C-A881-E9D2CB5C903B}" id="{3011D849-562F-4B14-BFB9-F1AD0C7CEDA5}">
    <text>Keep the Rates linked to the Blue Table so it get updated as prices in the ordering sheet changes, if you changed the quantity in the blue table or the costing table, the rate must stay the same</text>
  </threadedComment>
</ThreadedComments>
</file>

<file path=xl/threadedComments/threadedComment2.xml><?xml version="1.0" encoding="utf-8"?>
<ThreadedComments xmlns="http://schemas.microsoft.com/office/spreadsheetml/2018/threadedcomments" xmlns:x="http://schemas.openxmlformats.org/spreadsheetml/2006/main">
  <threadedComment ref="AA30" dT="2026-06-23T02:48:35.04" personId="{E4E539F7-EF01-4E1C-A881-E9D2CB5C903B}" id="{081DAECB-E080-489B-8A34-165D790BF053}">
    <text>Keep the Rates linked to the Blue Table so it get updated as prices in the ordering sheet changes, if you changed the quantity in the blue table or the costing table, the rate must stay the same</text>
  </threadedComment>
</ThreadedComments>
</file>

<file path=xl/threadedComments/threadedComment3.xml><?xml version="1.0" encoding="utf-8"?>
<ThreadedComments xmlns="http://schemas.microsoft.com/office/spreadsheetml/2018/threadedcomments" xmlns:x="http://schemas.openxmlformats.org/spreadsheetml/2006/main">
  <threadedComment ref="I1" dT="2026-05-02T18:45:17.51" personId="{D0A273E1-AE59-40C9-9EFD-381E588CF6FC}" id="{D1EFD38B-F35F-4F53-829B-6B853CA5068A}">
    <text xml:space="preserve">There is no weight correction. For coating as it doesn’t lose weight
</text>
  </threadedComment>
  <threadedComment ref="K1" dT="2026-05-02T18:42:37.69" personId="{D0A273E1-AE59-40C9-9EFD-381E588CF6FC}" id="{DFDC8677-3B46-4597-A78A-89DFD78B19A4}">
    <text>The coating will never lose weight during cooking; however there will be loses as it will not stick to the chicken , get burned, and 75% is high efficiency coating</text>
  </threadedComment>
  <threadedComment ref="AC25" dT="2026-06-23T02:19:27.89" personId="{E4E539F7-EF01-4E1C-A881-E9D2CB5C903B}" id="{AFA68A81-CD12-4647-8026-78AC98878D42}">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7180E7D8-C120-463D-BEA4-B02CE0830906}" parentId="{AFA68A81-CD12-4647-8026-78AC98878D42}">
    <text xml:space="preserve">If true the Cost of Protein + Mix + Topping will be equal to the Blue Table </text>
  </threadedComment>
  <threadedComment ref="AC25" dT="2026-06-23T02:29:24.85" personId="{E4E539F7-EF01-4E1C-A881-E9D2CB5C903B}" id="{295FD4E7-0A54-4BFB-92B5-B86C62B9E13F}" parentId="{AFA68A81-CD12-4647-8026-78AC98878D42}">
    <text>Marination Cost per gram is only linked to the uncoocked chicken quantity not total with Sauce</text>
  </threadedComment>
  <threadedComment ref="AC25" dT="2026-06-23T02:34:15.40" personId="{E4E539F7-EF01-4E1C-A881-E9D2CB5C903B}" id="{19C4264B-D4E1-4768-A5C1-FA25535C0000}" parentId="{AFA68A81-CD12-4647-8026-78AC98878D42}">
    <text>Garnish rate is divided on the total quantity of Chicken and Sauce to get its contribution for each gm of total</text>
  </threadedComment>
</ThreadedComments>
</file>

<file path=xl/threadedComments/threadedComment4.xml><?xml version="1.0" encoding="utf-8"?>
<ThreadedComments xmlns="http://schemas.microsoft.com/office/spreadsheetml/2018/threadedcomments" xmlns:x="http://schemas.openxmlformats.org/spreadsheetml/2006/main">
  <threadedComment ref="AC25" dT="2026-06-23T02:19:27.89" personId="{E4E539F7-EF01-4E1C-A881-E9D2CB5C903B}" id="{ADAC1321-0D8E-452C-AD0E-7D9D38F2ED51}">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1ED7AC2E-3C01-422D-898D-FCF9DC1C4A24}" parentId="{ADAC1321-0D8E-452C-AD0E-7D9D38F2ED51}">
    <text xml:space="preserve">If true the Cost of Protein + Mix + Topping will be equal to the Blue Table </text>
  </threadedComment>
  <threadedComment ref="AC25" dT="2026-06-23T02:29:24.85" personId="{E4E539F7-EF01-4E1C-A881-E9D2CB5C903B}" id="{C01165E8-C6AD-435E-916A-F12E84AF80D2}" parentId="{ADAC1321-0D8E-452C-AD0E-7D9D38F2ED51}">
    <text>Marination Cost per gram is only linked to the uncoocked chicken quantity not total with Sauce</text>
  </threadedComment>
  <threadedComment ref="AC25" dT="2026-06-23T02:34:15.40" personId="{E4E539F7-EF01-4E1C-A881-E9D2CB5C903B}" id="{1A23ECB2-3171-4577-85E0-452C579FB2B5}" parentId="{ADAC1321-0D8E-452C-AD0E-7D9D38F2ED51}">
    <text>Garnish rate is divided on the total quantity of Chicken and Sauce to get its contribution for each gm of total</text>
  </threadedComment>
</ThreadedComments>
</file>

<file path=xl/threadedComments/threadedComment5.xml><?xml version="1.0" encoding="utf-8"?>
<ThreadedComments xmlns="http://schemas.microsoft.com/office/spreadsheetml/2018/threadedcomments" xmlns:x="http://schemas.openxmlformats.org/spreadsheetml/2006/main">
  <threadedComment ref="AC25" dT="2026-06-23T02:19:27.89" personId="{E4E539F7-EF01-4E1C-A881-E9D2CB5C903B}" id="{003E98E4-44CF-43F4-8018-2B4370DD5EF7}">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FDE06353-5266-4D65-B999-8F5538959799}" parentId="{003E98E4-44CF-43F4-8018-2B4370DD5EF7}">
    <text xml:space="preserve">If true the Cost of Protein + Mix + Topping will be equal to the Blue Table </text>
  </threadedComment>
  <threadedComment ref="AC25" dT="2026-06-23T02:29:24.85" personId="{E4E539F7-EF01-4E1C-A881-E9D2CB5C903B}" id="{B00DC54A-2AD0-4B58-B3CC-7A478BBF44AC}" parentId="{003E98E4-44CF-43F4-8018-2B4370DD5EF7}">
    <text>Marination Cost per gram is only linked to the uncoocked chicken quantity not total with Sauce</text>
  </threadedComment>
  <threadedComment ref="AC25" dT="2026-06-23T02:34:15.40" personId="{E4E539F7-EF01-4E1C-A881-E9D2CB5C903B}" id="{0553EC14-2F26-4AA9-98E5-6AE4D7DFA385}" parentId="{003E98E4-44CF-43F4-8018-2B4370DD5EF7}">
    <text>Garnish rate is divided on the total quantity of Chicken and Sauce to get its contribution for each gm of total</text>
  </threadedComment>
</ThreadedComments>
</file>

<file path=xl/threadedComments/threadedComment6.xml><?xml version="1.0" encoding="utf-8"?>
<ThreadedComments xmlns="http://schemas.microsoft.com/office/spreadsheetml/2018/threadedcomments" xmlns:x="http://schemas.openxmlformats.org/spreadsheetml/2006/main">
  <threadedComment ref="AC25" dT="2026-06-23T02:19:27.89" personId="{E4E539F7-EF01-4E1C-A881-E9D2CB5C903B}" id="{2ECC9FD7-3B29-4CC2-9BE8-C4E5CF01D92F}">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D573BD04-81FF-4465-BAC9-40F3B47CC71E}" parentId="{2ECC9FD7-3B29-4CC2-9BE8-C4E5CF01D92F}">
    <text xml:space="preserve">If true the Cost of Protein + Mix + Topping will be equal to the Blue Table </text>
  </threadedComment>
  <threadedComment ref="AC25" dT="2026-06-23T02:29:24.85" personId="{E4E539F7-EF01-4E1C-A881-E9D2CB5C903B}" id="{3E7BB26B-DE33-49CE-9BDE-69E7D5B96765}" parentId="{2ECC9FD7-3B29-4CC2-9BE8-C4E5CF01D92F}">
    <text>Marination Cost per gram is only linked to the uncoocked chicken quantity not total with Sauce</text>
  </threadedComment>
  <threadedComment ref="AC25" dT="2026-06-23T02:34:15.40" personId="{E4E539F7-EF01-4E1C-A881-E9D2CB5C903B}" id="{1C324CD3-9943-4619-A308-64F3D1C2D114}" parentId="{2ECC9FD7-3B29-4CC2-9BE8-C4E5CF01D92F}">
    <text>Garnish rate is divided on the total quantity of Chicken and Sauce to get its contribution for each gm of total</text>
  </threadedComment>
</ThreadedComments>
</file>

<file path=xl/threadedComments/threadedComment7.xml><?xml version="1.0" encoding="utf-8"?>
<ThreadedComments xmlns="http://schemas.microsoft.com/office/spreadsheetml/2018/threadedcomments" xmlns:x="http://schemas.openxmlformats.org/spreadsheetml/2006/main">
  <threadedComment ref="AC25" dT="2026-06-23T02:19:27.89" personId="{E4E539F7-EF01-4E1C-A881-E9D2CB5C903B}" id="{80258C01-47E0-4C6A-B5D0-A8F68454EA8E}">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66192683-B906-4AD6-BF34-7AA6F838DD97}" parentId="{80258C01-47E0-4C6A-B5D0-A8F68454EA8E}">
    <text xml:space="preserve">If true the Cost of Protein + Mix + Topping will be equal to the Blue Table </text>
  </threadedComment>
  <threadedComment ref="AC25" dT="2026-06-23T02:29:24.85" personId="{E4E539F7-EF01-4E1C-A881-E9D2CB5C903B}" id="{A052203C-1B2D-4051-A814-C85E8308A326}" parentId="{80258C01-47E0-4C6A-B5D0-A8F68454EA8E}">
    <text>Marination Cost per gram is only linked to the uncoocked chicken quantity not total with Sauce</text>
  </threadedComment>
  <threadedComment ref="AC25" dT="2026-06-23T02:34:15.40" personId="{E4E539F7-EF01-4E1C-A881-E9D2CB5C903B}" id="{26394F80-06EE-4897-917A-C8910B7A0B16}" parentId="{80258C01-47E0-4C6A-B5D0-A8F68454EA8E}">
    <text>Garnish rate is divided on the total quantity of Chicken and Sauce to get its contribution for each gm of total</text>
  </threadedComment>
</ThreadedComments>
</file>

<file path=xl/threadedComments/threadedComment8.xml><?xml version="1.0" encoding="utf-8"?>
<ThreadedComments xmlns="http://schemas.microsoft.com/office/spreadsheetml/2018/threadedcomments" xmlns:x="http://schemas.openxmlformats.org/spreadsheetml/2006/main">
  <threadedComment ref="AC25" dT="2026-06-23T02:19:27.89" personId="{E4E539F7-EF01-4E1C-A881-E9D2CB5C903B}" id="{15FBDEDA-BE01-4524-AC62-958B07B425D9}">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C59F39C1-DD30-4C26-8FB7-2DAF3A7D7ED5}" parentId="{15FBDEDA-BE01-4524-AC62-958B07B425D9}">
    <text xml:space="preserve">If true the Cost of Protein + Mix + Topping will be equal to the Blue Table </text>
  </threadedComment>
  <threadedComment ref="AC25" dT="2026-06-23T02:29:24.85" personId="{E4E539F7-EF01-4E1C-A881-E9D2CB5C903B}" id="{A496B6EA-5565-4715-922D-FEDB0DCA2EB9}" parentId="{15FBDEDA-BE01-4524-AC62-958B07B425D9}">
    <text>Marination Cost per gram is only linked to the uncoocked chicken quantity not total with Sauce</text>
  </threadedComment>
  <threadedComment ref="AC25" dT="2026-06-23T02:34:15.40" personId="{E4E539F7-EF01-4E1C-A881-E9D2CB5C903B}" id="{1FBE7618-1D34-4A82-A39B-5991670F029D}" parentId="{15FBDEDA-BE01-4524-AC62-958B07B425D9}">
    <text>Garnish rate is divided on the total quantity of Chicken and Sauce to get its contribution for each gm of total</text>
  </threadedComment>
</ThreadedComments>
</file>

<file path=xl/threadedComments/threadedComment9.xml><?xml version="1.0" encoding="utf-8"?>
<ThreadedComments xmlns="http://schemas.microsoft.com/office/spreadsheetml/2018/threadedcomments" xmlns:x="http://schemas.openxmlformats.org/spreadsheetml/2006/main">
  <threadedComment ref="AC25" dT="2026-06-23T02:19:27.89" personId="{E4E539F7-EF01-4E1C-A881-E9D2CB5C903B}" id="{2A66C493-8FD3-43DA-9452-DAC88E320BF7}">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712EEAE9-3490-47EF-932E-1C0744C14684}" parentId="{2A66C493-8FD3-43DA-9452-DAC88E320BF7}">
    <text xml:space="preserve">If true the Cost of Protein + Mix + Topping will be equal to the Blue Table </text>
  </threadedComment>
  <threadedComment ref="AC25" dT="2026-06-23T02:29:24.85" personId="{E4E539F7-EF01-4E1C-A881-E9D2CB5C903B}" id="{5C3E6921-BA19-45F1-B395-F31E2163978D}" parentId="{2A66C493-8FD3-43DA-9452-DAC88E320BF7}">
    <text>Marination Cost per gram is only linked to the uncoocked chicken quantity not total with Sauce</text>
  </threadedComment>
  <threadedComment ref="AC25" dT="2026-06-23T02:34:15.40" personId="{E4E539F7-EF01-4E1C-A881-E9D2CB5C903B}" id="{37AF96A8-710F-444F-AE27-8BB266B5CA13}" parentId="{2A66C493-8FD3-43DA-9452-DAC88E320BF7}">
    <text>Garnish rate is divided on the total quantity of Chicken and Sauce to get its contribution for each gm of total</text>
  </threadedComment>
</ThreadedComments>
</file>

<file path=xl/threadedComments/threadedComment10.xml><?xml version="1.0" encoding="utf-8"?>
<ThreadedComments xmlns="http://schemas.microsoft.com/office/spreadsheetml/2018/threadedcomments" xmlns:x="http://schemas.openxmlformats.org/spreadsheetml/2006/main">
  <threadedComment ref="AC25" dT="2026-06-23T02:19:27.89" personId="{E4E539F7-EF01-4E1C-A881-E9D2CB5C903B}" id="{3359F034-9006-4058-909C-6311A4116AA2}">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9391309C-2FED-4FF7-8BDE-0FCC498627E8}" parentId="{3359F034-9006-4058-909C-6311A4116AA2}">
    <text xml:space="preserve">If true the Cost of Protein + Mix + Topping will be equal to the Blue Table </text>
  </threadedComment>
  <threadedComment ref="AC25" dT="2026-06-23T02:29:24.85" personId="{E4E539F7-EF01-4E1C-A881-E9D2CB5C903B}" id="{AC324CE2-3868-40DF-9D7F-66BEE3412EB3}" parentId="{3359F034-9006-4058-909C-6311A4116AA2}">
    <text>Marination Cost per gram is only linked to the uncoocked chicken quantity not total with Sauce</text>
  </threadedComment>
  <threadedComment ref="AC25" dT="2026-06-23T02:34:15.40" personId="{E4E539F7-EF01-4E1C-A881-E9D2CB5C903B}" id="{14C7FACD-3964-4CCA-915C-736D6D41D172}" parentId="{3359F034-9006-4058-909C-6311A4116AA2}">
    <text>Garnish rate is divided on the total quantity of Chicken and Sauce to get its contribution for each gm of total</text>
  </threadedComment>
</ThreadedComments>
</file>

<file path=xl/threadedComments/threadedComment11.xml><?xml version="1.0" encoding="utf-8"?>
<ThreadedComments xmlns="http://schemas.microsoft.com/office/spreadsheetml/2018/threadedcomments" xmlns:x="http://schemas.openxmlformats.org/spreadsheetml/2006/main">
  <threadedComment ref="AC25" dT="2026-06-23T02:19:27.89" personId="{E4E539F7-EF01-4E1C-A881-E9D2CB5C903B}" id="{608F1BEB-2EAE-4E5E-8748-AE7646B10B4F}">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793543CE-527F-455D-BB56-46C24EE8751E}" parentId="{608F1BEB-2EAE-4E5E-8748-AE7646B10B4F}">
    <text xml:space="preserve">If true the Cost of Protein + Mix + Topping will be equal to the Blue Table </text>
  </threadedComment>
  <threadedComment ref="AC25" dT="2026-06-23T02:29:24.85" personId="{E4E539F7-EF01-4E1C-A881-E9D2CB5C903B}" id="{D4B48E4F-D478-4965-8B86-1BC078DFC921}" parentId="{608F1BEB-2EAE-4E5E-8748-AE7646B10B4F}">
    <text>Marination Cost per gram is only linked to the uncoocked chicken quantity not total with Sauce</text>
  </threadedComment>
  <threadedComment ref="AC25" dT="2026-06-23T02:34:15.40" personId="{E4E539F7-EF01-4E1C-A881-E9D2CB5C903B}" id="{76E32A95-DE77-437A-88DC-28A5E5D4087E}" parentId="{608F1BEB-2EAE-4E5E-8748-AE7646B10B4F}">
    <text>Garnish rate is divided on the total quantity of Chicken and Sauce to get its contribution for each gm of total</text>
  </threadedComment>
</ThreadedComments>
</file>

<file path=xl/threadedComments/threadedComment12.xml><?xml version="1.0" encoding="utf-8"?>
<ThreadedComments xmlns="http://schemas.microsoft.com/office/spreadsheetml/2018/threadedcomments" xmlns:x="http://schemas.openxmlformats.org/spreadsheetml/2006/main">
  <threadedComment ref="AC25" dT="2026-06-23T02:19:27.89" personId="{E4E539F7-EF01-4E1C-A881-E9D2CB5C903B}" id="{9BD9F61B-E342-45B6-BB85-2CCCD1168FA6}">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3E8B7655-37AF-49BD-8E08-371B973ACB61}" parentId="{9BD9F61B-E342-45B6-BB85-2CCCD1168FA6}">
    <text xml:space="preserve">If true the Cost of Protein + Mix + Topping will be equal to the Blue Table </text>
  </threadedComment>
  <threadedComment ref="AC25" dT="2026-06-23T02:29:24.85" personId="{E4E539F7-EF01-4E1C-A881-E9D2CB5C903B}" id="{7AC95FCA-D351-44BD-BEBE-911EA2C7DCB6}" parentId="{9BD9F61B-E342-45B6-BB85-2CCCD1168FA6}">
    <text>Marination Cost per gram is only linked to the uncoocked chicken quantity not total with Sauce</text>
  </threadedComment>
  <threadedComment ref="AC25" dT="2026-06-23T02:34:15.40" personId="{E4E539F7-EF01-4E1C-A881-E9D2CB5C903B}" id="{C1CF1D8E-295C-4661-917B-88FD3AD2A8F5}" parentId="{9BD9F61B-E342-45B6-BB85-2CCCD1168FA6}">
    <text>Garnish rate is divided on the total quantity of Chicken and Sauce to get its contribution for each gm of total</text>
  </threadedComment>
</ThreadedComments>
</file>

<file path=xl/threadedComments/threadedComment13.xml><?xml version="1.0" encoding="utf-8"?>
<ThreadedComments xmlns="http://schemas.microsoft.com/office/spreadsheetml/2018/threadedcomments" xmlns:x="http://schemas.openxmlformats.org/spreadsheetml/2006/main">
  <threadedComment ref="AC25" dT="2026-06-23T02:19:27.89" personId="{E4E539F7-EF01-4E1C-A881-E9D2CB5C903B}" id="{986678C2-DF96-4A70-B0ED-C8D57D89417A}">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818FC24D-70DF-4863-8C3B-360747E27414}" parentId="{986678C2-DF96-4A70-B0ED-C8D57D89417A}">
    <text xml:space="preserve">If true the Cost of Protein + Mix + Topping will be equal to the Blue Table </text>
  </threadedComment>
  <threadedComment ref="AC25" dT="2026-06-23T02:29:24.85" personId="{E4E539F7-EF01-4E1C-A881-E9D2CB5C903B}" id="{96DA697A-DC46-4622-BAAF-28D7B7D4F5B5}" parentId="{986678C2-DF96-4A70-B0ED-C8D57D89417A}">
    <text>Marination Cost per gram is only linked to the uncoocked chicken quantity not total with Sauce</text>
  </threadedComment>
  <threadedComment ref="AC25" dT="2026-06-23T02:34:15.40" personId="{E4E539F7-EF01-4E1C-A881-E9D2CB5C903B}" id="{C62CA56C-A3C2-4EC8-8F2F-7E8F5915D415}" parentId="{986678C2-DF96-4A70-B0ED-C8D57D89417A}">
    <text>Garnish rate is divided on the total quantity of Chicken and Sauce to get its contribution for each gm of total</text>
  </threadedComment>
</ThreadedComments>
</file>

<file path=xl/threadedComments/threadedComment14.xml><?xml version="1.0" encoding="utf-8"?>
<ThreadedComments xmlns="http://schemas.microsoft.com/office/spreadsheetml/2018/threadedcomments" xmlns:x="http://schemas.openxmlformats.org/spreadsheetml/2006/main">
  <threadedComment ref="AC25" dT="2026-06-23T02:19:27.89" personId="{E4E539F7-EF01-4E1C-A881-E9D2CB5C903B}" id="{5FBD50BE-A056-49D3-90B4-CFD6B8C9DAA9}">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9F423AE4-A5A9-45F0-A427-B12ECD60DD3E}" parentId="{5FBD50BE-A056-49D3-90B4-CFD6B8C9DAA9}">
    <text xml:space="preserve">If true the Cost of Protein + Mix + Topping will be equal to the Blue Table </text>
  </threadedComment>
  <threadedComment ref="AC25" dT="2026-06-23T02:29:24.85" personId="{E4E539F7-EF01-4E1C-A881-E9D2CB5C903B}" id="{831BCC66-8B8C-4238-8BB1-476DA205D781}" parentId="{5FBD50BE-A056-49D3-90B4-CFD6B8C9DAA9}">
    <text>Marination Cost per gram is only linked to the uncoocked chicken quantity not total with Sauce</text>
  </threadedComment>
  <threadedComment ref="AC25" dT="2026-06-23T02:34:15.40" personId="{E4E539F7-EF01-4E1C-A881-E9D2CB5C903B}" id="{BF9EC1E3-5935-411E-9B9A-6647B127BAB8}" parentId="{5FBD50BE-A056-49D3-90B4-CFD6B8C9DAA9}">
    <text>Garnish rate is divided on the total quantity of Chicken and Sauce to get its contribution for each gm of total</text>
  </threadedComment>
</ThreadedComments>
</file>

<file path=xl/threadedComments/threadedComment15.xml><?xml version="1.0" encoding="utf-8"?>
<ThreadedComments xmlns="http://schemas.microsoft.com/office/spreadsheetml/2018/threadedcomments" xmlns:x="http://schemas.openxmlformats.org/spreadsheetml/2006/main">
  <threadedComment ref="AC25" dT="2026-06-23T02:19:27.89" personId="{E4E539F7-EF01-4E1C-A881-E9D2CB5C903B}" id="{C99A64D0-C276-47B6-B243-058ABFFF7156}">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D91911A2-E546-46BC-87DE-9B9199300052}" parentId="{C99A64D0-C276-47B6-B243-058ABFFF7156}">
    <text xml:space="preserve">If true the Cost of Protein + Mix + Topping will be equal to the Blue Table </text>
  </threadedComment>
  <threadedComment ref="AC25" dT="2026-06-23T02:29:24.85" personId="{E4E539F7-EF01-4E1C-A881-E9D2CB5C903B}" id="{A4A85E0D-9C23-4077-9EC9-57756D5F3696}" parentId="{C99A64D0-C276-47B6-B243-058ABFFF7156}">
    <text>Marination Cost per gram is only linked to the uncoocked chicken quantity not total with Sauce</text>
  </threadedComment>
  <threadedComment ref="AC25" dT="2026-06-23T02:34:15.40" personId="{E4E539F7-EF01-4E1C-A881-E9D2CB5C903B}" id="{A323F8D9-19FA-4C15-80CB-523BD806E839}" parentId="{C99A64D0-C276-47B6-B243-058ABFFF7156}">
    <text>Garnish rate is divided on the total quantity of Chicken and Sauce to get its contribution for each gm of total</text>
  </threadedComment>
</ThreadedComments>
</file>

<file path=xl/threadedComments/threadedComment16.xml><?xml version="1.0" encoding="utf-8"?>
<ThreadedComments xmlns="http://schemas.microsoft.com/office/spreadsheetml/2018/threadedcomments" xmlns:x="http://schemas.openxmlformats.org/spreadsheetml/2006/main">
  <threadedComment ref="AC25" dT="2026-06-23T02:19:27.89" personId="{E4E539F7-EF01-4E1C-A881-E9D2CB5C903B}" id="{F7330BC2-B6D5-4EE6-B0F1-5EEF6AA573F3}">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D8021AD1-C77E-48BA-80DA-84818016EC97}" parentId="{F7330BC2-B6D5-4EE6-B0F1-5EEF6AA573F3}">
    <text xml:space="preserve">If true the Cost of Protein + Mix + Topping will be equal to the Blue Table </text>
  </threadedComment>
  <threadedComment ref="AC25" dT="2026-06-23T02:29:24.85" personId="{E4E539F7-EF01-4E1C-A881-E9D2CB5C903B}" id="{2BF4EABA-BC74-4101-8589-59CB6E9CDAC5}" parentId="{F7330BC2-B6D5-4EE6-B0F1-5EEF6AA573F3}">
    <text>Marination Cost per gram is only linked to the uncoocked chicken quantity not total with Sauce</text>
  </threadedComment>
  <threadedComment ref="AC25" dT="2026-06-23T02:34:15.40" personId="{E4E539F7-EF01-4E1C-A881-E9D2CB5C903B}" id="{BFA8A6FA-1681-42B3-9ACF-786FB57E503F}" parentId="{F7330BC2-B6D5-4EE6-B0F1-5EEF6AA573F3}">
    <text>Garnish rate is divided on the total quantity of Chicken and Sauce to get its contribution for each gm of total</text>
  </threadedComment>
</ThreadedComments>
</file>

<file path=xl/threadedComments/threadedComment17.xml><?xml version="1.0" encoding="utf-8"?>
<ThreadedComments xmlns="http://schemas.microsoft.com/office/spreadsheetml/2018/threadedcomments" xmlns:x="http://schemas.openxmlformats.org/spreadsheetml/2006/main">
  <threadedComment ref="AC25" dT="2026-06-23T02:19:27.89" personId="{E4E539F7-EF01-4E1C-A881-E9D2CB5C903B}" id="{859BAB83-522B-4D04-86F2-48A8B0CF67C0}">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8F571FEA-39D6-4083-B6A5-F42181DA8E9B}" parentId="{859BAB83-522B-4D04-86F2-48A8B0CF67C0}">
    <text xml:space="preserve">If true the Cost of Protein + Mix + Topping will be equal to the Blue Table </text>
  </threadedComment>
  <threadedComment ref="AC25" dT="2026-06-23T02:29:24.85" personId="{E4E539F7-EF01-4E1C-A881-E9D2CB5C903B}" id="{3C192A9C-B6FB-44E7-B984-60A764C2DC61}" parentId="{859BAB83-522B-4D04-86F2-48A8B0CF67C0}">
    <text>Marination Cost per gram is only linked to the uncoocked chicken quantity not total with Sauce</text>
  </threadedComment>
  <threadedComment ref="AC25" dT="2026-06-23T02:34:15.40" personId="{E4E539F7-EF01-4E1C-A881-E9D2CB5C903B}" id="{91D36899-0980-4863-A627-4990CFE9FD69}" parentId="{859BAB83-522B-4D04-86F2-48A8B0CF67C0}">
    <text>Garnish rate is divided on the total quantity of Chicken and Sauce to get its contribution for each gm of total</text>
  </threadedComment>
</ThreadedComments>
</file>

<file path=xl/threadedComments/threadedComment18.xml><?xml version="1.0" encoding="utf-8"?>
<ThreadedComments xmlns="http://schemas.microsoft.com/office/spreadsheetml/2018/threadedcomments" xmlns:x="http://schemas.openxmlformats.org/spreadsheetml/2006/main">
  <threadedComment ref="AC25" dT="2026-06-23T02:19:27.89" personId="{E4E539F7-EF01-4E1C-A881-E9D2CB5C903B}" id="{B8446BE2-DBC8-49D1-887F-EF8DC7239748}">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803F9FF8-DEF0-4384-B54C-BAABE2F353CC}" parentId="{B8446BE2-DBC8-49D1-887F-EF8DC7239748}">
    <text xml:space="preserve">If true the Cost of Protein + Mix + Topping will be equal to the Blue Table </text>
  </threadedComment>
  <threadedComment ref="AC25" dT="2026-06-23T02:29:24.85" personId="{E4E539F7-EF01-4E1C-A881-E9D2CB5C903B}" id="{B5DBDB35-83F5-440D-8CD1-721A3971CEC4}" parentId="{B8446BE2-DBC8-49D1-887F-EF8DC7239748}">
    <text>Marination Cost per gram is only linked to the uncoocked chicken quantity not total with Sauce</text>
  </threadedComment>
  <threadedComment ref="AC25" dT="2026-06-23T02:34:15.40" personId="{E4E539F7-EF01-4E1C-A881-E9D2CB5C903B}" id="{ECA963DD-02A6-410A-BD41-7D5032A0AB33}" parentId="{B8446BE2-DBC8-49D1-887F-EF8DC7239748}">
    <text>Garnish rate is divided on the total quantity of Chicken and Sauce to get its contribution for each gm of total</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8.bin"/><Relationship Id="rId4" Type="http://schemas.microsoft.com/office/2017/10/relationships/threadedComment" Target="../threadedComments/threadedComment3.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29.bin"/><Relationship Id="rId4" Type="http://schemas.microsoft.com/office/2017/10/relationships/threadedComment" Target="../threadedComments/threadedComment4.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32.bin"/><Relationship Id="rId4" Type="http://schemas.microsoft.com/office/2017/10/relationships/threadedComment" Target="../threadedComments/threadedComment5.xml"/></Relationships>
</file>

<file path=xl/worksheets/_rels/sheet35.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35.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3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39.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40.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4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7.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45.bin"/></Relationships>
</file>

<file path=xl/worksheets/_rels/sheet48.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46.bin"/></Relationships>
</file>

<file path=xl/worksheets/_rels/sheet49.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printerSettings" Target="../printerSettings/printerSettings47.bin"/><Relationship Id="rId4" Type="http://schemas.microsoft.com/office/2017/10/relationships/threadedComment" Target="../threadedComments/threadedComment6.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printerSettings" Target="../printerSettings/printerSettings48.bin"/></Relationships>
</file>

<file path=xl/worksheets/_rels/sheet51.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printerSettings" Target="../printerSettings/printerSettings49.bin"/></Relationships>
</file>

<file path=xl/worksheets/_rels/sheet52.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5.vml"/><Relationship Id="rId1" Type="http://schemas.openxmlformats.org/officeDocument/2006/relationships/printerSettings" Target="../printerSettings/printerSettings50.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36.xml"/><Relationship Id="rId2" Type="http://schemas.openxmlformats.org/officeDocument/2006/relationships/vmlDrawing" Target="../drawings/vmlDrawing36.vml"/><Relationship Id="rId1" Type="http://schemas.openxmlformats.org/officeDocument/2006/relationships/printerSettings" Target="../printerSettings/printerSettings51.bin"/><Relationship Id="rId4" Type="http://schemas.microsoft.com/office/2017/10/relationships/threadedComment" Target="../threadedComments/threadedComment7.xml"/></Relationships>
</file>

<file path=xl/worksheets/_rels/sheet54.xml.rels><?xml version="1.0" encoding="UTF-8" standalone="yes"?>
<Relationships xmlns="http://schemas.openxmlformats.org/package/2006/relationships"><Relationship Id="rId3" Type="http://schemas.openxmlformats.org/officeDocument/2006/relationships/comments" Target="../comments37.xml"/><Relationship Id="rId2" Type="http://schemas.openxmlformats.org/officeDocument/2006/relationships/vmlDrawing" Target="../drawings/vmlDrawing37.vml"/><Relationship Id="rId1" Type="http://schemas.openxmlformats.org/officeDocument/2006/relationships/printerSettings" Target="../printerSettings/printerSettings52.bin"/></Relationships>
</file>

<file path=xl/worksheets/_rels/sheet55.xml.rels><?xml version="1.0" encoding="UTF-8" standalone="yes"?>
<Relationships xmlns="http://schemas.openxmlformats.org/package/2006/relationships"><Relationship Id="rId3" Type="http://schemas.openxmlformats.org/officeDocument/2006/relationships/comments" Target="../comments38.xml"/><Relationship Id="rId2" Type="http://schemas.openxmlformats.org/officeDocument/2006/relationships/vmlDrawing" Target="../drawings/vmlDrawing38.vml"/><Relationship Id="rId1" Type="http://schemas.openxmlformats.org/officeDocument/2006/relationships/printerSettings" Target="../printerSettings/printerSettings53.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7.xml.rels><?xml version="1.0" encoding="UTF-8" standalone="yes"?>
<Relationships xmlns="http://schemas.openxmlformats.org/package/2006/relationships"><Relationship Id="rId3" Type="http://schemas.openxmlformats.org/officeDocument/2006/relationships/comments" Target="../comments39.xml"/><Relationship Id="rId2" Type="http://schemas.openxmlformats.org/officeDocument/2006/relationships/vmlDrawing" Target="../drawings/vmlDrawing39.vml"/><Relationship Id="rId1" Type="http://schemas.openxmlformats.org/officeDocument/2006/relationships/printerSettings" Target="../printerSettings/printerSettings55.bin"/><Relationship Id="rId4" Type="http://schemas.microsoft.com/office/2017/10/relationships/threadedComment" Target="../threadedComments/threadedComment8.xml"/></Relationships>
</file>

<file path=xl/worksheets/_rels/sheet58.xml.rels><?xml version="1.0" encoding="UTF-8" standalone="yes"?>
<Relationships xmlns="http://schemas.openxmlformats.org/package/2006/relationships"><Relationship Id="rId3" Type="http://schemas.openxmlformats.org/officeDocument/2006/relationships/comments" Target="../comments40.xml"/><Relationship Id="rId2" Type="http://schemas.openxmlformats.org/officeDocument/2006/relationships/vmlDrawing" Target="../drawings/vmlDrawing40.vml"/><Relationship Id="rId1" Type="http://schemas.openxmlformats.org/officeDocument/2006/relationships/printerSettings" Target="../printerSettings/printerSettings56.bin"/></Relationships>
</file>

<file path=xl/worksheets/_rels/sheet59.xml.rels><?xml version="1.0" encoding="UTF-8" standalone="yes"?>
<Relationships xmlns="http://schemas.openxmlformats.org/package/2006/relationships"><Relationship Id="rId3" Type="http://schemas.openxmlformats.org/officeDocument/2006/relationships/comments" Target="../comments41.xml"/><Relationship Id="rId2" Type="http://schemas.openxmlformats.org/officeDocument/2006/relationships/vmlDrawing" Target="../drawings/vmlDrawing41.vml"/><Relationship Id="rId1" Type="http://schemas.openxmlformats.org/officeDocument/2006/relationships/printerSettings" Target="../printerSettings/printerSettings57.bin"/></Relationships>
</file>

<file path=xl/worksheets/_rels/sheet60.xml.rels><?xml version="1.0" encoding="UTF-8" standalone="yes"?>
<Relationships xmlns="http://schemas.openxmlformats.org/package/2006/relationships"><Relationship Id="rId3" Type="http://schemas.openxmlformats.org/officeDocument/2006/relationships/comments" Target="../comments42.xml"/><Relationship Id="rId2" Type="http://schemas.openxmlformats.org/officeDocument/2006/relationships/vmlDrawing" Target="../drawings/vmlDrawing42.vml"/><Relationship Id="rId1" Type="http://schemas.openxmlformats.org/officeDocument/2006/relationships/printerSettings" Target="../printerSettings/printerSettings58.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3.xml.rels><?xml version="1.0" encoding="UTF-8" standalone="yes"?>
<Relationships xmlns="http://schemas.openxmlformats.org/package/2006/relationships"><Relationship Id="rId3" Type="http://schemas.openxmlformats.org/officeDocument/2006/relationships/comments" Target="../comments43.xml"/><Relationship Id="rId2" Type="http://schemas.openxmlformats.org/officeDocument/2006/relationships/vmlDrawing" Target="../drawings/vmlDrawing43.vml"/><Relationship Id="rId1" Type="http://schemas.openxmlformats.org/officeDocument/2006/relationships/printerSettings" Target="../printerSettings/printerSettings61.bin"/><Relationship Id="rId4" Type="http://schemas.microsoft.com/office/2017/10/relationships/threadedComment" Target="../threadedComments/threadedComment9.xml"/></Relationships>
</file>

<file path=xl/worksheets/_rels/sheet64.xml.rels><?xml version="1.0" encoding="UTF-8" standalone="yes"?>
<Relationships xmlns="http://schemas.openxmlformats.org/package/2006/relationships"><Relationship Id="rId3" Type="http://schemas.openxmlformats.org/officeDocument/2006/relationships/comments" Target="../comments44.xml"/><Relationship Id="rId2" Type="http://schemas.openxmlformats.org/officeDocument/2006/relationships/vmlDrawing" Target="../drawings/vmlDrawing44.vml"/><Relationship Id="rId1" Type="http://schemas.openxmlformats.org/officeDocument/2006/relationships/printerSettings" Target="../printerSettings/printerSettings62.bin"/><Relationship Id="rId4" Type="http://schemas.microsoft.com/office/2017/10/relationships/threadedComment" Target="../threadedComments/threadedComment10.xml"/></Relationships>
</file>

<file path=xl/worksheets/_rels/sheet65.xml.rels><?xml version="1.0" encoding="UTF-8" standalone="yes"?>
<Relationships xmlns="http://schemas.openxmlformats.org/package/2006/relationships"><Relationship Id="rId3" Type="http://schemas.openxmlformats.org/officeDocument/2006/relationships/comments" Target="../comments45.xml"/><Relationship Id="rId2" Type="http://schemas.openxmlformats.org/officeDocument/2006/relationships/vmlDrawing" Target="../drawings/vmlDrawing45.vml"/><Relationship Id="rId1" Type="http://schemas.openxmlformats.org/officeDocument/2006/relationships/printerSettings" Target="../printerSettings/printerSettings63.bin"/><Relationship Id="rId4" Type="http://schemas.microsoft.com/office/2017/10/relationships/threadedComment" Target="../threadedComments/threadedComment11.xml"/></Relationships>
</file>

<file path=xl/worksheets/_rels/sheet66.xml.rels><?xml version="1.0" encoding="UTF-8" standalone="yes"?>
<Relationships xmlns="http://schemas.openxmlformats.org/package/2006/relationships"><Relationship Id="rId3" Type="http://schemas.openxmlformats.org/officeDocument/2006/relationships/comments" Target="../comments46.xml"/><Relationship Id="rId2" Type="http://schemas.openxmlformats.org/officeDocument/2006/relationships/vmlDrawing" Target="../drawings/vmlDrawing46.vml"/><Relationship Id="rId1" Type="http://schemas.openxmlformats.org/officeDocument/2006/relationships/printerSettings" Target="../printerSettings/printerSettings64.bin"/></Relationships>
</file>

<file path=xl/worksheets/_rels/sheet67.xml.rels><?xml version="1.0" encoding="UTF-8" standalone="yes"?>
<Relationships xmlns="http://schemas.openxmlformats.org/package/2006/relationships"><Relationship Id="rId3" Type="http://schemas.openxmlformats.org/officeDocument/2006/relationships/comments" Target="../comments47.xml"/><Relationship Id="rId2" Type="http://schemas.openxmlformats.org/officeDocument/2006/relationships/vmlDrawing" Target="../drawings/vmlDrawing47.vml"/><Relationship Id="rId1" Type="http://schemas.openxmlformats.org/officeDocument/2006/relationships/printerSettings" Target="../printerSettings/printerSettings65.bin"/></Relationships>
</file>

<file path=xl/worksheets/_rels/sheet68.xml.rels><?xml version="1.0" encoding="UTF-8" standalone="yes"?>
<Relationships xmlns="http://schemas.openxmlformats.org/package/2006/relationships"><Relationship Id="rId3" Type="http://schemas.openxmlformats.org/officeDocument/2006/relationships/comments" Target="../comments48.xml"/><Relationship Id="rId2" Type="http://schemas.openxmlformats.org/officeDocument/2006/relationships/vmlDrawing" Target="../drawings/vmlDrawing48.vml"/><Relationship Id="rId1" Type="http://schemas.openxmlformats.org/officeDocument/2006/relationships/printerSettings" Target="../printerSettings/printerSettings66.bin"/><Relationship Id="rId4" Type="http://schemas.microsoft.com/office/2017/10/relationships/threadedComment" Target="../threadedComments/threadedComment12.xml"/></Relationships>
</file>

<file path=xl/worksheets/_rels/sheet69.xml.rels><?xml version="1.0" encoding="UTF-8" standalone="yes"?>
<Relationships xmlns="http://schemas.openxmlformats.org/package/2006/relationships"><Relationship Id="rId3" Type="http://schemas.openxmlformats.org/officeDocument/2006/relationships/comments" Target="../comments49.xml"/><Relationship Id="rId2" Type="http://schemas.openxmlformats.org/officeDocument/2006/relationships/vmlDrawing" Target="../drawings/vmlDrawing49.vml"/><Relationship Id="rId1" Type="http://schemas.openxmlformats.org/officeDocument/2006/relationships/printerSettings" Target="../printerSettings/printerSettings67.bin"/></Relationships>
</file>

<file path=xl/worksheets/_rels/sheet70.xml.rels><?xml version="1.0" encoding="UTF-8" standalone="yes"?>
<Relationships xmlns="http://schemas.openxmlformats.org/package/2006/relationships"><Relationship Id="rId3" Type="http://schemas.openxmlformats.org/officeDocument/2006/relationships/comments" Target="../comments50.xml"/><Relationship Id="rId2" Type="http://schemas.openxmlformats.org/officeDocument/2006/relationships/vmlDrawing" Target="../drawings/vmlDrawing50.vml"/><Relationship Id="rId1" Type="http://schemas.openxmlformats.org/officeDocument/2006/relationships/printerSettings" Target="../printerSettings/printerSettings68.bin"/></Relationships>
</file>

<file path=xl/worksheets/_rels/sheet71.xml.rels><?xml version="1.0" encoding="UTF-8" standalone="yes"?>
<Relationships xmlns="http://schemas.openxmlformats.org/package/2006/relationships"><Relationship Id="rId3" Type="http://schemas.openxmlformats.org/officeDocument/2006/relationships/comments" Target="../comments51.xml"/><Relationship Id="rId2" Type="http://schemas.openxmlformats.org/officeDocument/2006/relationships/vmlDrawing" Target="../drawings/vmlDrawing51.vml"/><Relationship Id="rId1" Type="http://schemas.openxmlformats.org/officeDocument/2006/relationships/printerSettings" Target="../printerSettings/printerSettings69.bin"/></Relationships>
</file>

<file path=xl/worksheets/_rels/sheet72.xml.rels><?xml version="1.0" encoding="UTF-8" standalone="yes"?>
<Relationships xmlns="http://schemas.openxmlformats.org/package/2006/relationships"><Relationship Id="rId3" Type="http://schemas.openxmlformats.org/officeDocument/2006/relationships/comments" Target="../comments52.xml"/><Relationship Id="rId2" Type="http://schemas.openxmlformats.org/officeDocument/2006/relationships/vmlDrawing" Target="../drawings/vmlDrawing52.vml"/><Relationship Id="rId1" Type="http://schemas.openxmlformats.org/officeDocument/2006/relationships/printerSettings" Target="../printerSettings/printerSettings70.bin"/></Relationships>
</file>

<file path=xl/worksheets/_rels/sheet73.xml.rels><?xml version="1.0" encoding="UTF-8" standalone="yes"?>
<Relationships xmlns="http://schemas.openxmlformats.org/package/2006/relationships"><Relationship Id="rId3" Type="http://schemas.openxmlformats.org/officeDocument/2006/relationships/comments" Target="../comments53.xml"/><Relationship Id="rId2" Type="http://schemas.openxmlformats.org/officeDocument/2006/relationships/vmlDrawing" Target="../drawings/vmlDrawing53.vml"/><Relationship Id="rId1" Type="http://schemas.openxmlformats.org/officeDocument/2006/relationships/printerSettings" Target="../printerSettings/printerSettings71.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8.xml.rels><?xml version="1.0" encoding="UTF-8" standalone="yes"?>
<Relationships xmlns="http://schemas.openxmlformats.org/package/2006/relationships"><Relationship Id="rId3" Type="http://schemas.openxmlformats.org/officeDocument/2006/relationships/comments" Target="../comments54.xml"/><Relationship Id="rId2" Type="http://schemas.openxmlformats.org/officeDocument/2006/relationships/vmlDrawing" Target="../drawings/vmlDrawing54.vml"/><Relationship Id="rId1" Type="http://schemas.openxmlformats.org/officeDocument/2006/relationships/printerSettings" Target="../printerSettings/printerSettings76.bin"/><Relationship Id="rId4" Type="http://schemas.microsoft.com/office/2017/10/relationships/threadedComment" Target="../threadedComments/threadedComment13.xml"/></Relationships>
</file>

<file path=xl/worksheets/_rels/sheet79.xml.rels><?xml version="1.0" encoding="UTF-8" standalone="yes"?>
<Relationships xmlns="http://schemas.openxmlformats.org/package/2006/relationships"><Relationship Id="rId3" Type="http://schemas.openxmlformats.org/officeDocument/2006/relationships/comments" Target="../comments55.xml"/><Relationship Id="rId2" Type="http://schemas.openxmlformats.org/officeDocument/2006/relationships/vmlDrawing" Target="../drawings/vmlDrawing55.vml"/><Relationship Id="rId1" Type="http://schemas.openxmlformats.org/officeDocument/2006/relationships/printerSettings" Target="../printerSettings/printerSettings77.bin"/><Relationship Id="rId4" Type="http://schemas.microsoft.com/office/2017/10/relationships/threadedComment" Target="../threadedComments/threadedComment14.xml"/></Relationships>
</file>

<file path=xl/worksheets/_rels/sheet80.xml.rels><?xml version="1.0" encoding="UTF-8" standalone="yes"?>
<Relationships xmlns="http://schemas.openxmlformats.org/package/2006/relationships"><Relationship Id="rId3" Type="http://schemas.openxmlformats.org/officeDocument/2006/relationships/comments" Target="../comments56.xml"/><Relationship Id="rId2" Type="http://schemas.openxmlformats.org/officeDocument/2006/relationships/vmlDrawing" Target="../drawings/vmlDrawing56.vml"/><Relationship Id="rId1" Type="http://schemas.openxmlformats.org/officeDocument/2006/relationships/printerSettings" Target="../printerSettings/printerSettings78.bin"/><Relationship Id="rId4" Type="http://schemas.microsoft.com/office/2017/10/relationships/threadedComment" Target="../threadedComments/threadedComment15.xml"/></Relationships>
</file>

<file path=xl/worksheets/_rels/sheet81.xml.rels><?xml version="1.0" encoding="UTF-8" standalone="yes"?>
<Relationships xmlns="http://schemas.openxmlformats.org/package/2006/relationships"><Relationship Id="rId3" Type="http://schemas.openxmlformats.org/officeDocument/2006/relationships/comments" Target="../comments57.xml"/><Relationship Id="rId2" Type="http://schemas.openxmlformats.org/officeDocument/2006/relationships/vmlDrawing" Target="../drawings/vmlDrawing57.vml"/><Relationship Id="rId1" Type="http://schemas.openxmlformats.org/officeDocument/2006/relationships/printerSettings" Target="../printerSettings/printerSettings79.bin"/><Relationship Id="rId4" Type="http://schemas.microsoft.com/office/2017/10/relationships/threadedComment" Target="../threadedComments/threadedComment16.xml"/></Relationships>
</file>

<file path=xl/worksheets/_rels/sheet82.xml.rels><?xml version="1.0" encoding="UTF-8" standalone="yes"?>
<Relationships xmlns="http://schemas.openxmlformats.org/package/2006/relationships"><Relationship Id="rId3" Type="http://schemas.openxmlformats.org/officeDocument/2006/relationships/comments" Target="../comments58.xml"/><Relationship Id="rId2" Type="http://schemas.openxmlformats.org/officeDocument/2006/relationships/vmlDrawing" Target="../drawings/vmlDrawing58.vml"/><Relationship Id="rId1" Type="http://schemas.openxmlformats.org/officeDocument/2006/relationships/printerSettings" Target="../printerSettings/printerSettings80.bin"/><Relationship Id="rId4" Type="http://schemas.microsoft.com/office/2017/10/relationships/threadedComment" Target="../threadedComments/threadedComment17.xml"/></Relationships>
</file>

<file path=xl/worksheets/_rels/sheet83.xml.rels><?xml version="1.0" encoding="UTF-8" standalone="yes"?>
<Relationships xmlns="http://schemas.openxmlformats.org/package/2006/relationships"><Relationship Id="rId3" Type="http://schemas.openxmlformats.org/officeDocument/2006/relationships/comments" Target="../comments59.xml"/><Relationship Id="rId2" Type="http://schemas.openxmlformats.org/officeDocument/2006/relationships/vmlDrawing" Target="../drawings/vmlDrawing59.vml"/><Relationship Id="rId1" Type="http://schemas.openxmlformats.org/officeDocument/2006/relationships/printerSettings" Target="../printerSettings/printerSettings81.bin"/><Relationship Id="rId4" Type="http://schemas.microsoft.com/office/2017/10/relationships/threadedComment" Target="../threadedComments/threadedComment18.xml"/></Relationships>
</file>

<file path=xl/worksheets/_rels/sheet84.xml.rels><?xml version="1.0" encoding="UTF-8" standalone="yes"?>
<Relationships xmlns="http://schemas.openxmlformats.org/package/2006/relationships"><Relationship Id="rId3" Type="http://schemas.openxmlformats.org/officeDocument/2006/relationships/comments" Target="../comments60.xml"/><Relationship Id="rId2" Type="http://schemas.openxmlformats.org/officeDocument/2006/relationships/vmlDrawing" Target="../drawings/vmlDrawing60.vml"/><Relationship Id="rId1" Type="http://schemas.openxmlformats.org/officeDocument/2006/relationships/printerSettings" Target="../printerSettings/printerSettings82.bin"/></Relationships>
</file>

<file path=xl/worksheets/_rels/sheet85.xml.rels><?xml version="1.0" encoding="UTF-8" standalone="yes"?>
<Relationships xmlns="http://schemas.openxmlformats.org/package/2006/relationships"><Relationship Id="rId3" Type="http://schemas.openxmlformats.org/officeDocument/2006/relationships/comments" Target="../comments61.xml"/><Relationship Id="rId2" Type="http://schemas.openxmlformats.org/officeDocument/2006/relationships/vmlDrawing" Target="../drawings/vmlDrawing61.vml"/><Relationship Id="rId1" Type="http://schemas.openxmlformats.org/officeDocument/2006/relationships/printerSettings" Target="../printerSettings/printerSettings83.bin"/></Relationships>
</file>

<file path=xl/worksheets/_rels/sheet86.xml.rels><?xml version="1.0" encoding="UTF-8" standalone="yes"?>
<Relationships xmlns="http://schemas.openxmlformats.org/package/2006/relationships"><Relationship Id="rId3" Type="http://schemas.openxmlformats.org/officeDocument/2006/relationships/comments" Target="../comments62.xml"/><Relationship Id="rId2" Type="http://schemas.openxmlformats.org/officeDocument/2006/relationships/vmlDrawing" Target="../drawings/vmlDrawing62.vml"/><Relationship Id="rId1" Type="http://schemas.openxmlformats.org/officeDocument/2006/relationships/printerSettings" Target="../printerSettings/printerSettings84.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7885F-54F9-48C0-8A0A-E251A3B7C0BB}">
  <sheetPr codeName="Sheet80"/>
  <dimension ref="A1:S155"/>
  <sheetViews>
    <sheetView topLeftCell="F1" zoomScale="70" zoomScaleNormal="70" workbookViewId="0">
      <selection activeCell="I82" sqref="I82"/>
    </sheetView>
  </sheetViews>
  <sheetFormatPr defaultRowHeight="14" x14ac:dyDescent="0.3"/>
  <cols>
    <col min="1" max="1" width="28.58203125" customWidth="1"/>
    <col min="2" max="2" width="35.58203125" customWidth="1"/>
    <col min="3" max="3" width="38.58203125" customWidth="1"/>
    <col min="4" max="4" width="16.58203125" style="639" customWidth="1"/>
    <col min="5" max="5" width="14.58203125" style="641" customWidth="1"/>
    <col min="6" max="6" width="4.9140625" customWidth="1"/>
    <col min="7" max="7" width="18.1640625" customWidth="1"/>
    <col min="8" max="8" width="22.08203125" customWidth="1"/>
    <col min="9" max="9" width="35.5" customWidth="1"/>
    <col min="11" max="11" width="16.33203125" customWidth="1"/>
    <col min="12" max="12" width="22.9140625" customWidth="1"/>
    <col min="13" max="13" width="34.75" customWidth="1"/>
    <col min="14" max="14" width="19.4140625" customWidth="1"/>
    <col min="15" max="15" width="11.33203125" customWidth="1"/>
    <col min="16" max="16" width="14.5" customWidth="1"/>
  </cols>
  <sheetData>
    <row r="1" spans="1:19" ht="16.5" x14ac:dyDescent="0.35">
      <c r="A1" s="1395" t="s">
        <v>528</v>
      </c>
      <c r="B1" s="1396"/>
      <c r="C1" s="1396"/>
      <c r="D1" s="1396"/>
      <c r="E1" s="1396"/>
      <c r="I1" s="1022" t="s">
        <v>783</v>
      </c>
      <c r="M1" s="1022" t="s">
        <v>783</v>
      </c>
    </row>
    <row r="2" spans="1:19" ht="20" customHeight="1" x14ac:dyDescent="0.3">
      <c r="A2" s="637" t="s">
        <v>239</v>
      </c>
      <c r="B2" s="637" t="s">
        <v>529</v>
      </c>
      <c r="C2" s="637" t="s">
        <v>530</v>
      </c>
      <c r="D2" s="638" t="s">
        <v>531</v>
      </c>
      <c r="E2" s="640" t="s">
        <v>532</v>
      </c>
      <c r="I2" s="1399" t="s">
        <v>229</v>
      </c>
      <c r="J2" s="1400"/>
      <c r="K2" s="835" t="s">
        <v>827</v>
      </c>
      <c r="M2" s="892" t="s">
        <v>826</v>
      </c>
      <c r="N2" s="892" t="s">
        <v>829</v>
      </c>
      <c r="O2" s="892" t="s">
        <v>828</v>
      </c>
      <c r="P2" s="892" t="s">
        <v>827</v>
      </c>
    </row>
    <row r="3" spans="1:19" ht="14.5" x14ac:dyDescent="0.35">
      <c r="A3" t="s">
        <v>16</v>
      </c>
      <c r="B3" t="s">
        <v>16</v>
      </c>
      <c r="C3" t="s">
        <v>229</v>
      </c>
      <c r="D3" s="639">
        <v>59282.920469361139</v>
      </c>
      <c r="E3" s="641">
        <v>59.282920469361137</v>
      </c>
      <c r="H3" t="s">
        <v>16</v>
      </c>
      <c r="I3" s="836" t="s">
        <v>16</v>
      </c>
      <c r="J3" s="837">
        <f>VLOOKUP(H3,A:E,4,FALSE)</f>
        <v>59282.920469361139</v>
      </c>
      <c r="K3" s="871"/>
      <c r="M3" s="1124" t="s">
        <v>229</v>
      </c>
      <c r="N3" s="761">
        <f>(SUM(J3:J7)/R3)/S3</f>
        <v>24.99421452318575</v>
      </c>
      <c r="O3" s="60" t="s">
        <v>26</v>
      </c>
      <c r="P3" s="294"/>
      <c r="R3" s="1125">
        <v>0.86</v>
      </c>
      <c r="S3" s="1114">
        <v>10000</v>
      </c>
    </row>
    <row r="4" spans="1:19" ht="14.5" x14ac:dyDescent="0.35">
      <c r="A4" t="s">
        <v>18</v>
      </c>
      <c r="B4" t="s">
        <v>533</v>
      </c>
      <c r="C4" t="s">
        <v>232</v>
      </c>
      <c r="D4" s="639">
        <v>65612.244897959186</v>
      </c>
      <c r="E4" s="641">
        <v>65.612244897959187</v>
      </c>
      <c r="H4" t="s">
        <v>27</v>
      </c>
      <c r="I4" s="836" t="s">
        <v>27</v>
      </c>
      <c r="J4" s="837">
        <f>VLOOKUP(H4,A:E,4,FALSE)</f>
        <v>41903.520208604947</v>
      </c>
      <c r="K4" s="871"/>
      <c r="M4" s="1124" t="s">
        <v>592</v>
      </c>
      <c r="N4" s="761">
        <f>(SUM(J10:J12)/R4)/S4</f>
        <v>15.147084474815566</v>
      </c>
      <c r="O4" s="60" t="s">
        <v>26</v>
      </c>
      <c r="P4" s="294"/>
      <c r="R4" s="1125">
        <v>0.55000000000000004</v>
      </c>
      <c r="S4" s="1114">
        <v>18000</v>
      </c>
    </row>
    <row r="5" spans="1:19" ht="14.5" x14ac:dyDescent="0.35">
      <c r="A5" t="s">
        <v>22</v>
      </c>
      <c r="B5" t="s">
        <v>22</v>
      </c>
      <c r="C5" t="s">
        <v>235</v>
      </c>
      <c r="D5" s="639">
        <v>84925.925925925927</v>
      </c>
      <c r="E5" s="641">
        <v>84.925925925925924</v>
      </c>
      <c r="H5" t="s">
        <v>29</v>
      </c>
      <c r="I5" s="836" t="s">
        <v>29</v>
      </c>
      <c r="J5" s="837">
        <f>VLOOKUP(H5,A:E,4,FALSE)</f>
        <v>45932.203389830509</v>
      </c>
      <c r="K5" s="871"/>
      <c r="M5" s="1124" t="s">
        <v>235</v>
      </c>
      <c r="N5" s="761">
        <f>(J15/R5)/S5</f>
        <v>22.952952952952952</v>
      </c>
      <c r="O5" s="60" t="s">
        <v>26</v>
      </c>
      <c r="P5" s="294"/>
      <c r="R5" s="1125">
        <v>0.37</v>
      </c>
      <c r="S5" s="1114">
        <v>10000</v>
      </c>
    </row>
    <row r="6" spans="1:19" ht="14.5" x14ac:dyDescent="0.35">
      <c r="A6" t="s">
        <v>20</v>
      </c>
      <c r="B6" t="s">
        <v>307</v>
      </c>
      <c r="C6" t="s">
        <v>232</v>
      </c>
      <c r="D6" s="639">
        <v>39939.668174962288</v>
      </c>
      <c r="E6" s="641">
        <v>39.939668174962286</v>
      </c>
      <c r="H6" t="s">
        <v>33</v>
      </c>
      <c r="I6" s="836" t="s">
        <v>33</v>
      </c>
      <c r="J6" s="837">
        <f>VLOOKUP(H6,A:E,4,FALSE)</f>
        <v>37115.38461538461</v>
      </c>
      <c r="K6" s="871"/>
    </row>
    <row r="7" spans="1:19" ht="14.5" x14ac:dyDescent="0.35">
      <c r="A7" t="s">
        <v>24</v>
      </c>
      <c r="B7" t="s">
        <v>316</v>
      </c>
      <c r="C7" t="s">
        <v>232</v>
      </c>
      <c r="D7" s="639">
        <v>44404.223227752627</v>
      </c>
      <c r="E7" s="641">
        <v>44.404223227752624</v>
      </c>
      <c r="H7" t="s">
        <v>31</v>
      </c>
      <c r="I7" s="836" t="s">
        <v>591</v>
      </c>
      <c r="J7" s="837">
        <f>VLOOKUP(H7,A:E,4,FALSE)</f>
        <v>30716.216216216217</v>
      </c>
      <c r="K7" s="871"/>
    </row>
    <row r="8" spans="1:19" ht="14.5" x14ac:dyDescent="0.35">
      <c r="A8" t="s">
        <v>27</v>
      </c>
      <c r="B8" t="s">
        <v>27</v>
      </c>
      <c r="C8" t="s">
        <v>229</v>
      </c>
      <c r="D8" s="639">
        <v>41903.520208604947</v>
      </c>
      <c r="E8" s="641">
        <v>41.903520208604945</v>
      </c>
      <c r="I8" s="854"/>
      <c r="J8" s="854"/>
      <c r="K8" s="854"/>
    </row>
    <row r="9" spans="1:19" x14ac:dyDescent="0.3">
      <c r="A9" t="s">
        <v>29</v>
      </c>
      <c r="B9" t="s">
        <v>29</v>
      </c>
      <c r="C9" t="s">
        <v>229</v>
      </c>
      <c r="D9" s="639">
        <v>45932.203389830509</v>
      </c>
      <c r="E9" s="641">
        <v>45.932203389830512</v>
      </c>
      <c r="I9" s="1399" t="s">
        <v>592</v>
      </c>
      <c r="J9" s="1400"/>
      <c r="K9" s="835" t="s">
        <v>827</v>
      </c>
    </row>
    <row r="10" spans="1:19" ht="14.5" x14ac:dyDescent="0.35">
      <c r="A10" t="s">
        <v>33</v>
      </c>
      <c r="B10" t="s">
        <v>346</v>
      </c>
      <c r="C10" t="s">
        <v>229</v>
      </c>
      <c r="D10" s="639">
        <v>37115.38461538461</v>
      </c>
      <c r="E10" s="641">
        <v>37.115384615384613</v>
      </c>
      <c r="H10" t="s">
        <v>18</v>
      </c>
      <c r="I10" s="836" t="s">
        <v>533</v>
      </c>
      <c r="J10" s="837">
        <f>VLOOKUP(H10,A:E,4,FALSE)</f>
        <v>65612.244897959186</v>
      </c>
      <c r="K10" s="871"/>
    </row>
    <row r="11" spans="1:19" ht="14.5" x14ac:dyDescent="0.35">
      <c r="A11" t="s">
        <v>31</v>
      </c>
      <c r="B11" t="s">
        <v>328</v>
      </c>
      <c r="C11" t="s">
        <v>229</v>
      </c>
      <c r="D11" s="639">
        <v>30716.216216216217</v>
      </c>
      <c r="E11" s="641">
        <v>30.716216216216218</v>
      </c>
      <c r="H11" t="s">
        <v>20</v>
      </c>
      <c r="I11" s="836" t="s">
        <v>307</v>
      </c>
      <c r="J11" s="837">
        <f>VLOOKUP(H11,A:E,4,FALSE)</f>
        <v>39939.668174962288</v>
      </c>
      <c r="K11" s="871"/>
    </row>
    <row r="12" spans="1:19" ht="14.5" x14ac:dyDescent="0.35">
      <c r="A12" t="s">
        <v>43</v>
      </c>
      <c r="B12" t="s">
        <v>43</v>
      </c>
      <c r="C12" t="s">
        <v>229</v>
      </c>
      <c r="D12" s="639">
        <v>67953.063885267256</v>
      </c>
      <c r="E12" s="641">
        <v>67.953063885267255</v>
      </c>
      <c r="H12" t="s">
        <v>24</v>
      </c>
      <c r="I12" s="836" t="s">
        <v>24</v>
      </c>
      <c r="J12" s="837">
        <f>VLOOKUP(H12,A:E,4,FALSE)</f>
        <v>44404.223227752627</v>
      </c>
      <c r="K12" s="871"/>
    </row>
    <row r="13" spans="1:19" ht="14.5" x14ac:dyDescent="0.35">
      <c r="A13" t="s">
        <v>50</v>
      </c>
      <c r="B13" t="s">
        <v>50</v>
      </c>
      <c r="C13" t="s">
        <v>236</v>
      </c>
      <c r="D13" s="639">
        <v>85852.187028657587</v>
      </c>
      <c r="E13" s="641">
        <v>85.852187028657582</v>
      </c>
      <c r="I13" s="854"/>
      <c r="J13" s="854"/>
      <c r="K13" s="854"/>
    </row>
    <row r="14" spans="1:19" x14ac:dyDescent="0.3">
      <c r="A14" t="s">
        <v>46</v>
      </c>
      <c r="B14" t="s">
        <v>46</v>
      </c>
      <c r="C14" t="s">
        <v>229</v>
      </c>
      <c r="D14" s="639">
        <v>40677.966101694896</v>
      </c>
      <c r="E14" s="641">
        <v>40.677966101694899</v>
      </c>
      <c r="I14" s="1399" t="s">
        <v>235</v>
      </c>
      <c r="J14" s="1400"/>
      <c r="K14" s="835" t="s">
        <v>827</v>
      </c>
    </row>
    <row r="15" spans="1:19" ht="14.5" x14ac:dyDescent="0.35">
      <c r="A15" t="s">
        <v>48</v>
      </c>
      <c r="B15" t="s">
        <v>48</v>
      </c>
      <c r="C15" t="s">
        <v>229</v>
      </c>
      <c r="D15" s="639">
        <v>64028.683181225526</v>
      </c>
      <c r="E15" s="641">
        <v>64.028683181225531</v>
      </c>
      <c r="H15" t="s">
        <v>22</v>
      </c>
      <c r="I15" s="836" t="s">
        <v>22</v>
      </c>
      <c r="J15" s="837">
        <f>VLOOKUP(H15,A:E,4,FALSE)</f>
        <v>84925.925925925927</v>
      </c>
      <c r="K15" s="871"/>
    </row>
    <row r="16" spans="1:19" x14ac:dyDescent="0.3">
      <c r="A16" t="s">
        <v>52</v>
      </c>
      <c r="B16" t="s">
        <v>52</v>
      </c>
      <c r="C16" t="s">
        <v>232</v>
      </c>
      <c r="D16" s="639">
        <v>28567.119155354441</v>
      </c>
      <c r="E16" s="641">
        <v>28.56711915535444</v>
      </c>
    </row>
    <row r="17" spans="1:19" x14ac:dyDescent="0.3">
      <c r="A17" t="s">
        <v>54</v>
      </c>
      <c r="B17" t="s">
        <v>54</v>
      </c>
      <c r="C17" t="s">
        <v>229</v>
      </c>
      <c r="D17" s="639">
        <v>39504.563233376786</v>
      </c>
      <c r="E17" s="641">
        <v>39.504563233376786</v>
      </c>
      <c r="I17" s="849"/>
      <c r="J17" s="849"/>
      <c r="K17" s="849"/>
    </row>
    <row r="18" spans="1:19" x14ac:dyDescent="0.3">
      <c r="A18" t="s">
        <v>55</v>
      </c>
      <c r="B18" t="s">
        <v>55</v>
      </c>
      <c r="C18" t="s">
        <v>525</v>
      </c>
      <c r="D18" s="639">
        <v>33000</v>
      </c>
      <c r="E18" s="641">
        <v>33</v>
      </c>
      <c r="I18" s="1022" t="s">
        <v>784</v>
      </c>
      <c r="M18" s="1022" t="s">
        <v>784</v>
      </c>
    </row>
    <row r="19" spans="1:19" ht="14.5" x14ac:dyDescent="0.35">
      <c r="A19" t="s">
        <v>58</v>
      </c>
      <c r="B19" t="s">
        <v>674</v>
      </c>
      <c r="C19" t="s">
        <v>232</v>
      </c>
      <c r="D19" s="639">
        <v>88245.283018867922</v>
      </c>
      <c r="E19" s="641">
        <v>88.245283018867923</v>
      </c>
      <c r="I19" s="1401" t="s">
        <v>229</v>
      </c>
      <c r="J19" s="1402"/>
      <c r="K19" s="835" t="s">
        <v>827</v>
      </c>
      <c r="M19" s="892" t="s">
        <v>826</v>
      </c>
      <c r="N19" s="892" t="s">
        <v>829</v>
      </c>
      <c r="O19" s="892" t="s">
        <v>828</v>
      </c>
      <c r="P19" s="892" t="s">
        <v>827</v>
      </c>
    </row>
    <row r="20" spans="1:19" ht="14.5" x14ac:dyDescent="0.35">
      <c r="A20" t="s">
        <v>60</v>
      </c>
      <c r="B20" t="s">
        <v>392</v>
      </c>
      <c r="C20" t="s">
        <v>229</v>
      </c>
      <c r="D20" s="639">
        <v>39880.3825</v>
      </c>
      <c r="E20" s="641">
        <v>39.880382500000003</v>
      </c>
      <c r="H20" t="s">
        <v>43</v>
      </c>
      <c r="I20" s="836" t="s">
        <v>43</v>
      </c>
      <c r="J20" s="837">
        <f>VLOOKUP(H20,A:E,4,FALSE)</f>
        <v>67953.063885267256</v>
      </c>
      <c r="K20" s="871"/>
      <c r="M20" s="1124" t="s">
        <v>229</v>
      </c>
      <c r="N20" s="761">
        <f>(SUM(J20:J23)/R20)/S20</f>
        <v>24.670264697856332</v>
      </c>
      <c r="O20" s="60" t="s">
        <v>26</v>
      </c>
      <c r="P20" s="294"/>
      <c r="R20" s="1125">
        <v>0.86</v>
      </c>
      <c r="S20" s="1114">
        <v>10000</v>
      </c>
    </row>
    <row r="21" spans="1:19" ht="14.5" x14ac:dyDescent="0.35">
      <c r="A21" t="s">
        <v>61</v>
      </c>
      <c r="B21" t="s">
        <v>393</v>
      </c>
      <c r="C21" t="s">
        <v>229</v>
      </c>
      <c r="D21" s="639">
        <v>31825.293350717071</v>
      </c>
      <c r="E21" s="641">
        <v>31.825293350717072</v>
      </c>
      <c r="H21" t="s">
        <v>46</v>
      </c>
      <c r="I21" s="836" t="s">
        <v>46</v>
      </c>
      <c r="J21" s="837">
        <f>VLOOKUP(H21,A:E,4,FALSE)</f>
        <v>40677.966101694896</v>
      </c>
      <c r="K21" s="871"/>
      <c r="M21" s="1124" t="s">
        <v>592</v>
      </c>
      <c r="N21" s="761">
        <f>(SUM(J26:J27)/R21)/S21</f>
        <v>11.799232542850744</v>
      </c>
      <c r="O21" s="60" t="s">
        <v>26</v>
      </c>
      <c r="P21" s="294"/>
      <c r="R21" s="1125">
        <v>0.55000000000000004</v>
      </c>
      <c r="S21" s="1114">
        <v>18000</v>
      </c>
    </row>
    <row r="22" spans="1:19" ht="14.5" x14ac:dyDescent="0.35">
      <c r="A22" t="s">
        <v>67</v>
      </c>
      <c r="B22" t="s">
        <v>67</v>
      </c>
      <c r="C22" t="s">
        <v>229</v>
      </c>
      <c r="D22" s="639">
        <v>47692.307692307673</v>
      </c>
      <c r="E22" s="641">
        <v>47.692307692307672</v>
      </c>
      <c r="H22" t="s">
        <v>48</v>
      </c>
      <c r="I22" s="836" t="s">
        <v>48</v>
      </c>
      <c r="J22" s="837">
        <f>VLOOKUP(H22,A:E,4,FALSE)</f>
        <v>64028.683181225526</v>
      </c>
      <c r="K22" s="871"/>
      <c r="M22" s="1124" t="s">
        <v>525</v>
      </c>
      <c r="N22" s="761">
        <f>(J30/R22)/S22</f>
        <v>34.020618556701031</v>
      </c>
      <c r="O22" s="60" t="s">
        <v>45</v>
      </c>
      <c r="P22" s="294"/>
      <c r="R22" s="1125">
        <v>0.97</v>
      </c>
      <c r="S22" s="1114">
        <v>1000</v>
      </c>
    </row>
    <row r="23" spans="1:19" ht="14.5" x14ac:dyDescent="0.35">
      <c r="A23" t="s">
        <v>69</v>
      </c>
      <c r="B23" t="s">
        <v>397</v>
      </c>
      <c r="C23" t="s">
        <v>237</v>
      </c>
      <c r="D23" s="639">
        <v>44482.758620689645</v>
      </c>
      <c r="E23" s="641">
        <v>44.482758620689644</v>
      </c>
      <c r="H23" t="s">
        <v>54</v>
      </c>
      <c r="I23" s="836" t="s">
        <v>54</v>
      </c>
      <c r="J23" s="837">
        <f>VLOOKUP(H23,A:E,4,FALSE)</f>
        <v>39504.563233376786</v>
      </c>
      <c r="K23" s="871"/>
      <c r="M23" s="1124" t="s">
        <v>595</v>
      </c>
      <c r="N23" s="761">
        <f>(J33/R23)/S23</f>
        <v>14.074129021091407</v>
      </c>
      <c r="O23" s="60" t="s">
        <v>26</v>
      </c>
      <c r="P23" s="294"/>
      <c r="R23" s="1125">
        <v>0.61</v>
      </c>
      <c r="S23" s="1114">
        <v>10000</v>
      </c>
    </row>
    <row r="24" spans="1:19" ht="14.5" x14ac:dyDescent="0.35">
      <c r="A24" t="s">
        <v>72</v>
      </c>
      <c r="B24" t="s">
        <v>399</v>
      </c>
      <c r="C24" t="s">
        <v>234</v>
      </c>
      <c r="D24" s="639">
        <v>73974.025974025979</v>
      </c>
      <c r="E24" s="641">
        <v>73.974025974025977</v>
      </c>
      <c r="I24" s="854"/>
      <c r="J24" s="854"/>
      <c r="K24" s="854"/>
    </row>
    <row r="25" spans="1:19" ht="14.5" x14ac:dyDescent="0.35">
      <c r="A25" t="s">
        <v>76</v>
      </c>
      <c r="B25" t="s">
        <v>76</v>
      </c>
      <c r="C25" t="s">
        <v>237</v>
      </c>
      <c r="D25" s="639">
        <v>32664.655606060602</v>
      </c>
      <c r="E25" s="641">
        <v>32.664655606060599</v>
      </c>
      <c r="I25" s="1401" t="s">
        <v>592</v>
      </c>
      <c r="J25" s="1402"/>
      <c r="K25" s="835" t="s">
        <v>827</v>
      </c>
    </row>
    <row r="26" spans="1:19" ht="14.5" x14ac:dyDescent="0.35">
      <c r="A26" t="s">
        <v>77</v>
      </c>
      <c r="B26" t="s">
        <v>406</v>
      </c>
      <c r="C26" t="s">
        <v>232</v>
      </c>
      <c r="D26" s="639">
        <v>47065.438775510207</v>
      </c>
      <c r="E26" s="641">
        <v>47.065438775510209</v>
      </c>
      <c r="H26" t="s">
        <v>52</v>
      </c>
      <c r="I26" s="836" t="s">
        <v>52</v>
      </c>
      <c r="J26" s="837">
        <f>VLOOKUP(H26,A:E,4,FALSE)</f>
        <v>28567.119155354441</v>
      </c>
      <c r="K26" s="871"/>
    </row>
    <row r="27" spans="1:19" ht="14.5" x14ac:dyDescent="0.35">
      <c r="A27" t="s">
        <v>79</v>
      </c>
      <c r="B27" t="s">
        <v>410</v>
      </c>
      <c r="C27" t="s">
        <v>229</v>
      </c>
      <c r="D27" s="639">
        <v>28338.709677419356</v>
      </c>
      <c r="E27" s="641">
        <v>28.338709677419356</v>
      </c>
      <c r="H27" t="s">
        <v>58</v>
      </c>
      <c r="I27" s="836" t="s">
        <v>58</v>
      </c>
      <c r="J27" s="837">
        <f>VLOOKUP(H27,A:E,4,FALSE)</f>
        <v>88245.283018867922</v>
      </c>
      <c r="K27" s="871"/>
    </row>
    <row r="28" spans="1:19" ht="14.5" x14ac:dyDescent="0.35">
      <c r="A28" t="s">
        <v>758</v>
      </c>
      <c r="B28" t="s">
        <v>752</v>
      </c>
      <c r="C28" t="s">
        <v>237</v>
      </c>
      <c r="D28" s="639">
        <v>11038.90909090909</v>
      </c>
      <c r="E28" s="641">
        <v>11.03890909090909</v>
      </c>
      <c r="I28" s="854"/>
      <c r="J28" s="854"/>
      <c r="K28" s="854"/>
      <c r="M28" s="1"/>
      <c r="N28" s="1"/>
      <c r="O28" s="1125"/>
      <c r="P28" s="1114"/>
      <c r="Q28" s="4"/>
    </row>
    <row r="29" spans="1:19" ht="14.5" x14ac:dyDescent="0.35">
      <c r="A29" t="s">
        <v>80</v>
      </c>
      <c r="B29" t="s">
        <v>328</v>
      </c>
      <c r="C29" t="s">
        <v>229</v>
      </c>
      <c r="D29" s="639">
        <v>29137.426900584793</v>
      </c>
      <c r="E29" s="641">
        <v>29.137426900584792</v>
      </c>
      <c r="I29" s="1401" t="s">
        <v>525</v>
      </c>
      <c r="J29" s="1402"/>
      <c r="K29" s="835" t="s">
        <v>827</v>
      </c>
      <c r="M29" s="1"/>
      <c r="N29" s="1"/>
      <c r="O29" s="1125"/>
      <c r="P29" s="1114"/>
      <c r="Q29" s="4"/>
    </row>
    <row r="30" spans="1:19" ht="14.5" x14ac:dyDescent="0.35">
      <c r="A30" t="s">
        <v>81</v>
      </c>
      <c r="B30" t="s">
        <v>534</v>
      </c>
      <c r="C30" t="s">
        <v>229</v>
      </c>
      <c r="D30" s="639">
        <v>19333.333333333336</v>
      </c>
      <c r="E30" s="641">
        <v>19.333333333333336</v>
      </c>
      <c r="H30" t="s">
        <v>55</v>
      </c>
      <c r="I30" s="836" t="s">
        <v>55</v>
      </c>
      <c r="J30" s="837">
        <f>VLOOKUP(H30,A:E,4,FALSE)</f>
        <v>33000</v>
      </c>
      <c r="K30" s="871"/>
      <c r="M30" s="1"/>
      <c r="N30" s="1"/>
      <c r="O30" s="1125"/>
      <c r="P30" s="1114"/>
      <c r="Q30" s="4"/>
    </row>
    <row r="31" spans="1:19" ht="14.5" x14ac:dyDescent="0.35">
      <c r="A31" t="s">
        <v>84</v>
      </c>
      <c r="B31" t="s">
        <v>84</v>
      </c>
      <c r="C31" t="s">
        <v>229</v>
      </c>
      <c r="D31" s="639">
        <v>23591.355932203391</v>
      </c>
      <c r="E31" s="641">
        <v>23.591355932203392</v>
      </c>
      <c r="I31" s="854"/>
      <c r="J31" s="854"/>
      <c r="K31" s="854"/>
      <c r="M31" s="1"/>
      <c r="N31" s="1"/>
      <c r="O31" s="1125"/>
      <c r="P31" s="1114"/>
      <c r="Q31" s="4"/>
    </row>
    <row r="32" spans="1:19" ht="14.5" x14ac:dyDescent="0.35">
      <c r="A32" t="s">
        <v>94</v>
      </c>
      <c r="B32" t="s">
        <v>418</v>
      </c>
      <c r="C32" t="s">
        <v>229</v>
      </c>
      <c r="D32" s="639">
        <v>56022.874576271191</v>
      </c>
      <c r="E32" s="641">
        <v>56.022874576271192</v>
      </c>
      <c r="I32" s="1401" t="s">
        <v>595</v>
      </c>
      <c r="J32" s="1402"/>
      <c r="K32" s="835" t="s">
        <v>827</v>
      </c>
      <c r="M32" s="1"/>
      <c r="N32" s="1"/>
      <c r="O32" s="1125"/>
      <c r="P32" s="1114"/>
      <c r="Q32" s="4"/>
    </row>
    <row r="33" spans="1:19" ht="14.5" x14ac:dyDescent="0.35">
      <c r="A33" t="s">
        <v>99</v>
      </c>
      <c r="B33" t="s">
        <v>99</v>
      </c>
      <c r="C33" t="s">
        <v>229</v>
      </c>
      <c r="D33" s="639">
        <v>38629.411764705881</v>
      </c>
      <c r="E33" s="641">
        <v>38.629411764705878</v>
      </c>
      <c r="H33" t="s">
        <v>50</v>
      </c>
      <c r="I33" s="836" t="s">
        <v>50</v>
      </c>
      <c r="J33" s="837">
        <f>VLOOKUP(H33,A:E,4,FALSE)</f>
        <v>85852.187028657587</v>
      </c>
      <c r="K33" s="871"/>
      <c r="M33" s="1"/>
      <c r="N33" s="1"/>
      <c r="O33" s="1125"/>
      <c r="P33" s="1114"/>
      <c r="Q33" s="4"/>
    </row>
    <row r="34" spans="1:19" x14ac:dyDescent="0.3">
      <c r="A34" t="s">
        <v>101</v>
      </c>
      <c r="B34" t="s">
        <v>426</v>
      </c>
      <c r="C34" t="s">
        <v>232</v>
      </c>
      <c r="D34" s="639">
        <v>46546.003016591239</v>
      </c>
      <c r="E34" s="641">
        <v>46.546003016591243</v>
      </c>
      <c r="I34" s="849"/>
      <c r="J34" s="849"/>
      <c r="K34" s="849"/>
      <c r="M34" s="1"/>
      <c r="N34" s="1"/>
      <c r="O34" s="1125"/>
      <c r="P34" s="1114"/>
      <c r="Q34" s="4"/>
    </row>
    <row r="35" spans="1:19" x14ac:dyDescent="0.3">
      <c r="A35" t="s">
        <v>105</v>
      </c>
      <c r="B35" t="s">
        <v>105</v>
      </c>
      <c r="C35" t="s">
        <v>232</v>
      </c>
      <c r="D35" s="639">
        <v>36395.173453996977</v>
      </c>
      <c r="E35" s="641">
        <v>36.395173453996975</v>
      </c>
      <c r="M35" s="1"/>
      <c r="N35" s="1"/>
      <c r="O35" s="1125"/>
      <c r="P35" s="1114"/>
      <c r="Q35" s="4"/>
    </row>
    <row r="36" spans="1:19" x14ac:dyDescent="0.3">
      <c r="A36" t="s">
        <v>107</v>
      </c>
      <c r="B36" t="s">
        <v>107</v>
      </c>
      <c r="C36" t="s">
        <v>229</v>
      </c>
      <c r="D36" s="639">
        <v>63103.448275862058</v>
      </c>
      <c r="E36" s="641">
        <v>63.103448275862057</v>
      </c>
      <c r="I36" s="1022" t="s">
        <v>785</v>
      </c>
      <c r="M36" s="1022" t="s">
        <v>785</v>
      </c>
    </row>
    <row r="37" spans="1:19" ht="14.5" x14ac:dyDescent="0.35">
      <c r="A37" t="s">
        <v>109</v>
      </c>
      <c r="B37" t="s">
        <v>109</v>
      </c>
      <c r="C37" t="s">
        <v>232</v>
      </c>
      <c r="D37" s="639">
        <v>31402.714932126688</v>
      </c>
      <c r="E37" s="641">
        <v>31.402714932126688</v>
      </c>
      <c r="I37" s="1397" t="s">
        <v>229</v>
      </c>
      <c r="J37" s="1398"/>
      <c r="K37" s="835" t="s">
        <v>827</v>
      </c>
      <c r="M37" s="892" t="s">
        <v>826</v>
      </c>
      <c r="N37" s="892" t="s">
        <v>829</v>
      </c>
      <c r="O37" s="892" t="s">
        <v>828</v>
      </c>
      <c r="P37" s="892" t="s">
        <v>827</v>
      </c>
    </row>
    <row r="38" spans="1:19" ht="14.5" x14ac:dyDescent="0.35">
      <c r="A38" t="s">
        <v>111</v>
      </c>
      <c r="B38" t="s">
        <v>111</v>
      </c>
      <c r="C38" t="s">
        <v>236</v>
      </c>
      <c r="D38" s="639">
        <v>80301.659125188511</v>
      </c>
      <c r="E38" s="641">
        <v>80.301659125188507</v>
      </c>
      <c r="H38" t="s">
        <v>60</v>
      </c>
      <c r="I38" s="893" t="s">
        <v>60</v>
      </c>
      <c r="J38" s="837">
        <f>VLOOKUP(H38,A:E,4,FALSE)</f>
        <v>39880.3825</v>
      </c>
      <c r="K38" s="894"/>
      <c r="M38" s="1124" t="s">
        <v>229</v>
      </c>
      <c r="N38" s="761">
        <f>(SUM(J38:J44)/R38)/S38</f>
        <v>25.558001091461122</v>
      </c>
      <c r="O38" s="60" t="s">
        <v>26</v>
      </c>
      <c r="P38" s="294"/>
      <c r="R38" s="1125">
        <v>0.86</v>
      </c>
      <c r="S38" s="1114">
        <v>10000</v>
      </c>
    </row>
    <row r="39" spans="1:19" ht="14.5" x14ac:dyDescent="0.35">
      <c r="A39" t="s">
        <v>512</v>
      </c>
      <c r="B39" t="s">
        <v>514</v>
      </c>
      <c r="C39" t="s">
        <v>229</v>
      </c>
      <c r="D39" s="639">
        <v>44327.586206896551</v>
      </c>
      <c r="E39" s="641">
        <v>44.327586206896548</v>
      </c>
      <c r="H39" t="s">
        <v>61</v>
      </c>
      <c r="I39" s="893" t="s">
        <v>61</v>
      </c>
      <c r="J39" s="837">
        <f t="shared" ref="J39:J44" si="0">VLOOKUP(H39,A:E,4,FALSE)</f>
        <v>31825.293350717071</v>
      </c>
      <c r="K39" s="894"/>
      <c r="M39" s="1124" t="s">
        <v>592</v>
      </c>
      <c r="N39" s="761">
        <f>(J55/R39)/S39</f>
        <v>4.7540847247990108</v>
      </c>
      <c r="O39" s="60" t="s">
        <v>26</v>
      </c>
      <c r="P39" s="294"/>
      <c r="R39" s="1125">
        <v>0.55000000000000004</v>
      </c>
      <c r="S39" s="1114">
        <v>18000</v>
      </c>
    </row>
    <row r="40" spans="1:19" ht="14.5" x14ac:dyDescent="0.35">
      <c r="A40" t="s">
        <v>116</v>
      </c>
      <c r="B40" t="s">
        <v>443</v>
      </c>
      <c r="C40" t="s">
        <v>229</v>
      </c>
      <c r="D40" s="639">
        <v>36158.730158730155</v>
      </c>
      <c r="E40" s="641">
        <v>36.158730158730158</v>
      </c>
      <c r="H40" t="s">
        <v>67</v>
      </c>
      <c r="I40" s="893" t="s">
        <v>67</v>
      </c>
      <c r="J40" s="837">
        <f t="shared" si="0"/>
        <v>47692.307692307673</v>
      </c>
      <c r="K40" s="894"/>
      <c r="M40" s="1124" t="s">
        <v>594</v>
      </c>
      <c r="N40" s="761">
        <f>(SUM(J47:J49)/R40)/S40</f>
        <v>89.077094260261958</v>
      </c>
      <c r="O40" s="60" t="s">
        <v>45</v>
      </c>
      <c r="P40" s="294"/>
      <c r="R40" s="1125">
        <v>0.99</v>
      </c>
      <c r="S40" s="1114">
        <v>1000</v>
      </c>
    </row>
    <row r="41" spans="1:19" ht="14.5" x14ac:dyDescent="0.35">
      <c r="A41" t="s">
        <v>121</v>
      </c>
      <c r="B41" t="s">
        <v>121</v>
      </c>
      <c r="C41" t="s">
        <v>229</v>
      </c>
      <c r="D41" s="639">
        <v>28213.82007822685</v>
      </c>
      <c r="E41" s="641">
        <v>28.213820078226849</v>
      </c>
      <c r="H41" t="s">
        <v>79</v>
      </c>
      <c r="I41" s="893" t="s">
        <v>590</v>
      </c>
      <c r="J41" s="837">
        <f t="shared" si="0"/>
        <v>28338.709677419356</v>
      </c>
      <c r="K41" s="894"/>
      <c r="M41" s="1124" t="s">
        <v>234</v>
      </c>
      <c r="N41" s="761">
        <f>(J52/R41)/S41</f>
        <v>77.867395762132617</v>
      </c>
      <c r="O41" s="60" t="s">
        <v>45</v>
      </c>
      <c r="P41" s="294"/>
      <c r="R41" s="1125">
        <v>0.95</v>
      </c>
      <c r="S41" s="1114">
        <v>1000</v>
      </c>
    </row>
    <row r="42" spans="1:19" ht="14.5" x14ac:dyDescent="0.35">
      <c r="A42" t="s">
        <v>127</v>
      </c>
      <c r="B42" t="s">
        <v>127</v>
      </c>
      <c r="C42" t="s">
        <v>229</v>
      </c>
      <c r="D42" s="639">
        <v>27706.949152542376</v>
      </c>
      <c r="E42" s="641">
        <v>27.706949152542375</v>
      </c>
      <c r="H42" t="s">
        <v>80</v>
      </c>
      <c r="I42" s="893" t="s">
        <v>591</v>
      </c>
      <c r="J42" s="837">
        <f t="shared" si="0"/>
        <v>29137.426900584793</v>
      </c>
      <c r="K42" s="894"/>
    </row>
    <row r="43" spans="1:19" ht="14.5" x14ac:dyDescent="0.35">
      <c r="A43" t="s">
        <v>129</v>
      </c>
      <c r="B43" t="s">
        <v>129</v>
      </c>
      <c r="C43" t="s">
        <v>229</v>
      </c>
      <c r="D43" s="639">
        <v>72598.813559322036</v>
      </c>
      <c r="E43" s="641">
        <v>72.598813559322039</v>
      </c>
      <c r="H43" t="s">
        <v>81</v>
      </c>
      <c r="I43" s="893" t="s">
        <v>81</v>
      </c>
      <c r="J43" s="837">
        <f t="shared" si="0"/>
        <v>19333.333333333336</v>
      </c>
      <c r="K43" s="894"/>
    </row>
    <row r="44" spans="1:19" ht="14.5" x14ac:dyDescent="0.35">
      <c r="A44" t="s">
        <v>131</v>
      </c>
      <c r="B44" t="s">
        <v>131</v>
      </c>
      <c r="C44" t="s">
        <v>237</v>
      </c>
      <c r="D44" s="639">
        <v>47758.620689655174</v>
      </c>
      <c r="E44" s="641">
        <v>47.758620689655174</v>
      </c>
      <c r="H44" t="s">
        <v>84</v>
      </c>
      <c r="I44" s="893" t="s">
        <v>84</v>
      </c>
      <c r="J44" s="837">
        <f t="shared" si="0"/>
        <v>23591.355932203391</v>
      </c>
      <c r="K44" s="894"/>
    </row>
    <row r="45" spans="1:19" ht="14.5" x14ac:dyDescent="0.35">
      <c r="A45" t="s">
        <v>133</v>
      </c>
      <c r="B45" t="s">
        <v>133</v>
      </c>
      <c r="C45" t="s">
        <v>236</v>
      </c>
      <c r="D45" s="639">
        <v>77888.386123680204</v>
      </c>
      <c r="E45" s="641">
        <v>77.888386123680206</v>
      </c>
      <c r="I45" s="894"/>
      <c r="J45" s="894"/>
      <c r="K45" s="894"/>
    </row>
    <row r="46" spans="1:19" ht="14.5" x14ac:dyDescent="0.35">
      <c r="A46" t="s">
        <v>135</v>
      </c>
      <c r="B46" t="s">
        <v>135</v>
      </c>
      <c r="C46" t="s">
        <v>237</v>
      </c>
      <c r="D46" s="639">
        <v>25623.342175066318</v>
      </c>
      <c r="E46" s="641">
        <v>25.62334217506632</v>
      </c>
      <c r="I46" s="1397" t="s">
        <v>594</v>
      </c>
      <c r="J46" s="1398"/>
      <c r="K46" s="835" t="s">
        <v>827</v>
      </c>
    </row>
    <row r="47" spans="1:19" ht="14.5" x14ac:dyDescent="0.35">
      <c r="A47" t="s">
        <v>137</v>
      </c>
      <c r="B47" t="s">
        <v>137</v>
      </c>
      <c r="C47" t="s">
        <v>229</v>
      </c>
      <c r="D47" s="639">
        <v>34380.704041720986</v>
      </c>
      <c r="E47" s="641">
        <v>34.380704041720989</v>
      </c>
      <c r="H47" t="s">
        <v>69</v>
      </c>
      <c r="I47" s="893" t="s">
        <v>69</v>
      </c>
      <c r="J47" s="837">
        <f>VLOOKUP(H47,A:E,4,FALSE)</f>
        <v>44482.758620689645</v>
      </c>
      <c r="K47" s="894"/>
    </row>
    <row r="48" spans="1:19" ht="14.5" x14ac:dyDescent="0.35">
      <c r="A48" t="s">
        <v>139</v>
      </c>
      <c r="B48" t="s">
        <v>139</v>
      </c>
      <c r="C48" t="s">
        <v>237</v>
      </c>
      <c r="D48" s="639">
        <v>16738.086363636365</v>
      </c>
      <c r="E48" s="641">
        <v>16.738086363636366</v>
      </c>
      <c r="H48" t="s">
        <v>76</v>
      </c>
      <c r="I48" s="893" t="s">
        <v>76</v>
      </c>
      <c r="J48" s="837">
        <f>VLOOKUP(H48,A:E,4,FALSE)</f>
        <v>32664.655606060602</v>
      </c>
      <c r="K48" s="894"/>
    </row>
    <row r="49" spans="1:19" ht="14.5" x14ac:dyDescent="0.35">
      <c r="A49" t="s">
        <v>145</v>
      </c>
      <c r="B49" t="s">
        <v>480</v>
      </c>
      <c r="C49" t="s">
        <v>237</v>
      </c>
      <c r="D49" s="639">
        <v>72499.199999999997</v>
      </c>
      <c r="E49" s="641">
        <v>72.499200000000002</v>
      </c>
      <c r="H49" t="s">
        <v>758</v>
      </c>
      <c r="I49" s="893" t="s">
        <v>758</v>
      </c>
      <c r="J49" s="837">
        <f>VLOOKUP(H49,A:E,4,FALSE)</f>
        <v>11038.90909090909</v>
      </c>
      <c r="K49" s="894"/>
    </row>
    <row r="50" spans="1:19" ht="14.5" x14ac:dyDescent="0.35">
      <c r="A50" t="s">
        <v>148</v>
      </c>
      <c r="B50" t="s">
        <v>484</v>
      </c>
      <c r="C50" t="s">
        <v>232</v>
      </c>
      <c r="D50" s="639">
        <v>42937.5</v>
      </c>
      <c r="E50" s="641">
        <v>42.9375</v>
      </c>
      <c r="I50" s="894"/>
      <c r="J50" s="894"/>
      <c r="K50" s="894"/>
    </row>
    <row r="51" spans="1:19" ht="14.5" x14ac:dyDescent="0.35">
      <c r="A51" t="s">
        <v>150</v>
      </c>
      <c r="B51" t="s">
        <v>150</v>
      </c>
      <c r="C51" t="s">
        <v>237</v>
      </c>
      <c r="D51" s="639">
        <v>18681.31868131868</v>
      </c>
      <c r="E51" s="641">
        <v>18.681318681318679</v>
      </c>
      <c r="I51" s="1397" t="s">
        <v>234</v>
      </c>
      <c r="J51" s="1398"/>
      <c r="K51" s="835" t="s">
        <v>827</v>
      </c>
    </row>
    <row r="52" spans="1:19" ht="14.5" x14ac:dyDescent="0.35">
      <c r="A52" t="s">
        <v>153</v>
      </c>
      <c r="B52" t="s">
        <v>153</v>
      </c>
      <c r="C52" t="s">
        <v>229</v>
      </c>
      <c r="D52" s="639">
        <v>45658.409387222935</v>
      </c>
      <c r="E52" s="641">
        <v>45.658409387222932</v>
      </c>
      <c r="H52" t="s">
        <v>72</v>
      </c>
      <c r="I52" s="893" t="s">
        <v>72</v>
      </c>
      <c r="J52" s="837">
        <f>VLOOKUP(H52,A:E,4,FALSE)</f>
        <v>73974.025974025979</v>
      </c>
      <c r="K52" s="894"/>
    </row>
    <row r="53" spans="1:19" ht="14.5" x14ac:dyDescent="0.35">
      <c r="A53" t="s">
        <v>155</v>
      </c>
      <c r="B53" t="s">
        <v>155</v>
      </c>
      <c r="C53" t="s">
        <v>229</v>
      </c>
      <c r="D53" s="639">
        <v>56910.039113428924</v>
      </c>
      <c r="E53" s="641">
        <v>56.910039113428923</v>
      </c>
      <c r="I53" s="894"/>
      <c r="J53" s="894"/>
      <c r="K53" s="894"/>
    </row>
    <row r="54" spans="1:19" ht="14.5" x14ac:dyDescent="0.35">
      <c r="A54" t="s">
        <v>156</v>
      </c>
      <c r="B54" t="s">
        <v>156</v>
      </c>
      <c r="C54" t="s">
        <v>237</v>
      </c>
      <c r="D54" s="639">
        <v>50557.029177718818</v>
      </c>
      <c r="E54" s="641">
        <v>50.557029177718817</v>
      </c>
      <c r="I54" s="1397" t="s">
        <v>592</v>
      </c>
      <c r="J54" s="1398"/>
      <c r="K54" s="835" t="s">
        <v>827</v>
      </c>
    </row>
    <row r="55" spans="1:19" ht="14.5" x14ac:dyDescent="0.35">
      <c r="A55" t="s">
        <v>160</v>
      </c>
      <c r="B55" t="s">
        <v>160</v>
      </c>
      <c r="C55" t="s">
        <v>229</v>
      </c>
      <c r="D55" s="639">
        <v>31616.688396349407</v>
      </c>
      <c r="E55" s="641">
        <v>31.616688396349407</v>
      </c>
      <c r="H55" t="s">
        <v>77</v>
      </c>
      <c r="I55" s="893" t="s">
        <v>77</v>
      </c>
      <c r="J55" s="837">
        <f>VLOOKUP(H55,A:E,4,FALSE)</f>
        <v>47065.438775510207</v>
      </c>
      <c r="K55" s="894"/>
    </row>
    <row r="56" spans="1:19" x14ac:dyDescent="0.3">
      <c r="A56" t="s">
        <v>163</v>
      </c>
      <c r="B56" t="s">
        <v>163</v>
      </c>
      <c r="C56" t="s">
        <v>235</v>
      </c>
      <c r="D56" s="639">
        <v>114452.83018867923</v>
      </c>
      <c r="E56" s="641">
        <v>114.45283018867923</v>
      </c>
      <c r="I56" s="853"/>
      <c r="J56" s="853"/>
      <c r="K56" s="853"/>
    </row>
    <row r="57" spans="1:19" x14ac:dyDescent="0.3">
      <c r="A57" t="s">
        <v>167</v>
      </c>
      <c r="B57" t="s">
        <v>167</v>
      </c>
      <c r="C57" t="s">
        <v>229</v>
      </c>
      <c r="D57" s="639">
        <v>66340</v>
      </c>
      <c r="E57" s="641">
        <v>66.34</v>
      </c>
    </row>
    <row r="58" spans="1:19" x14ac:dyDescent="0.3">
      <c r="A58" t="s">
        <v>170</v>
      </c>
      <c r="B58" t="s">
        <v>503</v>
      </c>
      <c r="C58" t="s">
        <v>237</v>
      </c>
      <c r="D58" s="639">
        <v>22440</v>
      </c>
      <c r="E58" s="641">
        <v>22.44</v>
      </c>
      <c r="I58" s="1022" t="s">
        <v>786</v>
      </c>
      <c r="M58" s="1022" t="s">
        <v>786</v>
      </c>
    </row>
    <row r="59" spans="1:19" ht="14.5" x14ac:dyDescent="0.35">
      <c r="A59" t="s">
        <v>175</v>
      </c>
      <c r="B59" t="s">
        <v>410</v>
      </c>
      <c r="C59" t="s">
        <v>229</v>
      </c>
      <c r="D59" s="639">
        <v>31403.225806451614</v>
      </c>
      <c r="E59" s="641">
        <v>31.403225806451612</v>
      </c>
      <c r="I59" s="1397" t="s">
        <v>229</v>
      </c>
      <c r="J59" s="1398"/>
      <c r="K59" s="835" t="s">
        <v>827</v>
      </c>
      <c r="M59" s="892" t="s">
        <v>826</v>
      </c>
      <c r="N59" s="892" t="s">
        <v>829</v>
      </c>
      <c r="O59" s="892" t="s">
        <v>828</v>
      </c>
      <c r="P59" s="892" t="s">
        <v>827</v>
      </c>
    </row>
    <row r="60" spans="1:19" ht="14.5" x14ac:dyDescent="0.35">
      <c r="A60" t="s">
        <v>172</v>
      </c>
      <c r="B60" t="s">
        <v>511</v>
      </c>
      <c r="C60" t="s">
        <v>232</v>
      </c>
      <c r="D60" s="639">
        <v>56164.878871881403</v>
      </c>
      <c r="E60" s="641">
        <v>56.164878871881406</v>
      </c>
      <c r="H60" t="s">
        <v>94</v>
      </c>
      <c r="I60" s="893" t="s">
        <v>94</v>
      </c>
      <c r="J60" s="837">
        <f t="shared" ref="J60:J65" si="1">VLOOKUP(H60,A:E,4,FALSE)</f>
        <v>56022.874576271191</v>
      </c>
      <c r="K60" s="894"/>
      <c r="M60" s="1124" t="s">
        <v>229</v>
      </c>
      <c r="N60" s="761">
        <f>(SUM(J60:J66)/R60)/S60</f>
        <v>32.874403611708452</v>
      </c>
      <c r="O60" s="60" t="s">
        <v>26</v>
      </c>
      <c r="P60" s="294"/>
      <c r="R60" s="1125">
        <v>0.86</v>
      </c>
      <c r="S60" s="1114">
        <v>10000</v>
      </c>
    </row>
    <row r="61" spans="1:19" ht="14.5" x14ac:dyDescent="0.35">
      <c r="H61" t="s">
        <v>99</v>
      </c>
      <c r="I61" s="893" t="s">
        <v>99</v>
      </c>
      <c r="J61" s="837">
        <f t="shared" si="1"/>
        <v>38629.411764705881</v>
      </c>
      <c r="K61" s="894"/>
      <c r="M61" s="1124" t="s">
        <v>592</v>
      </c>
      <c r="N61" s="761">
        <f>(SUM(J72:J74)/R61)/S61</f>
        <v>11.549888020476253</v>
      </c>
      <c r="O61" s="60" t="s">
        <v>26</v>
      </c>
      <c r="P61" s="294"/>
      <c r="R61" s="1125">
        <v>0.55000000000000004</v>
      </c>
      <c r="S61" s="1114">
        <v>18000</v>
      </c>
    </row>
    <row r="62" spans="1:19" ht="14.5" x14ac:dyDescent="0.35">
      <c r="A62" s="642" t="s">
        <v>535</v>
      </c>
      <c r="B62" s="642" t="s">
        <v>536</v>
      </c>
      <c r="H62" t="s">
        <v>107</v>
      </c>
      <c r="I62" s="893" t="s">
        <v>107</v>
      </c>
      <c r="J62" s="837">
        <f t="shared" si="1"/>
        <v>63103.448275862058</v>
      </c>
      <c r="K62" s="894"/>
      <c r="M62" s="1124" t="s">
        <v>595</v>
      </c>
      <c r="N62" s="761">
        <f>(J69/R62)/S62</f>
        <v>13.16420641396533</v>
      </c>
      <c r="O62" s="60" t="s">
        <v>26</v>
      </c>
      <c r="P62" s="294"/>
      <c r="R62" s="1125">
        <v>0.61</v>
      </c>
      <c r="S62" s="1114">
        <v>10000</v>
      </c>
    </row>
    <row r="63" spans="1:19" ht="14.5" x14ac:dyDescent="0.35">
      <c r="A63" t="s">
        <v>229</v>
      </c>
      <c r="B63" s="641">
        <v>1279.9840312052586</v>
      </c>
      <c r="H63" t="s">
        <v>512</v>
      </c>
      <c r="I63" s="893" t="s">
        <v>512</v>
      </c>
      <c r="J63" s="837">
        <f t="shared" si="1"/>
        <v>44327.586206896551</v>
      </c>
      <c r="K63" s="894"/>
    </row>
    <row r="64" spans="1:19" ht="14.5" x14ac:dyDescent="0.35">
      <c r="A64" t="s">
        <v>232</v>
      </c>
      <c r="B64" s="641">
        <v>527.28024752500301</v>
      </c>
      <c r="H64" t="s">
        <v>116</v>
      </c>
      <c r="I64" s="893" t="s">
        <v>116</v>
      </c>
      <c r="J64" s="837">
        <f t="shared" si="1"/>
        <v>36158.730158730155</v>
      </c>
      <c r="K64" s="894"/>
    </row>
    <row r="65" spans="1:19" ht="14.5" x14ac:dyDescent="0.35">
      <c r="A65" t="s">
        <v>235</v>
      </c>
      <c r="B65" s="641">
        <v>199.37875611460515</v>
      </c>
      <c r="H65" t="s">
        <v>121</v>
      </c>
      <c r="I65" s="893" t="s">
        <v>121</v>
      </c>
      <c r="J65" s="837">
        <f t="shared" si="1"/>
        <v>28213.82007822685</v>
      </c>
      <c r="K65" s="894"/>
    </row>
    <row r="66" spans="1:19" ht="14.5" x14ac:dyDescent="0.35">
      <c r="A66" t="s">
        <v>236</v>
      </c>
      <c r="B66" s="641">
        <v>244.0422322775263</v>
      </c>
      <c r="H66" s="966"/>
      <c r="I66" s="893" t="s">
        <v>593</v>
      </c>
      <c r="J66" s="837">
        <f>All_Ingredients!AV2*107</f>
        <v>16264</v>
      </c>
      <c r="K66" s="894"/>
    </row>
    <row r="67" spans="1:19" ht="14.5" x14ac:dyDescent="0.35">
      <c r="A67" t="s">
        <v>525</v>
      </c>
      <c r="B67" s="641">
        <v>33</v>
      </c>
      <c r="I67" s="894"/>
      <c r="J67" s="894"/>
      <c r="K67" s="894"/>
    </row>
    <row r="68" spans="1:19" ht="14.5" x14ac:dyDescent="0.35">
      <c r="A68" t="s">
        <v>237</v>
      </c>
      <c r="B68" s="641">
        <v>342.48392040505468</v>
      </c>
      <c r="I68" s="1397" t="s">
        <v>595</v>
      </c>
      <c r="J68" s="1398"/>
      <c r="K68" s="835" t="s">
        <v>827</v>
      </c>
    </row>
    <row r="69" spans="1:19" ht="14.5" x14ac:dyDescent="0.35">
      <c r="A69" t="s">
        <v>234</v>
      </c>
      <c r="B69" s="641">
        <v>73.974025974025977</v>
      </c>
      <c r="H69" t="s">
        <v>111</v>
      </c>
      <c r="I69" s="893" t="s">
        <v>111</v>
      </c>
      <c r="J69" s="837">
        <f>VLOOKUP(H69,A:E,4,FALSE)</f>
        <v>80301.659125188511</v>
      </c>
      <c r="K69" s="894"/>
    </row>
    <row r="70" spans="1:19" ht="14.5" x14ac:dyDescent="0.35">
      <c r="I70" s="894"/>
      <c r="J70" s="894"/>
      <c r="K70" s="894"/>
    </row>
    <row r="71" spans="1:19" ht="14.5" x14ac:dyDescent="0.35">
      <c r="I71" s="1397" t="s">
        <v>592</v>
      </c>
      <c r="J71" s="1398"/>
      <c r="K71" s="835" t="s">
        <v>827</v>
      </c>
    </row>
    <row r="72" spans="1:19" ht="14.5" x14ac:dyDescent="0.35">
      <c r="H72" t="s">
        <v>101</v>
      </c>
      <c r="I72" s="893" t="s">
        <v>101</v>
      </c>
      <c r="J72" s="837">
        <f>VLOOKUP(H72,A:E,4,FALSE)</f>
        <v>46546.003016591239</v>
      </c>
      <c r="K72" s="894"/>
    </row>
    <row r="73" spans="1:19" ht="14.5" x14ac:dyDescent="0.35">
      <c r="H73" t="s">
        <v>105</v>
      </c>
      <c r="I73" s="893" t="s">
        <v>105</v>
      </c>
      <c r="J73" s="837">
        <f>VLOOKUP(H73,A:E,4,FALSE)</f>
        <v>36395.173453996977</v>
      </c>
      <c r="K73" s="894"/>
    </row>
    <row r="74" spans="1:19" ht="14.5" x14ac:dyDescent="0.35">
      <c r="H74" t="s">
        <v>109</v>
      </c>
      <c r="I74" s="893" t="s">
        <v>109</v>
      </c>
      <c r="J74" s="837">
        <f>VLOOKUP(H74,A:E,4,FALSE)</f>
        <v>31402.714932126688</v>
      </c>
      <c r="K74" s="894"/>
    </row>
    <row r="75" spans="1:19" x14ac:dyDescent="0.3">
      <c r="I75" s="870"/>
      <c r="J75" s="870"/>
      <c r="K75" s="870"/>
    </row>
    <row r="77" spans="1:19" x14ac:dyDescent="0.3">
      <c r="I77" s="1022" t="s">
        <v>787</v>
      </c>
      <c r="M77" s="1022" t="s">
        <v>787</v>
      </c>
    </row>
    <row r="78" spans="1:19" x14ac:dyDescent="0.3">
      <c r="I78" s="1403" t="s">
        <v>229</v>
      </c>
      <c r="J78" s="1403"/>
      <c r="K78" s="835" t="s">
        <v>827</v>
      </c>
      <c r="M78" s="892" t="s">
        <v>826</v>
      </c>
      <c r="N78" s="892" t="s">
        <v>829</v>
      </c>
      <c r="O78" s="892" t="s">
        <v>828</v>
      </c>
      <c r="P78" s="892" t="s">
        <v>827</v>
      </c>
    </row>
    <row r="79" spans="1:19" x14ac:dyDescent="0.3">
      <c r="H79" t="s">
        <v>127</v>
      </c>
      <c r="I79" s="270" t="s">
        <v>127</v>
      </c>
      <c r="J79" s="837">
        <f t="shared" ref="J79:J84" si="2">VLOOKUP(H79,A:E,4,FALSE)</f>
        <v>27706.949152542376</v>
      </c>
      <c r="K79" s="270"/>
      <c r="M79" s="1124" t="s">
        <v>229</v>
      </c>
      <c r="N79" s="761">
        <f>(SUM(J79:J82)/R79)/S79</f>
        <v>17.45284497134714</v>
      </c>
      <c r="O79" s="60" t="s">
        <v>26</v>
      </c>
      <c r="P79" s="294"/>
      <c r="R79" s="1125">
        <v>0.86</v>
      </c>
      <c r="S79" s="1114">
        <v>10000</v>
      </c>
    </row>
    <row r="80" spans="1:19" x14ac:dyDescent="0.3">
      <c r="H80" t="s">
        <v>129</v>
      </c>
      <c r="I80" s="270" t="s">
        <v>129</v>
      </c>
      <c r="J80" s="837">
        <f t="shared" si="2"/>
        <v>72598.813559322036</v>
      </c>
      <c r="K80" s="270"/>
      <c r="M80" s="1124" t="s">
        <v>592</v>
      </c>
      <c r="N80" s="761">
        <f>(J92/R80)/S80</f>
        <v>4.3371212121212119</v>
      </c>
      <c r="O80" s="60" t="s">
        <v>26</v>
      </c>
      <c r="P80" s="294"/>
      <c r="R80" s="1125">
        <v>0.55000000000000004</v>
      </c>
      <c r="S80" s="1114">
        <v>18000</v>
      </c>
    </row>
    <row r="81" spans="8:19" x14ac:dyDescent="0.3">
      <c r="H81" t="s">
        <v>137</v>
      </c>
      <c r="I81" s="270" t="s">
        <v>137</v>
      </c>
      <c r="J81" s="837">
        <f t="shared" si="2"/>
        <v>34380.704041720986</v>
      </c>
      <c r="K81" s="270"/>
      <c r="M81" s="1124" t="s">
        <v>594</v>
      </c>
      <c r="N81" s="761">
        <f>(SUM(J86:J90)/R81)/S81</f>
        <v>183.13188677745106</v>
      </c>
      <c r="O81" s="60" t="s">
        <v>45</v>
      </c>
      <c r="P81" s="294"/>
      <c r="R81" s="1125">
        <v>0.99</v>
      </c>
      <c r="S81" s="1114">
        <v>1000</v>
      </c>
    </row>
    <row r="82" spans="8:19" x14ac:dyDescent="0.3">
      <c r="H82" s="966"/>
      <c r="I82" s="270" t="s">
        <v>781</v>
      </c>
      <c r="J82" s="761">
        <f>All_Ingredients!AV27*107</f>
        <v>15408</v>
      </c>
      <c r="K82" s="270"/>
      <c r="M82" s="1124" t="s">
        <v>595</v>
      </c>
      <c r="N82" s="761">
        <f>(J84/R82)/S82</f>
        <v>12.768587889127902</v>
      </c>
      <c r="O82" s="60" t="s">
        <v>26</v>
      </c>
      <c r="P82" s="294"/>
      <c r="R82" s="1125">
        <v>0.61</v>
      </c>
      <c r="S82" s="1114">
        <v>10000</v>
      </c>
    </row>
    <row r="83" spans="8:19" x14ac:dyDescent="0.3">
      <c r="I83" s="963" t="s">
        <v>236</v>
      </c>
      <c r="J83" s="963"/>
      <c r="K83" s="964"/>
    </row>
    <row r="84" spans="8:19" x14ac:dyDescent="0.3">
      <c r="H84" t="s">
        <v>133</v>
      </c>
      <c r="I84" s="270" t="s">
        <v>133</v>
      </c>
      <c r="J84" s="837">
        <f t="shared" si="2"/>
        <v>77888.386123680204</v>
      </c>
      <c r="K84" s="270"/>
    </row>
    <row r="85" spans="8:19" x14ac:dyDescent="0.3">
      <c r="I85" s="965" t="s">
        <v>237</v>
      </c>
      <c r="J85" s="963"/>
      <c r="K85" s="964"/>
    </row>
    <row r="86" spans="8:19" x14ac:dyDescent="0.3">
      <c r="H86" t="s">
        <v>131</v>
      </c>
      <c r="I86" s="270" t="s">
        <v>131</v>
      </c>
      <c r="J86" s="837">
        <f t="shared" ref="J86:J92" si="3">VLOOKUP(H86,A:E,4,FALSE)</f>
        <v>47758.620689655174</v>
      </c>
      <c r="K86" s="270"/>
    </row>
    <row r="87" spans="8:19" x14ac:dyDescent="0.3">
      <c r="H87" t="s">
        <v>139</v>
      </c>
      <c r="I87" s="270" t="s">
        <v>139</v>
      </c>
      <c r="J87" s="837">
        <f t="shared" si="3"/>
        <v>16738.086363636365</v>
      </c>
      <c r="K87" s="270"/>
    </row>
    <row r="88" spans="8:19" x14ac:dyDescent="0.3">
      <c r="H88" t="s">
        <v>145</v>
      </c>
      <c r="I88" s="270" t="s">
        <v>145</v>
      </c>
      <c r="J88" s="837">
        <f t="shared" si="3"/>
        <v>72499.199999999997</v>
      </c>
      <c r="K88" s="270"/>
    </row>
    <row r="89" spans="8:19" x14ac:dyDescent="0.3">
      <c r="H89" t="s">
        <v>150</v>
      </c>
      <c r="I89" s="270" t="s">
        <v>150</v>
      </c>
      <c r="J89" s="837">
        <f t="shared" si="3"/>
        <v>18681.31868131868</v>
      </c>
      <c r="K89" s="270"/>
    </row>
    <row r="90" spans="8:19" x14ac:dyDescent="0.3">
      <c r="H90" t="s">
        <v>135</v>
      </c>
      <c r="I90" s="270" t="s">
        <v>135</v>
      </c>
      <c r="J90" s="837">
        <f t="shared" si="3"/>
        <v>25623.342175066318</v>
      </c>
      <c r="K90" s="270"/>
    </row>
    <row r="91" spans="8:19" x14ac:dyDescent="0.3">
      <c r="I91" s="1403" t="s">
        <v>232</v>
      </c>
      <c r="J91" s="1403"/>
      <c r="K91" s="964"/>
    </row>
    <row r="92" spans="8:19" x14ac:dyDescent="0.3">
      <c r="H92" t="s">
        <v>148</v>
      </c>
      <c r="I92" s="270" t="s">
        <v>148</v>
      </c>
      <c r="J92" s="837">
        <f t="shared" si="3"/>
        <v>42937.5</v>
      </c>
      <c r="K92" s="270"/>
    </row>
    <row r="93" spans="8:19" x14ac:dyDescent="0.3">
      <c r="I93" s="870"/>
      <c r="J93" s="870"/>
      <c r="K93" s="870"/>
    </row>
    <row r="94" spans="8:19" x14ac:dyDescent="0.3">
      <c r="I94" s="1"/>
      <c r="J94" s="969"/>
      <c r="K94" s="1"/>
    </row>
    <row r="95" spans="8:19" x14ac:dyDescent="0.3">
      <c r="I95" s="1022" t="s">
        <v>788</v>
      </c>
      <c r="M95" s="1022" t="s">
        <v>788</v>
      </c>
    </row>
    <row r="96" spans="8:19" x14ac:dyDescent="0.3">
      <c r="I96" s="1397" t="s">
        <v>229</v>
      </c>
      <c r="J96" s="1404"/>
      <c r="K96" s="835" t="s">
        <v>827</v>
      </c>
      <c r="M96" s="892" t="s">
        <v>826</v>
      </c>
      <c r="N96" s="892" t="s">
        <v>829</v>
      </c>
      <c r="O96" s="892" t="s">
        <v>828</v>
      </c>
      <c r="P96" s="892" t="s">
        <v>827</v>
      </c>
    </row>
    <row r="97" spans="8:19" x14ac:dyDescent="0.3">
      <c r="H97" t="s">
        <v>153</v>
      </c>
      <c r="I97" s="893" t="s">
        <v>153</v>
      </c>
      <c r="J97" s="837">
        <f>VLOOKUP(H97,A:E,4,FALSE)</f>
        <v>45658.409387222935</v>
      </c>
      <c r="K97" s="944"/>
      <c r="M97" s="1124" t="s">
        <v>229</v>
      </c>
      <c r="N97" s="761">
        <f>(SUM(J97:J102)/R97)/S97</f>
        <v>28.99643752365731</v>
      </c>
      <c r="O97" s="60" t="s">
        <v>26</v>
      </c>
      <c r="P97" s="294"/>
      <c r="R97" s="1125">
        <v>0.86</v>
      </c>
      <c r="S97" s="1114">
        <v>10000</v>
      </c>
    </row>
    <row r="98" spans="8:19" x14ac:dyDescent="0.3">
      <c r="H98" t="s">
        <v>155</v>
      </c>
      <c r="I98" s="893" t="s">
        <v>155</v>
      </c>
      <c r="J98" s="837">
        <f>VLOOKUP(H98,A:E,4,FALSE)</f>
        <v>56910.039113428924</v>
      </c>
      <c r="K98" s="944"/>
      <c r="M98" s="1124" t="s">
        <v>592</v>
      </c>
      <c r="N98" s="761">
        <f>(J109/R98)/S98</f>
        <v>5.6732200880688284</v>
      </c>
      <c r="O98" s="60" t="s">
        <v>26</v>
      </c>
      <c r="P98" s="294"/>
      <c r="R98" s="1125">
        <v>0.55000000000000004</v>
      </c>
      <c r="S98" s="1114">
        <v>18000</v>
      </c>
    </row>
    <row r="99" spans="8:19" x14ac:dyDescent="0.3">
      <c r="H99" t="s">
        <v>160</v>
      </c>
      <c r="I99" s="893" t="s">
        <v>160</v>
      </c>
      <c r="J99" s="837">
        <f>VLOOKUP(H99,A:E,4,FALSE)</f>
        <v>31616.688396349407</v>
      </c>
      <c r="K99" s="944"/>
      <c r="M99" s="1124" t="s">
        <v>594</v>
      </c>
      <c r="N99" s="761">
        <f>(SUM(J105:J106)/R99)/S99</f>
        <v>73.734372906786689</v>
      </c>
      <c r="O99" s="60" t="s">
        <v>45</v>
      </c>
      <c r="P99" s="294"/>
      <c r="R99" s="1125">
        <v>0.99</v>
      </c>
      <c r="S99" s="1114">
        <v>1000</v>
      </c>
    </row>
    <row r="100" spans="8:19" x14ac:dyDescent="0.3">
      <c r="H100" t="s">
        <v>167</v>
      </c>
      <c r="I100" s="893" t="s">
        <v>167</v>
      </c>
      <c r="J100" s="837">
        <f>VLOOKUP(H100,A:E,4,FALSE)</f>
        <v>66340</v>
      </c>
      <c r="K100" s="944"/>
      <c r="M100" s="1124" t="s">
        <v>235</v>
      </c>
      <c r="N100" s="761">
        <f>(J112/R100)/S100</f>
        <v>30.933197348291682</v>
      </c>
      <c r="O100" s="60" t="s">
        <v>26</v>
      </c>
      <c r="P100" s="294"/>
      <c r="R100" s="1125">
        <v>0.37</v>
      </c>
      <c r="S100" s="1114">
        <v>10000</v>
      </c>
    </row>
    <row r="101" spans="8:19" x14ac:dyDescent="0.3">
      <c r="H101" t="s">
        <v>175</v>
      </c>
      <c r="I101" s="893" t="s">
        <v>590</v>
      </c>
      <c r="J101" s="837">
        <f>VLOOKUP(H101,A:E,4,FALSE)</f>
        <v>31403.225806451614</v>
      </c>
      <c r="K101" s="944"/>
    </row>
    <row r="102" spans="8:19" x14ac:dyDescent="0.3">
      <c r="H102" s="966"/>
      <c r="I102" s="893" t="s">
        <v>593</v>
      </c>
      <c r="J102" s="895">
        <f>All_Ingredients!AV53*107</f>
        <v>17441</v>
      </c>
      <c r="K102" s="944"/>
    </row>
    <row r="103" spans="8:19" x14ac:dyDescent="0.3">
      <c r="I103" s="944"/>
      <c r="J103" s="944"/>
      <c r="K103" s="944"/>
    </row>
    <row r="104" spans="8:19" x14ac:dyDescent="0.3">
      <c r="I104" s="1397" t="s">
        <v>594</v>
      </c>
      <c r="J104" s="1404"/>
      <c r="K104" s="835" t="s">
        <v>827</v>
      </c>
    </row>
    <row r="105" spans="8:19" x14ac:dyDescent="0.3">
      <c r="H105" t="s">
        <v>156</v>
      </c>
      <c r="I105" s="893" t="s">
        <v>156</v>
      </c>
      <c r="J105" s="837">
        <f>VLOOKUP(H105,A:E,4,FALSE)</f>
        <v>50557.029177718818</v>
      </c>
      <c r="K105" s="944"/>
    </row>
    <row r="106" spans="8:19" x14ac:dyDescent="0.3">
      <c r="H106" t="s">
        <v>170</v>
      </c>
      <c r="I106" s="893" t="s">
        <v>170</v>
      </c>
      <c r="J106" s="837">
        <f>VLOOKUP(H106,A:E,4,FALSE)</f>
        <v>22440</v>
      </c>
      <c r="K106" s="944"/>
    </row>
    <row r="107" spans="8:19" x14ac:dyDescent="0.3">
      <c r="I107" s="944"/>
      <c r="J107" s="944"/>
      <c r="K107" s="944"/>
    </row>
    <row r="108" spans="8:19" x14ac:dyDescent="0.3">
      <c r="I108" s="1397" t="s">
        <v>592</v>
      </c>
      <c r="J108" s="1404"/>
      <c r="K108" s="835" t="s">
        <v>827</v>
      </c>
    </row>
    <row r="109" spans="8:19" x14ac:dyDescent="0.3">
      <c r="H109" t="s">
        <v>172</v>
      </c>
      <c r="I109" s="893" t="s">
        <v>172</v>
      </c>
      <c r="J109" s="837">
        <f>VLOOKUP(H109,A:E,4,FALSE)</f>
        <v>56164.878871881403</v>
      </c>
      <c r="K109" s="944"/>
    </row>
    <row r="110" spans="8:19" x14ac:dyDescent="0.3">
      <c r="I110" s="944"/>
      <c r="J110" s="944"/>
      <c r="K110" s="944"/>
    </row>
    <row r="111" spans="8:19" x14ac:dyDescent="0.3">
      <c r="I111" s="1397" t="s">
        <v>235</v>
      </c>
      <c r="J111" s="1404"/>
      <c r="K111" s="835" t="s">
        <v>827</v>
      </c>
    </row>
    <row r="112" spans="8:19" x14ac:dyDescent="0.3">
      <c r="H112" t="s">
        <v>163</v>
      </c>
      <c r="I112" s="893" t="s">
        <v>163</v>
      </c>
      <c r="J112" s="837">
        <f>VLOOKUP(H112,A:E,4,FALSE)</f>
        <v>114452.83018867923</v>
      </c>
      <c r="K112" s="944"/>
    </row>
    <row r="155" ht="15.75" customHeight="1" x14ac:dyDescent="0.3"/>
  </sheetData>
  <mergeCells count="21">
    <mergeCell ref="I91:J91"/>
    <mergeCell ref="I96:J96"/>
    <mergeCell ref="I104:J104"/>
    <mergeCell ref="I108:J108"/>
    <mergeCell ref="I111:J111"/>
    <mergeCell ref="I78:J78"/>
    <mergeCell ref="I29:J29"/>
    <mergeCell ref="I32:J32"/>
    <mergeCell ref="I37:J37"/>
    <mergeCell ref="I46:J46"/>
    <mergeCell ref="I51:J51"/>
    <mergeCell ref="A1:E1"/>
    <mergeCell ref="I54:J54"/>
    <mergeCell ref="I59:J59"/>
    <mergeCell ref="I68:J68"/>
    <mergeCell ref="I71:J71"/>
    <mergeCell ref="I2:J2"/>
    <mergeCell ref="I9:J9"/>
    <mergeCell ref="I14:J14"/>
    <mergeCell ref="I19:J19"/>
    <mergeCell ref="I25:J25"/>
  </mergeCells>
  <printOptions horizontalCentered="1"/>
  <pageMargins left="0.7" right="0.7" top="0.75" bottom="0.75" header="0.3" footer="0.3"/>
  <pageSetup fitToHeight="0" orientation="landscape" verticalDpi="0" r:id="rId1"/>
  <headerFooter>
    <oddHeader>&amp;L&amp;BButchery&amp;R&amp;D</oddHead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W302"/>
  <sheetViews>
    <sheetView zoomScale="85" zoomScaleNormal="85" workbookViewId="0">
      <pane ySplit="1" topLeftCell="A2" activePane="bottomLeft" state="frozen"/>
      <selection activeCell="X1" sqref="X1"/>
      <selection pane="bottomLeft" activeCell="R22" sqref="R22"/>
    </sheetView>
  </sheetViews>
  <sheetFormatPr defaultColWidth="8.83203125" defaultRowHeight="14" x14ac:dyDescent="0.3"/>
  <cols>
    <col min="1" max="1" width="40.4140625" style="1" customWidth="1"/>
    <col min="2" max="2" width="11.5" style="1" customWidth="1"/>
    <col min="3" max="3" width="11.5" style="2" customWidth="1"/>
    <col min="4" max="4" width="14" style="3" customWidth="1"/>
    <col min="5" max="5" width="12.9140625" style="3" customWidth="1"/>
    <col min="6" max="6" width="12.1640625" style="1348" customWidth="1"/>
    <col min="7" max="7" width="21.5" style="1114" customWidth="1"/>
    <col min="8" max="8" width="23.58203125" style="4" customWidth="1"/>
    <col min="9" max="9" width="22.33203125" style="4" customWidth="1"/>
    <col min="10" max="10" width="20.75" style="5" customWidth="1"/>
    <col min="11" max="11" width="10.5" style="5" customWidth="1"/>
    <col min="12" max="12" width="13.58203125" style="4" customWidth="1"/>
    <col min="13" max="13" width="10.75" style="4" customWidth="1"/>
    <col min="14" max="14" width="12.75" style="4" customWidth="1"/>
    <col min="15" max="16" width="12.1640625" style="4" customWidth="1"/>
    <col min="17" max="17" width="19.5" customWidth="1"/>
    <col min="19" max="21" width="3.9140625" customWidth="1"/>
    <col min="22" max="22" width="13.9140625" customWidth="1"/>
    <col min="23" max="34" width="2.4140625" customWidth="1"/>
    <col min="36" max="36" width="8.4140625" customWidth="1"/>
    <col min="37" max="37" width="25.33203125" customWidth="1"/>
    <col min="38" max="38" width="14.25" customWidth="1"/>
    <col min="39" max="39" width="9.08203125" customWidth="1"/>
    <col min="40" max="40" width="8.83203125" customWidth="1"/>
    <col min="41" max="41" width="6.58203125" customWidth="1"/>
    <col min="42" max="42" width="2.83203125" customWidth="1"/>
    <col min="43" max="43" width="25.5" customWidth="1"/>
    <col min="46" max="46" width="2.83203125" customWidth="1"/>
    <col min="47" max="47" width="30.6640625" customWidth="1"/>
  </cols>
  <sheetData>
    <row r="1" spans="1:49" ht="40.5" customHeight="1" x14ac:dyDescent="0.3">
      <c r="A1" s="6" t="s">
        <v>0</v>
      </c>
      <c r="B1" s="6" t="s">
        <v>1</v>
      </c>
      <c r="C1" s="6" t="s">
        <v>2</v>
      </c>
      <c r="D1" s="6" t="s">
        <v>3</v>
      </c>
      <c r="E1" s="7" t="s">
        <v>5</v>
      </c>
      <c r="F1" s="6" t="s">
        <v>6</v>
      </c>
      <c r="G1" s="1015" t="s">
        <v>773</v>
      </c>
      <c r="H1" s="1016" t="s">
        <v>774</v>
      </c>
      <c r="I1" s="1015" t="s">
        <v>775</v>
      </c>
      <c r="J1" s="1015" t="s">
        <v>776</v>
      </c>
      <c r="K1" s="6" t="s">
        <v>8</v>
      </c>
      <c r="L1" s="6" t="s">
        <v>9</v>
      </c>
      <c r="M1" s="6" t="s">
        <v>7</v>
      </c>
      <c r="N1" s="6" t="s">
        <v>10</v>
      </c>
      <c r="O1" s="6" t="s">
        <v>11</v>
      </c>
      <c r="Q1" s="8" t="s">
        <v>4</v>
      </c>
      <c r="R1" s="8">
        <v>3</v>
      </c>
      <c r="AJ1" s="838" t="s">
        <v>599</v>
      </c>
      <c r="AK1" s="838" t="s">
        <v>239</v>
      </c>
      <c r="AL1" s="838" t="s">
        <v>598</v>
      </c>
      <c r="AM1" s="838" t="s">
        <v>481</v>
      </c>
      <c r="AN1" s="838" t="s">
        <v>587</v>
      </c>
      <c r="AQ1" s="863" t="s">
        <v>697</v>
      </c>
      <c r="AR1" s="863" t="s">
        <v>578</v>
      </c>
      <c r="AS1" s="863" t="s">
        <v>696</v>
      </c>
      <c r="AU1" s="863" t="s">
        <v>697</v>
      </c>
      <c r="AV1" s="863" t="s">
        <v>578</v>
      </c>
      <c r="AW1" s="863" t="s">
        <v>696</v>
      </c>
    </row>
    <row r="2" spans="1:49" ht="14.25" customHeight="1" x14ac:dyDescent="0.3">
      <c r="AK2" s="839" t="s">
        <v>546</v>
      </c>
      <c r="AL2" s="839"/>
      <c r="AM2" s="839"/>
      <c r="AN2" s="839"/>
      <c r="AQ2" s="840" t="s">
        <v>695</v>
      </c>
      <c r="AR2" s="840">
        <v>117</v>
      </c>
      <c r="AS2" s="840">
        <v>117</v>
      </c>
      <c r="AU2" s="843" t="s">
        <v>782</v>
      </c>
      <c r="AV2" s="843">
        <v>152</v>
      </c>
      <c r="AW2" s="843">
        <v>152</v>
      </c>
    </row>
    <row r="3" spans="1:49" ht="14.25" customHeight="1" x14ac:dyDescent="0.3">
      <c r="A3" s="1068" t="s">
        <v>157</v>
      </c>
      <c r="B3" s="1068" t="s">
        <v>158</v>
      </c>
      <c r="C3" s="1069" t="s">
        <v>14</v>
      </c>
      <c r="D3" s="1070">
        <v>3945.8481092479274</v>
      </c>
      <c r="E3" s="1071">
        <v>25230.892395364954</v>
      </c>
      <c r="F3" s="1349">
        <v>1</v>
      </c>
      <c r="G3" s="1115">
        <v>25000</v>
      </c>
      <c r="H3" s="1071" t="s">
        <v>159</v>
      </c>
      <c r="I3" s="1072">
        <v>750</v>
      </c>
      <c r="J3" s="1071">
        <f t="shared" ref="J3:J13" si="0">I3/(G3/1000)</f>
        <v>30</v>
      </c>
      <c r="K3" s="1071">
        <f t="shared" ref="K3:K13" si="1">(E3/F3)/G3</f>
        <v>1.009235695814598</v>
      </c>
      <c r="L3" s="1071">
        <f>(D3/F3)/G3</f>
        <v>0.15783392436991708</v>
      </c>
      <c r="M3" s="1071" t="s">
        <v>45</v>
      </c>
      <c r="N3" s="1071">
        <f t="shared" ref="N3:N13" si="2">K3*I3</f>
        <v>756.92677186094852</v>
      </c>
      <c r="O3" s="1071">
        <f t="shared" ref="O3:O13" si="3">L3*I3</f>
        <v>118.37544327743781</v>
      </c>
      <c r="AJ3" s="840">
        <v>1</v>
      </c>
      <c r="AK3" s="840" t="s">
        <v>16</v>
      </c>
      <c r="AL3" s="840">
        <f>AS3</f>
        <v>45470</v>
      </c>
      <c r="AM3" s="840">
        <v>0</v>
      </c>
      <c r="AN3" s="840">
        <f>AR3</f>
        <v>310</v>
      </c>
      <c r="AQ3" s="840" t="s">
        <v>601</v>
      </c>
      <c r="AR3" s="840">
        <v>310</v>
      </c>
      <c r="AS3" s="840">
        <v>45470</v>
      </c>
      <c r="AU3" s="843" t="s">
        <v>642</v>
      </c>
      <c r="AV3" s="843">
        <v>82</v>
      </c>
      <c r="AW3" s="843">
        <v>82</v>
      </c>
    </row>
    <row r="4" spans="1:49" ht="14.25" customHeight="1" x14ac:dyDescent="0.3">
      <c r="A4" s="1068" t="s">
        <v>176</v>
      </c>
      <c r="B4" s="1068" t="s">
        <v>158</v>
      </c>
      <c r="C4" s="1069" t="s">
        <v>14</v>
      </c>
      <c r="D4" s="1070">
        <v>0</v>
      </c>
      <c r="E4" s="1071">
        <v>6520.0549450549524</v>
      </c>
      <c r="F4" s="1349">
        <v>1</v>
      </c>
      <c r="G4" s="1115">
        <v>10800</v>
      </c>
      <c r="H4" s="1071" t="s">
        <v>779</v>
      </c>
      <c r="I4" s="1072">
        <v>162</v>
      </c>
      <c r="J4" s="1071">
        <f t="shared" si="0"/>
        <v>14.999999999999998</v>
      </c>
      <c r="K4" s="1071">
        <f t="shared" si="1"/>
        <v>0.60370879120879184</v>
      </c>
      <c r="L4" s="1071">
        <f>(D4/F4)/G4</f>
        <v>0</v>
      </c>
      <c r="M4" s="1071" t="s">
        <v>26</v>
      </c>
      <c r="N4" s="1071">
        <f t="shared" si="2"/>
        <v>97.800824175824275</v>
      </c>
      <c r="O4" s="1071">
        <f t="shared" si="3"/>
        <v>0</v>
      </c>
      <c r="AJ4" s="840">
        <v>1</v>
      </c>
      <c r="AK4" s="840" t="s">
        <v>18</v>
      </c>
      <c r="AL4" s="840">
        <f>AS6</f>
        <v>31650</v>
      </c>
      <c r="AM4" s="840">
        <v>500</v>
      </c>
      <c r="AN4" s="840">
        <f>AR6</f>
        <v>206</v>
      </c>
      <c r="AQ4" s="840" t="s">
        <v>602</v>
      </c>
      <c r="AR4" s="840">
        <v>274</v>
      </c>
      <c r="AS4" s="840">
        <v>40070</v>
      </c>
      <c r="AU4" s="843" t="s">
        <v>643</v>
      </c>
      <c r="AV4" s="843">
        <v>253</v>
      </c>
      <c r="AW4" s="843">
        <v>37510</v>
      </c>
    </row>
    <row r="5" spans="1:49" ht="14.25" customHeight="1" x14ac:dyDescent="0.3">
      <c r="A5" s="1068" t="s">
        <v>180</v>
      </c>
      <c r="B5" s="1068" t="s">
        <v>158</v>
      </c>
      <c r="C5" s="1069" t="s">
        <v>165</v>
      </c>
      <c r="D5" s="1070">
        <v>0</v>
      </c>
      <c r="E5" s="1071">
        <v>25918.570359965852</v>
      </c>
      <c r="F5" s="1349">
        <v>1</v>
      </c>
      <c r="G5" s="1115">
        <v>9600</v>
      </c>
      <c r="H5" s="1071" t="s">
        <v>181</v>
      </c>
      <c r="I5" s="1072">
        <v>95</v>
      </c>
      <c r="J5" s="1071">
        <f t="shared" si="0"/>
        <v>9.8958333333333339</v>
      </c>
      <c r="K5" s="1071">
        <f t="shared" si="1"/>
        <v>2.6998510791631096</v>
      </c>
      <c r="L5" s="1071">
        <f t="shared" ref="L5:L13" si="4">(D5/F5)/G5</f>
        <v>0</v>
      </c>
      <c r="M5" s="1071" t="s">
        <v>26</v>
      </c>
      <c r="N5" s="1071">
        <f t="shared" si="2"/>
        <v>256.48585252049543</v>
      </c>
      <c r="O5" s="1071">
        <f t="shared" si="3"/>
        <v>0</v>
      </c>
      <c r="AJ5" s="840">
        <v>1</v>
      </c>
      <c r="AK5" s="840" t="s">
        <v>22</v>
      </c>
      <c r="AL5" s="840">
        <f>AS11</f>
        <v>44860</v>
      </c>
      <c r="AM5" s="840">
        <v>1000</v>
      </c>
      <c r="AN5" s="840">
        <f>AR11</f>
        <v>288</v>
      </c>
      <c r="AO5" s="1136"/>
      <c r="AQ5" s="840" t="s">
        <v>603</v>
      </c>
      <c r="AR5" s="840">
        <v>36</v>
      </c>
      <c r="AS5" s="840">
        <v>5400</v>
      </c>
      <c r="AU5" s="843" t="s">
        <v>603</v>
      </c>
      <c r="AV5" s="843">
        <v>44</v>
      </c>
      <c r="AW5" s="843">
        <v>6600</v>
      </c>
    </row>
    <row r="6" spans="1:49" ht="14.25" customHeight="1" x14ac:dyDescent="0.3">
      <c r="A6" s="1068" t="s">
        <v>171</v>
      </c>
      <c r="B6" s="1068" t="s">
        <v>158</v>
      </c>
      <c r="C6" s="1069" t="s">
        <v>165</v>
      </c>
      <c r="D6" s="1070">
        <v>40055.412570441753</v>
      </c>
      <c r="E6" s="1071">
        <v>180252.91976189931</v>
      </c>
      <c r="F6" s="1349">
        <v>1</v>
      </c>
      <c r="G6" s="1115">
        <v>12000</v>
      </c>
      <c r="H6" s="1071" t="s">
        <v>166</v>
      </c>
      <c r="I6" s="1072">
        <v>152</v>
      </c>
      <c r="J6" s="1072">
        <f t="shared" si="0"/>
        <v>12.666666666666666</v>
      </c>
      <c r="K6" s="1071">
        <f t="shared" si="1"/>
        <v>15.021076646824943</v>
      </c>
      <c r="L6" s="1071">
        <f t="shared" si="4"/>
        <v>3.3379510475368126</v>
      </c>
      <c r="M6" s="1071" t="s">
        <v>26</v>
      </c>
      <c r="N6" s="1071">
        <f t="shared" si="2"/>
        <v>2283.2036503173913</v>
      </c>
      <c r="O6" s="1071">
        <f t="shared" si="3"/>
        <v>507.3685592255955</v>
      </c>
      <c r="AJ6" s="840">
        <v>1</v>
      </c>
      <c r="AK6" s="840" t="s">
        <v>20</v>
      </c>
      <c r="AL6" s="840">
        <f>AS8</f>
        <v>26480</v>
      </c>
      <c r="AM6" s="840">
        <v>0</v>
      </c>
      <c r="AN6" s="840">
        <f>AR8</f>
        <v>178</v>
      </c>
      <c r="AQ6" s="840" t="s">
        <v>604</v>
      </c>
      <c r="AR6" s="840">
        <v>206</v>
      </c>
      <c r="AS6" s="840">
        <v>31650</v>
      </c>
      <c r="AU6" s="843" t="s">
        <v>644</v>
      </c>
      <c r="AV6" s="843">
        <v>209</v>
      </c>
      <c r="AW6" s="843">
        <v>30910</v>
      </c>
    </row>
    <row r="7" spans="1:49" ht="14.25" customHeight="1" x14ac:dyDescent="0.3">
      <c r="A7" s="1068" t="s">
        <v>161</v>
      </c>
      <c r="B7" s="1068" t="s">
        <v>158</v>
      </c>
      <c r="C7" s="1069" t="s">
        <v>14</v>
      </c>
      <c r="D7" s="1070">
        <v>0</v>
      </c>
      <c r="E7" s="1071">
        <v>909.61030927835054</v>
      </c>
      <c r="F7" s="1349">
        <v>1</v>
      </c>
      <c r="G7" s="1115">
        <v>1600</v>
      </c>
      <c r="H7" s="1071" t="s">
        <v>778</v>
      </c>
      <c r="I7" s="1072">
        <v>73.91</v>
      </c>
      <c r="J7" s="1071">
        <f t="shared" si="0"/>
        <v>46.193749999999994</v>
      </c>
      <c r="K7" s="1071">
        <f t="shared" si="1"/>
        <v>0.56850644329896904</v>
      </c>
      <c r="L7" s="1071">
        <f t="shared" si="4"/>
        <v>0</v>
      </c>
      <c r="M7" s="1071" t="s">
        <v>26</v>
      </c>
      <c r="N7" s="1071">
        <f t="shared" si="2"/>
        <v>42.0183112242268</v>
      </c>
      <c r="O7" s="1071">
        <f t="shared" si="3"/>
        <v>0</v>
      </c>
      <c r="AJ7" s="840">
        <v>1</v>
      </c>
      <c r="AK7" s="840" t="s">
        <v>24</v>
      </c>
      <c r="AL7" s="840">
        <f>AS14</f>
        <v>29440</v>
      </c>
      <c r="AM7" s="840">
        <v>1000</v>
      </c>
      <c r="AN7" s="840">
        <f>AR14</f>
        <v>206</v>
      </c>
      <c r="AQ7" s="840" t="s">
        <v>605</v>
      </c>
      <c r="AR7" s="840">
        <v>206</v>
      </c>
      <c r="AS7" s="840">
        <v>31650</v>
      </c>
      <c r="AU7" s="843" t="s">
        <v>645</v>
      </c>
      <c r="AV7" s="843">
        <v>147</v>
      </c>
      <c r="AW7" s="843">
        <v>21890</v>
      </c>
    </row>
    <row r="8" spans="1:49" ht="14.25" customHeight="1" x14ac:dyDescent="0.3">
      <c r="A8" s="1068" t="s">
        <v>173</v>
      </c>
      <c r="B8" s="1068" t="s">
        <v>158</v>
      </c>
      <c r="C8" s="1069" t="s">
        <v>14</v>
      </c>
      <c r="D8" s="1070">
        <v>0</v>
      </c>
      <c r="E8" s="1071">
        <v>3327.2727272727307</v>
      </c>
      <c r="F8" s="1349">
        <v>1</v>
      </c>
      <c r="G8" s="1115">
        <v>11000</v>
      </c>
      <c r="H8" s="1071" t="s">
        <v>174</v>
      </c>
      <c r="I8" s="1072">
        <v>149</v>
      </c>
      <c r="J8" s="1071">
        <f t="shared" si="0"/>
        <v>13.545454545454545</v>
      </c>
      <c r="K8" s="1071">
        <f t="shared" si="1"/>
        <v>0.30247933884297551</v>
      </c>
      <c r="L8" s="1071">
        <f t="shared" si="4"/>
        <v>0</v>
      </c>
      <c r="M8" s="1071" t="s">
        <v>26</v>
      </c>
      <c r="N8" s="1071">
        <f t="shared" si="2"/>
        <v>45.06942148760335</v>
      </c>
      <c r="O8" s="1071">
        <f t="shared" si="3"/>
        <v>0</v>
      </c>
      <c r="AJ8" s="840">
        <v>1</v>
      </c>
      <c r="AK8" s="840" t="s">
        <v>27</v>
      </c>
      <c r="AL8" s="840">
        <f>AS16</f>
        <v>32140</v>
      </c>
      <c r="AM8" s="840">
        <v>500</v>
      </c>
      <c r="AN8" s="840">
        <f>AR16</f>
        <v>229</v>
      </c>
      <c r="AQ8" s="840" t="s">
        <v>606</v>
      </c>
      <c r="AR8" s="840">
        <v>178</v>
      </c>
      <c r="AS8" s="840">
        <v>26480</v>
      </c>
      <c r="AU8" s="843" t="s">
        <v>614</v>
      </c>
      <c r="AV8" s="843">
        <v>116</v>
      </c>
      <c r="AW8" s="843">
        <v>17240</v>
      </c>
    </row>
    <row r="9" spans="1:49" ht="14.25" customHeight="1" x14ac:dyDescent="0.3">
      <c r="A9" s="1068" t="s">
        <v>164</v>
      </c>
      <c r="B9" s="1068" t="s">
        <v>158</v>
      </c>
      <c r="C9" s="1069" t="s">
        <v>165</v>
      </c>
      <c r="D9" s="1070">
        <v>16529.034178421811</v>
      </c>
      <c r="E9" s="1071">
        <v>76002.097956045385</v>
      </c>
      <c r="F9" s="1349">
        <v>1</v>
      </c>
      <c r="G9" s="1115">
        <v>12000</v>
      </c>
      <c r="H9" s="1071" t="s">
        <v>166</v>
      </c>
      <c r="I9" s="1072">
        <v>50.44</v>
      </c>
      <c r="J9" s="1071">
        <f t="shared" si="0"/>
        <v>4.2033333333333331</v>
      </c>
      <c r="K9" s="1071">
        <f t="shared" si="1"/>
        <v>6.3335081630037822</v>
      </c>
      <c r="L9" s="1071">
        <f t="shared" si="4"/>
        <v>1.3774195148684842</v>
      </c>
      <c r="M9" s="1071" t="s">
        <v>26</v>
      </c>
      <c r="N9" s="1071">
        <f t="shared" si="2"/>
        <v>319.46215174191076</v>
      </c>
      <c r="O9" s="1071">
        <f t="shared" si="3"/>
        <v>69.477040329966343</v>
      </c>
      <c r="AJ9" s="840">
        <v>1</v>
      </c>
      <c r="AK9" s="840" t="s">
        <v>29</v>
      </c>
      <c r="AL9" s="840">
        <f>AS18</f>
        <v>26100</v>
      </c>
      <c r="AM9" s="840">
        <v>1000</v>
      </c>
      <c r="AN9" s="840">
        <f>AR18</f>
        <v>178</v>
      </c>
      <c r="AO9" s="1136"/>
      <c r="AQ9" s="840" t="s">
        <v>607</v>
      </c>
      <c r="AR9" s="840">
        <v>29</v>
      </c>
      <c r="AS9" s="840">
        <v>4350</v>
      </c>
      <c r="AU9" s="843" t="s">
        <v>603</v>
      </c>
      <c r="AV9" s="843">
        <v>31</v>
      </c>
      <c r="AW9" s="843">
        <v>4650</v>
      </c>
    </row>
    <row r="10" spans="1:49" ht="14.25" customHeight="1" x14ac:dyDescent="0.3">
      <c r="A10" s="1068" t="s">
        <v>178</v>
      </c>
      <c r="B10" s="1068" t="s">
        <v>158</v>
      </c>
      <c r="C10" s="1069" t="s">
        <v>14</v>
      </c>
      <c r="D10" s="1070">
        <v>2181.7125000000005</v>
      </c>
      <c r="E10" s="1071">
        <v>33277.369853501514</v>
      </c>
      <c r="F10" s="1349">
        <v>1</v>
      </c>
      <c r="G10" s="1115">
        <v>9200</v>
      </c>
      <c r="H10" s="1071" t="s">
        <v>179</v>
      </c>
      <c r="I10" s="1072">
        <v>165</v>
      </c>
      <c r="J10" s="1071">
        <f t="shared" si="0"/>
        <v>17.934782608695652</v>
      </c>
      <c r="K10" s="1071">
        <f t="shared" si="1"/>
        <v>3.6171054188588601</v>
      </c>
      <c r="L10" s="1071">
        <f t="shared" si="4"/>
        <v>0.23714266304347831</v>
      </c>
      <c r="M10" s="1071" t="s">
        <v>26</v>
      </c>
      <c r="N10" s="1071">
        <f t="shared" si="2"/>
        <v>596.8223941117119</v>
      </c>
      <c r="O10" s="1071">
        <f t="shared" si="3"/>
        <v>39.128539402173921</v>
      </c>
      <c r="AJ10" s="840">
        <v>1</v>
      </c>
      <c r="AK10" s="840" t="s">
        <v>33</v>
      </c>
      <c r="AL10" s="840">
        <f>AS22+AS2</f>
        <v>188</v>
      </c>
      <c r="AM10" s="840">
        <v>5</v>
      </c>
      <c r="AN10" s="840">
        <f>AR22+AR2</f>
        <v>188</v>
      </c>
      <c r="AQ10" s="840" t="s">
        <v>608</v>
      </c>
      <c r="AR10" s="840">
        <v>149</v>
      </c>
      <c r="AS10" s="840">
        <v>22130</v>
      </c>
      <c r="AU10" s="843" t="s">
        <v>646</v>
      </c>
      <c r="AV10" s="843">
        <v>210</v>
      </c>
      <c r="AW10" s="843">
        <v>30860</v>
      </c>
    </row>
    <row r="11" spans="1:49" ht="14.25" customHeight="1" x14ac:dyDescent="0.3">
      <c r="A11" s="1068" t="s">
        <v>862</v>
      </c>
      <c r="B11" s="1068" t="s">
        <v>158</v>
      </c>
      <c r="C11" s="1069" t="s">
        <v>14</v>
      </c>
      <c r="D11" s="1070">
        <v>0</v>
      </c>
      <c r="E11" s="1071">
        <v>810</v>
      </c>
      <c r="F11" s="1349">
        <v>1</v>
      </c>
      <c r="G11" s="1287"/>
      <c r="H11" s="1288"/>
      <c r="I11" s="1289"/>
      <c r="J11" s="1288"/>
      <c r="K11" s="1288" t="e">
        <f t="shared" ref="K11" si="5">(E11/F11)/G11</f>
        <v>#DIV/0!</v>
      </c>
      <c r="L11" s="1288" t="e">
        <f t="shared" ref="L11" si="6">(D11/F11)/G11</f>
        <v>#DIV/0!</v>
      </c>
      <c r="M11" s="1288"/>
      <c r="N11" s="1288" t="e">
        <f t="shared" ref="N11" si="7">K11*I11</f>
        <v>#DIV/0!</v>
      </c>
      <c r="O11" s="1288" t="e">
        <f t="shared" ref="O11" si="8">L11*I11</f>
        <v>#DIV/0!</v>
      </c>
      <c r="AJ11" s="840">
        <v>1</v>
      </c>
      <c r="AK11" s="840" t="s">
        <v>748</v>
      </c>
      <c r="AL11" s="840">
        <f>AR22+AR2</f>
        <v>188</v>
      </c>
      <c r="AM11" s="840">
        <v>5</v>
      </c>
      <c r="AN11" s="840">
        <f>AS22+AS2</f>
        <v>188</v>
      </c>
      <c r="AQ11" s="840" t="s">
        <v>609</v>
      </c>
      <c r="AR11" s="840">
        <v>288</v>
      </c>
      <c r="AS11" s="840">
        <v>44860</v>
      </c>
      <c r="AU11" s="843" t="s">
        <v>605</v>
      </c>
      <c r="AV11" s="843">
        <v>210</v>
      </c>
      <c r="AW11" s="843">
        <v>30860</v>
      </c>
    </row>
    <row r="12" spans="1:49" ht="14.25" customHeight="1" x14ac:dyDescent="0.3">
      <c r="A12" s="1068" t="s">
        <v>791</v>
      </c>
      <c r="B12" s="1068" t="s">
        <v>158</v>
      </c>
      <c r="C12" s="1069" t="s">
        <v>14</v>
      </c>
      <c r="D12" s="1070">
        <v>0</v>
      </c>
      <c r="E12" s="1071">
        <v>2583.4429951566958</v>
      </c>
      <c r="F12" s="1349">
        <v>1</v>
      </c>
      <c r="G12" s="1115">
        <v>2724</v>
      </c>
      <c r="H12" s="1071" t="s">
        <v>780</v>
      </c>
      <c r="I12" s="1072">
        <v>185</v>
      </c>
      <c r="J12" s="1071">
        <f t="shared" si="0"/>
        <v>67.91483113069016</v>
      </c>
      <c r="K12" s="1071">
        <f t="shared" si="1"/>
        <v>0.94840051217206156</v>
      </c>
      <c r="L12" s="1071">
        <f t="shared" si="4"/>
        <v>0</v>
      </c>
      <c r="M12" s="1071" t="s">
        <v>26</v>
      </c>
      <c r="N12" s="1071">
        <f t="shared" si="2"/>
        <v>175.45409475183138</v>
      </c>
      <c r="O12" s="1071">
        <f t="shared" si="3"/>
        <v>0</v>
      </c>
      <c r="AJ12" s="840">
        <v>1</v>
      </c>
      <c r="AK12" s="840" t="s">
        <v>31</v>
      </c>
      <c r="AL12" s="840">
        <f>AS20</f>
        <v>21730</v>
      </c>
      <c r="AM12" s="840">
        <v>1000</v>
      </c>
      <c r="AN12" s="840">
        <f>AR20</f>
        <v>147</v>
      </c>
      <c r="AO12" s="1136"/>
      <c r="AQ12" s="840" t="s">
        <v>603</v>
      </c>
      <c r="AR12" s="840">
        <v>32</v>
      </c>
      <c r="AS12" s="840">
        <v>4800</v>
      </c>
      <c r="AU12" s="843" t="s">
        <v>647</v>
      </c>
      <c r="AV12" s="843">
        <v>158</v>
      </c>
      <c r="AW12" s="843">
        <v>24130</v>
      </c>
    </row>
    <row r="13" spans="1:49" ht="14.25" customHeight="1" x14ac:dyDescent="0.3">
      <c r="A13" s="1068" t="s">
        <v>168</v>
      </c>
      <c r="B13" s="1068" t="s">
        <v>158</v>
      </c>
      <c r="C13" s="1069" t="s">
        <v>14</v>
      </c>
      <c r="D13" s="1070">
        <v>4737.5981161695472</v>
      </c>
      <c r="E13" s="1071">
        <v>34179.720271954946</v>
      </c>
      <c r="F13" s="1349">
        <v>1</v>
      </c>
      <c r="G13" s="1115">
        <v>10000</v>
      </c>
      <c r="H13" s="1071" t="s">
        <v>169</v>
      </c>
      <c r="I13" s="1072">
        <v>66.959999999999994</v>
      </c>
      <c r="J13" s="1071">
        <f t="shared" si="0"/>
        <v>6.6959999999999997</v>
      </c>
      <c r="K13" s="1071">
        <f t="shared" si="1"/>
        <v>3.4179720271954945</v>
      </c>
      <c r="L13" s="1071">
        <f t="shared" si="4"/>
        <v>0.47375981161695474</v>
      </c>
      <c r="M13" s="1071" t="s">
        <v>169</v>
      </c>
      <c r="N13" s="1071">
        <f t="shared" si="2"/>
        <v>228.8674069410103</v>
      </c>
      <c r="O13" s="1071">
        <f t="shared" si="3"/>
        <v>31.722956985871285</v>
      </c>
      <c r="AJ13" s="840">
        <v>1</v>
      </c>
      <c r="AK13" s="840" t="s">
        <v>579</v>
      </c>
      <c r="AL13" s="840">
        <f>AS36</f>
        <v>29300</v>
      </c>
      <c r="AM13" s="840">
        <v>0</v>
      </c>
      <c r="AN13" s="840">
        <f>AR36</f>
        <v>200</v>
      </c>
      <c r="AQ13" s="840" t="s">
        <v>610</v>
      </c>
      <c r="AR13" s="840">
        <v>256</v>
      </c>
      <c r="AS13" s="840">
        <v>40060</v>
      </c>
      <c r="AU13" s="843" t="s">
        <v>603</v>
      </c>
      <c r="AV13" s="843">
        <v>27</v>
      </c>
      <c r="AW13" s="843">
        <v>4050</v>
      </c>
    </row>
    <row r="14" spans="1:49" ht="14.25" customHeight="1" x14ac:dyDescent="0.3">
      <c r="AJ14" s="840">
        <v>1</v>
      </c>
      <c r="AK14" s="840" t="s">
        <v>558</v>
      </c>
      <c r="AL14" s="840">
        <f>AS4</f>
        <v>40070</v>
      </c>
      <c r="AM14" s="840">
        <v>0</v>
      </c>
      <c r="AN14" s="840">
        <f>AR4</f>
        <v>274</v>
      </c>
      <c r="AQ14" s="840" t="s">
        <v>611</v>
      </c>
      <c r="AR14" s="840">
        <v>206</v>
      </c>
      <c r="AS14" s="840">
        <v>29440</v>
      </c>
      <c r="AU14" s="843" t="s">
        <v>612</v>
      </c>
      <c r="AV14" s="843">
        <v>131</v>
      </c>
      <c r="AW14" s="843">
        <v>20080</v>
      </c>
    </row>
    <row r="15" spans="1:49" ht="14.25" customHeight="1" x14ac:dyDescent="0.3">
      <c r="A15" s="1047" t="s">
        <v>216</v>
      </c>
      <c r="B15" s="1047" t="s">
        <v>196</v>
      </c>
      <c r="C15" s="1048" t="s">
        <v>165</v>
      </c>
      <c r="D15" s="1049">
        <v>0</v>
      </c>
      <c r="E15" s="1050">
        <v>145.2233333333333</v>
      </c>
      <c r="F15" s="1051">
        <v>1</v>
      </c>
      <c r="G15" s="1122">
        <f>12*500</f>
        <v>6000</v>
      </c>
      <c r="H15" s="1048" t="s">
        <v>217</v>
      </c>
      <c r="I15" s="1048">
        <v>170.44</v>
      </c>
      <c r="J15" s="1052">
        <f>I15/6</f>
        <v>28.406666666666666</v>
      </c>
      <c r="K15" s="1053">
        <f t="shared" ref="K15:K26" si="9">(E15/F15)/G15</f>
        <v>2.4203888888888882E-2</v>
      </c>
      <c r="L15" s="1053">
        <f t="shared" ref="L15:L26" si="10">(D15/F15)/G15</f>
        <v>0</v>
      </c>
      <c r="M15" s="1053" t="s">
        <v>26</v>
      </c>
      <c r="N15" s="1053">
        <f t="shared" ref="N15:N26" si="11">K15*I15</f>
        <v>4.1253108222222208</v>
      </c>
      <c r="O15" s="1053">
        <f t="shared" ref="O15:O26" si="12">L15*I15</f>
        <v>0</v>
      </c>
      <c r="AJ15" s="840">
        <v>1</v>
      </c>
      <c r="AK15" s="840" t="s">
        <v>35</v>
      </c>
      <c r="AL15" s="840">
        <f>AS19</f>
        <v>26100</v>
      </c>
      <c r="AM15" s="840">
        <v>500</v>
      </c>
      <c r="AN15" s="840">
        <f>AR19</f>
        <v>178</v>
      </c>
      <c r="AO15" s="1136"/>
      <c r="AQ15" s="840" t="s">
        <v>612</v>
      </c>
      <c r="AR15" s="840">
        <v>206</v>
      </c>
      <c r="AS15" s="840">
        <v>29440</v>
      </c>
      <c r="AU15" s="843" t="s">
        <v>648</v>
      </c>
      <c r="AV15" s="843">
        <v>330</v>
      </c>
      <c r="AW15" s="843">
        <v>47080</v>
      </c>
    </row>
    <row r="16" spans="1:49" ht="14.25" customHeight="1" x14ac:dyDescent="0.3">
      <c r="A16" s="1040" t="s">
        <v>195</v>
      </c>
      <c r="B16" s="1040" t="s">
        <v>196</v>
      </c>
      <c r="C16" s="1041" t="s">
        <v>165</v>
      </c>
      <c r="D16" s="1042">
        <v>0</v>
      </c>
      <c r="E16" s="1043">
        <v>5208.2260596546366</v>
      </c>
      <c r="F16" s="1044">
        <v>1</v>
      </c>
      <c r="G16" s="1123">
        <f>3790*4</f>
        <v>15160</v>
      </c>
      <c r="H16" s="1045" t="s">
        <v>197</v>
      </c>
      <c r="I16" s="1046">
        <v>265</v>
      </c>
      <c r="J16" s="1046">
        <f t="shared" ref="J16:J26" si="13">I16/(G16/1000)</f>
        <v>17.480211081794195</v>
      </c>
      <c r="K16" s="1045">
        <f t="shared" si="9"/>
        <v>0.3435505316394879</v>
      </c>
      <c r="L16" s="1045">
        <f t="shared" si="10"/>
        <v>0</v>
      </c>
      <c r="M16" s="1045" t="s">
        <v>26</v>
      </c>
      <c r="N16" s="1045">
        <f t="shared" si="11"/>
        <v>91.040890884464289</v>
      </c>
      <c r="O16" s="1045">
        <f t="shared" si="12"/>
        <v>0</v>
      </c>
      <c r="AJ16" s="840">
        <v>1</v>
      </c>
      <c r="AK16" s="840" t="s">
        <v>38</v>
      </c>
      <c r="AL16" s="840">
        <f>AS5+AS9+AS12</f>
        <v>14550</v>
      </c>
      <c r="AM16" s="840">
        <v>0</v>
      </c>
      <c r="AN16" s="840">
        <f>AR5+AR9+AR12</f>
        <v>97</v>
      </c>
      <c r="AQ16" s="840" t="s">
        <v>613</v>
      </c>
      <c r="AR16" s="840">
        <v>229</v>
      </c>
      <c r="AS16" s="840">
        <v>32140</v>
      </c>
      <c r="AU16" s="843" t="s">
        <v>649</v>
      </c>
      <c r="AV16" s="843">
        <v>330</v>
      </c>
      <c r="AW16" s="843">
        <v>47080</v>
      </c>
    </row>
    <row r="17" spans="1:49" ht="14.25" customHeight="1" x14ac:dyDescent="0.3">
      <c r="A17" s="1040" t="s">
        <v>206</v>
      </c>
      <c r="B17" s="1040" t="s">
        <v>196</v>
      </c>
      <c r="C17" s="1041" t="s">
        <v>14</v>
      </c>
      <c r="D17" s="1042">
        <v>254.87478092783508</v>
      </c>
      <c r="E17" s="1043">
        <v>907.34558733023221</v>
      </c>
      <c r="F17" s="1044">
        <v>1</v>
      </c>
      <c r="G17" s="1123">
        <f>750*6</f>
        <v>4500</v>
      </c>
      <c r="H17" s="1045" t="s">
        <v>207</v>
      </c>
      <c r="I17" s="1046">
        <v>285</v>
      </c>
      <c r="J17" s="1046">
        <f t="shared" si="13"/>
        <v>63.333333333333336</v>
      </c>
      <c r="K17" s="1045">
        <f t="shared" si="9"/>
        <v>0.20163235274005159</v>
      </c>
      <c r="L17" s="1045">
        <f t="shared" si="10"/>
        <v>5.6638840206185571E-2</v>
      </c>
      <c r="M17" s="1045" t="s">
        <v>26</v>
      </c>
      <c r="N17" s="1045">
        <f t="shared" si="11"/>
        <v>57.465220530914706</v>
      </c>
      <c r="O17" s="1045">
        <f t="shared" si="12"/>
        <v>16.142069458762887</v>
      </c>
      <c r="AJ17" s="840">
        <v>1</v>
      </c>
      <c r="AK17" s="840" t="s">
        <v>39</v>
      </c>
      <c r="AL17" s="840">
        <f>AS10</f>
        <v>22130</v>
      </c>
      <c r="AM17" s="840">
        <v>0</v>
      </c>
      <c r="AN17" s="840">
        <f>AR10</f>
        <v>149</v>
      </c>
      <c r="AQ17" s="840" t="s">
        <v>614</v>
      </c>
      <c r="AR17" s="840">
        <v>229</v>
      </c>
      <c r="AS17" s="840">
        <v>32140</v>
      </c>
      <c r="AU17" s="843" t="s">
        <v>650</v>
      </c>
      <c r="AV17" s="843">
        <v>133</v>
      </c>
      <c r="AW17" s="843">
        <v>20820</v>
      </c>
    </row>
    <row r="18" spans="1:49" ht="14.25" customHeight="1" x14ac:dyDescent="0.3">
      <c r="A18" s="1047" t="s">
        <v>219</v>
      </c>
      <c r="B18" s="1047" t="s">
        <v>196</v>
      </c>
      <c r="C18" s="1048" t="s">
        <v>165</v>
      </c>
      <c r="D18" s="1049">
        <v>232.05445544554456</v>
      </c>
      <c r="E18" s="1050">
        <v>11414.09936061949</v>
      </c>
      <c r="F18" s="1051">
        <v>1</v>
      </c>
      <c r="G18" s="1122">
        <v>12000</v>
      </c>
      <c r="H18" s="1048" t="s">
        <v>797</v>
      </c>
      <c r="I18" s="1048">
        <v>60</v>
      </c>
      <c r="J18" s="1052">
        <f t="shared" si="13"/>
        <v>5</v>
      </c>
      <c r="K18" s="1053">
        <f t="shared" si="9"/>
        <v>0.95117494671829084</v>
      </c>
      <c r="L18" s="1053">
        <f t="shared" si="10"/>
        <v>1.9337871287128713E-2</v>
      </c>
      <c r="M18" s="1053" t="s">
        <v>26</v>
      </c>
      <c r="N18" s="1053">
        <f t="shared" si="11"/>
        <v>57.070496803097448</v>
      </c>
      <c r="O18" s="1053">
        <f t="shared" si="12"/>
        <v>1.1602722772277227</v>
      </c>
      <c r="AJ18" s="841">
        <v>2</v>
      </c>
      <c r="AK18" s="841" t="s">
        <v>43</v>
      </c>
      <c r="AL18" s="841">
        <f>AS24</f>
        <v>52120</v>
      </c>
      <c r="AM18" s="841">
        <v>0</v>
      </c>
      <c r="AN18" s="841">
        <f>AR24</f>
        <v>350</v>
      </c>
      <c r="AQ18" s="840" t="s">
        <v>615</v>
      </c>
      <c r="AR18" s="840">
        <v>178</v>
      </c>
      <c r="AS18" s="840">
        <v>26100</v>
      </c>
      <c r="AU18" s="843" t="s">
        <v>614</v>
      </c>
      <c r="AV18" s="843">
        <v>133</v>
      </c>
      <c r="AW18" s="843">
        <v>20820</v>
      </c>
    </row>
    <row r="19" spans="1:49" ht="14.25" customHeight="1" x14ac:dyDescent="0.3">
      <c r="A19" s="1040" t="s">
        <v>199</v>
      </c>
      <c r="B19" s="1040" t="s">
        <v>196</v>
      </c>
      <c r="C19" s="1041" t="s">
        <v>165</v>
      </c>
      <c r="D19" s="1042">
        <v>0</v>
      </c>
      <c r="E19" s="1043">
        <v>1230.6384008891011</v>
      </c>
      <c r="F19" s="1044">
        <v>1</v>
      </c>
      <c r="G19" s="1123">
        <f>259*12</f>
        <v>3108</v>
      </c>
      <c r="H19" s="1045" t="s">
        <v>805</v>
      </c>
      <c r="I19" s="1046">
        <v>115</v>
      </c>
      <c r="J19" s="1046">
        <f t="shared" si="13"/>
        <v>37.001287001286997</v>
      </c>
      <c r="K19" s="1045">
        <f t="shared" si="9"/>
        <v>0.39595830144436972</v>
      </c>
      <c r="L19" s="1045">
        <f t="shared" si="10"/>
        <v>0</v>
      </c>
      <c r="M19" s="1045" t="s">
        <v>26</v>
      </c>
      <c r="N19" s="1045">
        <f t="shared" si="11"/>
        <v>45.535204666102516</v>
      </c>
      <c r="O19" s="1045">
        <f t="shared" si="12"/>
        <v>0</v>
      </c>
      <c r="AJ19" s="841">
        <v>2</v>
      </c>
      <c r="AK19" s="841" t="s">
        <v>44</v>
      </c>
      <c r="AL19" s="841">
        <f>AS25</f>
        <v>48370</v>
      </c>
      <c r="AM19" s="841">
        <v>0</v>
      </c>
      <c r="AN19" s="841">
        <f>AR25</f>
        <v>325</v>
      </c>
      <c r="AQ19" s="840" t="s">
        <v>616</v>
      </c>
      <c r="AR19" s="840">
        <v>178</v>
      </c>
      <c r="AS19" s="840">
        <v>26100</v>
      </c>
      <c r="AU19" s="843" t="s">
        <v>651</v>
      </c>
      <c r="AV19" s="843">
        <v>360</v>
      </c>
      <c r="AW19" s="843">
        <v>52240</v>
      </c>
    </row>
    <row r="20" spans="1:49" ht="14.25" customHeight="1" x14ac:dyDescent="0.3">
      <c r="A20" s="1040" t="s">
        <v>208</v>
      </c>
      <c r="B20" s="1040" t="s">
        <v>196</v>
      </c>
      <c r="C20" s="1041" t="s">
        <v>14</v>
      </c>
      <c r="D20" s="1042">
        <v>388.81507381507402</v>
      </c>
      <c r="E20" s="1043">
        <v>1226.8375860245667</v>
      </c>
      <c r="F20" s="1044">
        <v>1</v>
      </c>
      <c r="G20" s="1123">
        <f>3780*4</f>
        <v>15120</v>
      </c>
      <c r="H20" s="1045" t="s">
        <v>806</v>
      </c>
      <c r="I20" s="1046">
        <v>170</v>
      </c>
      <c r="J20" s="1046">
        <f t="shared" si="13"/>
        <v>11.243386243386244</v>
      </c>
      <c r="K20" s="1045">
        <f t="shared" si="9"/>
        <v>8.1140051985751763E-2</v>
      </c>
      <c r="L20" s="1045">
        <f t="shared" si="10"/>
        <v>2.5715282659727116E-2</v>
      </c>
      <c r="M20" s="1045" t="s">
        <v>26</v>
      </c>
      <c r="N20" s="1045">
        <f t="shared" si="11"/>
        <v>13.793808837577799</v>
      </c>
      <c r="O20" s="1045">
        <f t="shared" si="12"/>
        <v>4.37159805215361</v>
      </c>
      <c r="AJ20" s="841">
        <v>2</v>
      </c>
      <c r="AK20" s="841" t="s">
        <v>50</v>
      </c>
      <c r="AL20" s="841">
        <f>AS30</f>
        <v>55920</v>
      </c>
      <c r="AM20" s="841">
        <v>1000</v>
      </c>
      <c r="AN20" s="841">
        <f>AR30</f>
        <v>366</v>
      </c>
      <c r="AO20" s="1136"/>
      <c r="AQ20" s="840" t="s">
        <v>617</v>
      </c>
      <c r="AR20" s="840">
        <v>147</v>
      </c>
      <c r="AS20" s="840">
        <v>21730</v>
      </c>
      <c r="AU20" s="843" t="s">
        <v>652</v>
      </c>
      <c r="AV20" s="843">
        <v>360</v>
      </c>
      <c r="AW20" s="843">
        <v>52240</v>
      </c>
    </row>
    <row r="21" spans="1:49" ht="14.25" customHeight="1" x14ac:dyDescent="0.3">
      <c r="A21" s="1040" t="s">
        <v>202</v>
      </c>
      <c r="B21" s="1040" t="s">
        <v>196</v>
      </c>
      <c r="C21" s="1041" t="s">
        <v>165</v>
      </c>
      <c r="D21" s="1042">
        <v>0</v>
      </c>
      <c r="E21" s="1043">
        <v>1161.046153846155</v>
      </c>
      <c r="F21" s="1044">
        <v>1</v>
      </c>
      <c r="G21" s="1123">
        <f>600*12</f>
        <v>7200</v>
      </c>
      <c r="H21" s="1045" t="s">
        <v>203</v>
      </c>
      <c r="I21" s="1046">
        <v>107</v>
      </c>
      <c r="J21" s="1046">
        <f t="shared" si="13"/>
        <v>14.861111111111111</v>
      </c>
      <c r="K21" s="1045">
        <f t="shared" si="9"/>
        <v>0.16125641025641041</v>
      </c>
      <c r="L21" s="1045">
        <f t="shared" si="10"/>
        <v>0</v>
      </c>
      <c r="M21" s="1045" t="s">
        <v>26</v>
      </c>
      <c r="N21" s="1045">
        <f t="shared" si="11"/>
        <v>17.254435897435915</v>
      </c>
      <c r="O21" s="1045">
        <f t="shared" si="12"/>
        <v>0</v>
      </c>
      <c r="AJ21" s="841">
        <v>2</v>
      </c>
      <c r="AK21" s="841" t="s">
        <v>46</v>
      </c>
      <c r="AL21" s="841">
        <f>AS37</f>
        <v>31200</v>
      </c>
      <c r="AM21" s="841">
        <v>0</v>
      </c>
      <c r="AN21" s="841">
        <f>AR37</f>
        <v>211</v>
      </c>
      <c r="AQ21" s="840" t="s">
        <v>605</v>
      </c>
      <c r="AR21" s="840">
        <v>147</v>
      </c>
      <c r="AS21" s="840">
        <v>21730</v>
      </c>
      <c r="AU21" s="843" t="s">
        <v>653</v>
      </c>
      <c r="AV21" s="843">
        <v>170</v>
      </c>
      <c r="AW21" s="843">
        <v>25210</v>
      </c>
    </row>
    <row r="22" spans="1:49" ht="14.25" customHeight="1" x14ac:dyDescent="0.3">
      <c r="A22" s="1040" t="s">
        <v>198</v>
      </c>
      <c r="B22" s="1040" t="s">
        <v>196</v>
      </c>
      <c r="C22" s="1041" t="s">
        <v>165</v>
      </c>
      <c r="D22" s="1042">
        <v>1207.4312791002333</v>
      </c>
      <c r="E22" s="1043">
        <v>5094.8974847514501</v>
      </c>
      <c r="F22" s="1044">
        <v>1</v>
      </c>
      <c r="G22" s="1123">
        <f>355*6</f>
        <v>2130</v>
      </c>
      <c r="H22" s="1045" t="s">
        <v>804</v>
      </c>
      <c r="I22" s="1046">
        <v>125</v>
      </c>
      <c r="J22" s="1046">
        <f t="shared" si="13"/>
        <v>58.685446009389672</v>
      </c>
      <c r="K22" s="1045">
        <f t="shared" si="9"/>
        <v>2.3919706501180515</v>
      </c>
      <c r="L22" s="1045">
        <f t="shared" si="10"/>
        <v>0.56686914511748043</v>
      </c>
      <c r="M22" s="1045" t="s">
        <v>26</v>
      </c>
      <c r="N22" s="1045">
        <f t="shared" si="11"/>
        <v>298.99633126475646</v>
      </c>
      <c r="O22" s="1045">
        <f t="shared" si="12"/>
        <v>70.858643139685057</v>
      </c>
      <c r="AJ22" s="841">
        <v>2</v>
      </c>
      <c r="AK22" s="841" t="s">
        <v>48</v>
      </c>
      <c r="AL22" s="841">
        <f>AS27</f>
        <v>48610</v>
      </c>
      <c r="AM22" s="841">
        <v>500</v>
      </c>
      <c r="AN22" s="841">
        <f>AR27</f>
        <v>340</v>
      </c>
      <c r="AO22" s="1136"/>
      <c r="AQ22" s="840" t="s">
        <v>618</v>
      </c>
      <c r="AR22" s="840">
        <v>71</v>
      </c>
      <c r="AS22" s="840">
        <v>71</v>
      </c>
      <c r="AU22" s="843" t="s">
        <v>654</v>
      </c>
      <c r="AV22" s="843">
        <v>170</v>
      </c>
      <c r="AW22" s="843">
        <v>25210</v>
      </c>
    </row>
    <row r="23" spans="1:49" ht="14.25" customHeight="1" x14ac:dyDescent="0.3">
      <c r="A23" s="1040" t="s">
        <v>200</v>
      </c>
      <c r="B23" s="1040" t="s">
        <v>196</v>
      </c>
      <c r="C23" s="1041" t="s">
        <v>165</v>
      </c>
      <c r="D23" s="1042">
        <v>291.42720000000003</v>
      </c>
      <c r="E23" s="1043">
        <v>1239.279129824562</v>
      </c>
      <c r="F23" s="1044">
        <v>1</v>
      </c>
      <c r="G23" s="1123">
        <f>625*12</f>
        <v>7500</v>
      </c>
      <c r="H23" s="1045" t="s">
        <v>201</v>
      </c>
      <c r="I23" s="1046">
        <v>170</v>
      </c>
      <c r="J23" s="1046">
        <f t="shared" si="13"/>
        <v>22.666666666666668</v>
      </c>
      <c r="K23" s="1045">
        <f t="shared" si="9"/>
        <v>0.16523721730994159</v>
      </c>
      <c r="L23" s="1045">
        <f t="shared" si="10"/>
        <v>3.8856960000000003E-2</v>
      </c>
      <c r="M23" s="1045" t="s">
        <v>26</v>
      </c>
      <c r="N23" s="1045">
        <f t="shared" si="11"/>
        <v>28.090326942690069</v>
      </c>
      <c r="O23" s="1045">
        <f t="shared" si="12"/>
        <v>6.6056832000000005</v>
      </c>
      <c r="AJ23" s="841">
        <v>2</v>
      </c>
      <c r="AK23" s="841" t="s">
        <v>52</v>
      </c>
      <c r="AL23" s="841">
        <f>AS33</f>
        <v>18940</v>
      </c>
      <c r="AM23" s="841">
        <v>0</v>
      </c>
      <c r="AN23" s="841">
        <f>AR33</f>
        <v>129</v>
      </c>
      <c r="AU23" s="843" t="s">
        <v>655</v>
      </c>
      <c r="AV23" s="843">
        <v>151</v>
      </c>
      <c r="AW23" s="843">
        <v>22280</v>
      </c>
    </row>
    <row r="24" spans="1:49" ht="14.25" customHeight="1" x14ac:dyDescent="0.3">
      <c r="A24" s="1040" t="s">
        <v>204</v>
      </c>
      <c r="B24" s="1040" t="s">
        <v>196</v>
      </c>
      <c r="C24" s="1041" t="s">
        <v>165</v>
      </c>
      <c r="D24" s="1042">
        <v>5340.0332571872586</v>
      </c>
      <c r="E24" s="1043">
        <v>29805.711805544517</v>
      </c>
      <c r="F24" s="1044">
        <v>1</v>
      </c>
      <c r="G24" s="1123">
        <f>4*5000</f>
        <v>20000</v>
      </c>
      <c r="H24" s="1045" t="s">
        <v>205</v>
      </c>
      <c r="I24" s="1046">
        <v>65</v>
      </c>
      <c r="J24" s="1046">
        <f t="shared" si="13"/>
        <v>3.25</v>
      </c>
      <c r="K24" s="1045">
        <f t="shared" si="9"/>
        <v>1.4902855902772258</v>
      </c>
      <c r="L24" s="1045">
        <f t="shared" si="10"/>
        <v>0.26700166285936294</v>
      </c>
      <c r="M24" s="1045" t="s">
        <v>26</v>
      </c>
      <c r="N24" s="1045">
        <f t="shared" si="11"/>
        <v>96.868563368019679</v>
      </c>
      <c r="O24" s="1045">
        <f t="shared" si="12"/>
        <v>17.355108085858593</v>
      </c>
      <c r="AJ24" s="841">
        <v>2</v>
      </c>
      <c r="AK24" s="841" t="s">
        <v>54</v>
      </c>
      <c r="AL24" s="841">
        <f>AS35</f>
        <v>29300</v>
      </c>
      <c r="AM24" s="841">
        <v>1000</v>
      </c>
      <c r="AN24" s="841">
        <f>AR35</f>
        <v>200</v>
      </c>
      <c r="AO24" s="1136"/>
      <c r="AQ24" s="841" t="s">
        <v>619</v>
      </c>
      <c r="AR24" s="841">
        <v>350</v>
      </c>
      <c r="AS24" s="841">
        <v>52120</v>
      </c>
      <c r="AU24" s="843" t="s">
        <v>605</v>
      </c>
      <c r="AV24" s="843">
        <v>151</v>
      </c>
      <c r="AW24" s="843">
        <v>22280</v>
      </c>
    </row>
    <row r="25" spans="1:49" ht="14.25" customHeight="1" x14ac:dyDescent="0.3">
      <c r="A25" s="1040" t="s">
        <v>761</v>
      </c>
      <c r="B25" s="1040" t="s">
        <v>196</v>
      </c>
      <c r="C25" s="1041" t="s">
        <v>14</v>
      </c>
      <c r="D25" s="1042">
        <v>18364.069129052063</v>
      </c>
      <c r="E25" s="1043">
        <v>76262.407300607912</v>
      </c>
      <c r="F25" s="1044">
        <v>1</v>
      </c>
      <c r="G25" s="1123">
        <f>24*400</f>
        <v>9600</v>
      </c>
      <c r="H25" s="1045" t="s">
        <v>162</v>
      </c>
      <c r="I25" s="1046">
        <v>78.260000000000005</v>
      </c>
      <c r="J25" s="1046">
        <f t="shared" si="13"/>
        <v>8.1520833333333336</v>
      </c>
      <c r="K25" s="1045">
        <f t="shared" si="9"/>
        <v>7.9440007604799909</v>
      </c>
      <c r="L25" s="1045">
        <f t="shared" si="10"/>
        <v>1.9129238676095899</v>
      </c>
      <c r="M25" s="1045" t="s">
        <v>26</v>
      </c>
      <c r="N25" s="1045">
        <f t="shared" si="11"/>
        <v>621.69749951516417</v>
      </c>
      <c r="O25" s="1045">
        <f t="shared" si="12"/>
        <v>149.7054218791265</v>
      </c>
      <c r="AJ25" s="841">
        <v>2</v>
      </c>
      <c r="AK25" s="842" t="s">
        <v>55</v>
      </c>
      <c r="AL25" s="841">
        <f>AS42</f>
        <v>270</v>
      </c>
      <c r="AM25" s="841">
        <v>5</v>
      </c>
      <c r="AN25" s="841">
        <f>AR42</f>
        <v>270</v>
      </c>
      <c r="AQ25" s="841" t="s">
        <v>602</v>
      </c>
      <c r="AR25" s="841">
        <v>325</v>
      </c>
      <c r="AS25" s="841">
        <v>48370</v>
      </c>
      <c r="AU25" s="843" t="s">
        <v>656</v>
      </c>
      <c r="AV25" s="843">
        <v>69</v>
      </c>
      <c r="AW25" s="843">
        <v>69</v>
      </c>
    </row>
    <row r="26" spans="1:49" ht="14.25" customHeight="1" x14ac:dyDescent="0.3">
      <c r="A26" s="1047" t="s">
        <v>215</v>
      </c>
      <c r="B26" s="1047" t="s">
        <v>196</v>
      </c>
      <c r="C26" s="1048" t="s">
        <v>165</v>
      </c>
      <c r="D26" s="1049">
        <v>391.75380089999999</v>
      </c>
      <c r="E26" s="1050">
        <v>742.74738294820406</v>
      </c>
      <c r="F26" s="1051">
        <v>1</v>
      </c>
      <c r="G26" s="1122">
        <f>3700*4.5</f>
        <v>16650</v>
      </c>
      <c r="H26" s="1048" t="s">
        <v>798</v>
      </c>
      <c r="I26" s="1048">
        <v>36</v>
      </c>
      <c r="J26" s="1052">
        <f t="shared" si="13"/>
        <v>2.1621621621621623</v>
      </c>
      <c r="K26" s="1053">
        <f t="shared" si="9"/>
        <v>4.4609452429321565E-2</v>
      </c>
      <c r="L26" s="1053">
        <f t="shared" si="10"/>
        <v>2.3528756810810809E-2</v>
      </c>
      <c r="M26" s="1053" t="s">
        <v>26</v>
      </c>
      <c r="N26" s="1053">
        <f t="shared" si="11"/>
        <v>1.6059402874555764</v>
      </c>
      <c r="O26" s="1053">
        <f t="shared" si="12"/>
        <v>0.84703524518918916</v>
      </c>
      <c r="AI26" s="14"/>
      <c r="AJ26" s="841">
        <v>2</v>
      </c>
      <c r="AK26" s="842" t="s">
        <v>749</v>
      </c>
      <c r="AL26" s="841">
        <f>AR42</f>
        <v>270</v>
      </c>
      <c r="AM26" s="841">
        <v>5</v>
      </c>
      <c r="AN26" s="841">
        <f>AS42</f>
        <v>270</v>
      </c>
      <c r="AQ26" s="841" t="s">
        <v>603</v>
      </c>
      <c r="AR26" s="841">
        <v>25</v>
      </c>
      <c r="AS26" s="841">
        <v>3750</v>
      </c>
    </row>
    <row r="27" spans="1:49" ht="14.25" customHeight="1" x14ac:dyDescent="0.3">
      <c r="AI27" s="14"/>
      <c r="AJ27" s="841">
        <v>2</v>
      </c>
      <c r="AK27" s="842" t="s">
        <v>58</v>
      </c>
      <c r="AL27" s="841">
        <f>AS40</f>
        <v>46770</v>
      </c>
      <c r="AM27" s="841">
        <v>0</v>
      </c>
      <c r="AN27" s="841">
        <f>AR40</f>
        <v>317</v>
      </c>
      <c r="AQ27" s="841" t="s">
        <v>620</v>
      </c>
      <c r="AR27" s="841">
        <v>340</v>
      </c>
      <c r="AS27" s="841">
        <v>48610</v>
      </c>
      <c r="AU27" s="845" t="s">
        <v>782</v>
      </c>
      <c r="AV27" s="845">
        <v>144</v>
      </c>
      <c r="AW27" s="845">
        <v>144</v>
      </c>
    </row>
    <row r="28" spans="1:49" ht="14.25" customHeight="1" x14ac:dyDescent="0.3">
      <c r="A28" s="1054" t="s">
        <v>213</v>
      </c>
      <c r="B28" s="1054" t="s">
        <v>210</v>
      </c>
      <c r="C28" s="1055" t="s">
        <v>165</v>
      </c>
      <c r="D28" s="1056">
        <v>0</v>
      </c>
      <c r="E28" s="1057">
        <v>22350.545484590606</v>
      </c>
      <c r="F28" s="1058">
        <v>1</v>
      </c>
      <c r="G28" s="1059">
        <v>1000</v>
      </c>
      <c r="H28" s="1059" t="s">
        <v>211</v>
      </c>
      <c r="I28" s="1060">
        <v>0</v>
      </c>
      <c r="J28" s="1119">
        <f t="shared" ref="J28:J29" si="14">I28/(G28/1000)</f>
        <v>0</v>
      </c>
      <c r="K28" s="1059">
        <f>(E28/F28)/G28</f>
        <v>22.350545484590604</v>
      </c>
      <c r="L28" s="1059">
        <f>(D28/F28)/G28</f>
        <v>0</v>
      </c>
      <c r="M28" s="1059" t="s">
        <v>211</v>
      </c>
      <c r="N28" s="1059">
        <f>K28*I28</f>
        <v>0</v>
      </c>
      <c r="O28" s="1059">
        <f>L28*I28</f>
        <v>0</v>
      </c>
      <c r="AJ28" s="841">
        <v>2</v>
      </c>
      <c r="AK28" s="842" t="s">
        <v>59</v>
      </c>
      <c r="AL28" s="841">
        <f>AS26+AS28+AS31+AS39</f>
        <v>15600</v>
      </c>
      <c r="AM28" s="841">
        <v>0</v>
      </c>
      <c r="AN28" s="841">
        <f>AR26+AR28+AR31+AR39</f>
        <v>104</v>
      </c>
      <c r="AQ28" s="841" t="s">
        <v>607</v>
      </c>
      <c r="AR28" s="841">
        <v>22</v>
      </c>
      <c r="AS28" s="841">
        <v>3300</v>
      </c>
      <c r="AU28" s="845" t="s">
        <v>657</v>
      </c>
      <c r="AV28" s="845">
        <v>103</v>
      </c>
      <c r="AW28" s="845">
        <v>103</v>
      </c>
    </row>
    <row r="29" spans="1:49" ht="14.25" customHeight="1" x14ac:dyDescent="0.3">
      <c r="A29" s="1054" t="s">
        <v>571</v>
      </c>
      <c r="B29" s="1054" t="s">
        <v>210</v>
      </c>
      <c r="C29" s="1055" t="s">
        <v>165</v>
      </c>
      <c r="D29" s="1056">
        <v>0</v>
      </c>
      <c r="E29" s="1057">
        <v>13711.821305841924</v>
      </c>
      <c r="F29" s="1058">
        <v>1</v>
      </c>
      <c r="G29" s="1059">
        <v>1000</v>
      </c>
      <c r="H29" s="1059" t="s">
        <v>211</v>
      </c>
      <c r="I29" s="1060">
        <v>0</v>
      </c>
      <c r="J29" s="1119">
        <f t="shared" si="14"/>
        <v>0</v>
      </c>
      <c r="K29" s="1059">
        <f>(E29/F29)/G29</f>
        <v>13.711821305841925</v>
      </c>
      <c r="L29" s="1059">
        <f>(D29/F29)/G29</f>
        <v>0</v>
      </c>
      <c r="M29" s="1059" t="s">
        <v>211</v>
      </c>
      <c r="N29" s="1059">
        <f>K29*I29</f>
        <v>0</v>
      </c>
      <c r="O29" s="1059">
        <f>L29*I29</f>
        <v>0</v>
      </c>
      <c r="AJ29" s="839">
        <v>3</v>
      </c>
      <c r="AK29" s="839" t="s">
        <v>60</v>
      </c>
      <c r="AL29" s="839">
        <f>AS45</f>
        <v>36050</v>
      </c>
      <c r="AM29" s="839">
        <v>1000</v>
      </c>
      <c r="AN29" s="839">
        <f>AR45</f>
        <v>237</v>
      </c>
      <c r="AO29" s="1136"/>
      <c r="AQ29" s="841" t="s">
        <v>621</v>
      </c>
      <c r="AR29" s="841">
        <v>318</v>
      </c>
      <c r="AS29" s="841">
        <v>45310</v>
      </c>
      <c r="AU29" s="845" t="s">
        <v>658</v>
      </c>
      <c r="AV29" s="845">
        <v>139</v>
      </c>
      <c r="AW29" s="845">
        <v>20230</v>
      </c>
    </row>
    <row r="30" spans="1:49" ht="14.25" customHeight="1" x14ac:dyDescent="0.3">
      <c r="A30" s="1054" t="s">
        <v>218</v>
      </c>
      <c r="B30" s="1054" t="s">
        <v>210</v>
      </c>
      <c r="C30" s="1055" t="s">
        <v>165</v>
      </c>
      <c r="D30" s="1056">
        <v>0</v>
      </c>
      <c r="E30" s="1057">
        <v>629.73802109857809</v>
      </c>
      <c r="F30" s="1058">
        <v>1</v>
      </c>
      <c r="G30" s="1121">
        <v>10000</v>
      </c>
      <c r="H30" s="1055" t="s">
        <v>814</v>
      </c>
      <c r="I30" s="1055">
        <v>155</v>
      </c>
      <c r="J30" s="1119">
        <f>I30/(G30/1000)</f>
        <v>15.5</v>
      </c>
      <c r="K30" s="1059">
        <f t="shared" ref="K30:K33" si="15">(E30/F30)/G30</f>
        <v>6.2973802109857813E-2</v>
      </c>
      <c r="L30" s="1059">
        <f t="shared" ref="L30:L33" si="16">(D30/F30)/G30</f>
        <v>0</v>
      </c>
      <c r="M30" s="1059" t="s">
        <v>211</v>
      </c>
      <c r="N30" s="1059">
        <f t="shared" ref="N30:N33" si="17">K30*I30</f>
        <v>9.7609393270279607</v>
      </c>
      <c r="O30" s="1059">
        <f t="shared" ref="O30:O33" si="18">L30*I30</f>
        <v>0</v>
      </c>
      <c r="AJ30" s="839">
        <v>3</v>
      </c>
      <c r="AK30" s="839" t="s">
        <v>61</v>
      </c>
      <c r="AL30" s="839">
        <f>AS48</f>
        <v>24410</v>
      </c>
      <c r="AM30" s="839">
        <v>0</v>
      </c>
      <c r="AN30" s="839">
        <f>AR48</f>
        <v>162</v>
      </c>
      <c r="AQ30" s="841" t="s">
        <v>622</v>
      </c>
      <c r="AR30" s="841">
        <v>366</v>
      </c>
      <c r="AS30" s="841">
        <v>55920</v>
      </c>
      <c r="AU30" s="845" t="s">
        <v>659</v>
      </c>
      <c r="AV30" s="845">
        <v>118</v>
      </c>
      <c r="AW30" s="845">
        <v>17080</v>
      </c>
    </row>
    <row r="31" spans="1:49" ht="13.5" customHeight="1" x14ac:dyDescent="0.3">
      <c r="A31" s="1054" t="s">
        <v>212</v>
      </c>
      <c r="B31" s="1054" t="s">
        <v>210</v>
      </c>
      <c r="C31" s="1055" t="s">
        <v>165</v>
      </c>
      <c r="D31" s="1056">
        <v>0</v>
      </c>
      <c r="E31" s="1057">
        <v>856.27499999999986</v>
      </c>
      <c r="F31" s="1058">
        <v>1</v>
      </c>
      <c r="G31" s="1059">
        <f>270*24</f>
        <v>6480</v>
      </c>
      <c r="H31" s="1059" t="s">
        <v>813</v>
      </c>
      <c r="I31" s="1060">
        <v>95.65</v>
      </c>
      <c r="J31" s="1119">
        <f t="shared" ref="J31:J33" si="19">I31/(G31/1000)</f>
        <v>14.760802469135802</v>
      </c>
      <c r="K31" s="1059">
        <f t="shared" si="15"/>
        <v>0.13214120370370369</v>
      </c>
      <c r="L31" s="1059">
        <f t="shared" si="16"/>
        <v>0</v>
      </c>
      <c r="M31" s="1059" t="s">
        <v>211</v>
      </c>
      <c r="N31" s="1059">
        <f t="shared" si="17"/>
        <v>12.639306134259259</v>
      </c>
      <c r="O31" s="1059">
        <f t="shared" si="18"/>
        <v>0</v>
      </c>
      <c r="AJ31" s="839">
        <v>3</v>
      </c>
      <c r="AK31" s="839" t="s">
        <v>65</v>
      </c>
      <c r="AL31" s="839">
        <f>AS49</f>
        <v>24410</v>
      </c>
      <c r="AM31" s="839">
        <v>0</v>
      </c>
      <c r="AN31" s="839">
        <f>AR48</f>
        <v>162</v>
      </c>
      <c r="AQ31" s="841" t="s">
        <v>603</v>
      </c>
      <c r="AR31" s="841">
        <v>30</v>
      </c>
      <c r="AS31" s="841">
        <v>4500</v>
      </c>
      <c r="AU31" s="845" t="s">
        <v>607</v>
      </c>
      <c r="AV31" s="845">
        <v>21</v>
      </c>
      <c r="AW31" s="845">
        <v>3150</v>
      </c>
    </row>
    <row r="32" spans="1:49" ht="14.25" customHeight="1" x14ac:dyDescent="0.3">
      <c r="A32" s="1054" t="s">
        <v>214</v>
      </c>
      <c r="B32" s="1054" t="s">
        <v>210</v>
      </c>
      <c r="C32" s="1055" t="s">
        <v>165</v>
      </c>
      <c r="D32" s="1056">
        <v>0</v>
      </c>
      <c r="E32" s="1057">
        <v>9485.8163265306212</v>
      </c>
      <c r="F32" s="1058">
        <v>1</v>
      </c>
      <c r="G32" s="1059">
        <v>1000</v>
      </c>
      <c r="H32" s="1059" t="s">
        <v>211</v>
      </c>
      <c r="I32" s="1060">
        <v>0</v>
      </c>
      <c r="J32" s="1119">
        <f t="shared" si="19"/>
        <v>0</v>
      </c>
      <c r="K32" s="1059">
        <f t="shared" si="15"/>
        <v>9.485816326530621</v>
      </c>
      <c r="L32" s="1059">
        <f t="shared" si="16"/>
        <v>0</v>
      </c>
      <c r="M32" s="1059" t="s">
        <v>211</v>
      </c>
      <c r="N32" s="1059">
        <f t="shared" si="17"/>
        <v>0</v>
      </c>
      <c r="O32" s="1059">
        <f t="shared" si="18"/>
        <v>0</v>
      </c>
      <c r="AJ32" s="839">
        <v>3</v>
      </c>
      <c r="AK32" s="839" t="s">
        <v>67</v>
      </c>
      <c r="AL32" s="839">
        <f>AS50</f>
        <v>36580</v>
      </c>
      <c r="AM32" s="839">
        <v>0</v>
      </c>
      <c r="AN32" s="839">
        <f>AR50</f>
        <v>259</v>
      </c>
      <c r="AQ32" s="841" t="s">
        <v>612</v>
      </c>
      <c r="AR32" s="841">
        <v>336</v>
      </c>
      <c r="AS32" s="841">
        <v>51420</v>
      </c>
      <c r="AU32" s="845" t="s">
        <v>660</v>
      </c>
      <c r="AV32" s="845">
        <v>380</v>
      </c>
      <c r="AW32" s="845">
        <v>54700</v>
      </c>
    </row>
    <row r="33" spans="1:49" ht="14.25" customHeight="1" x14ac:dyDescent="0.3">
      <c r="A33" s="1054" t="s">
        <v>209</v>
      </c>
      <c r="B33" s="1054" t="s">
        <v>210</v>
      </c>
      <c r="C33" s="1055" t="s">
        <v>165</v>
      </c>
      <c r="D33" s="1056">
        <v>29753.330412371135</v>
      </c>
      <c r="E33" s="1057">
        <v>157484.32869488964</v>
      </c>
      <c r="F33" s="1058">
        <v>1</v>
      </c>
      <c r="G33" s="1059">
        <v>1000</v>
      </c>
      <c r="H33" s="1059" t="s">
        <v>238</v>
      </c>
      <c r="I33" s="1060">
        <v>0</v>
      </c>
      <c r="J33" s="1119">
        <f t="shared" si="19"/>
        <v>0</v>
      </c>
      <c r="K33" s="1059">
        <f t="shared" si="15"/>
        <v>157.48432869488965</v>
      </c>
      <c r="L33" s="1059">
        <f t="shared" si="16"/>
        <v>29.753330412371135</v>
      </c>
      <c r="M33" s="1059" t="s">
        <v>211</v>
      </c>
      <c r="N33" s="1059">
        <f t="shared" si="17"/>
        <v>0</v>
      </c>
      <c r="O33" s="1059">
        <f t="shared" si="18"/>
        <v>0</v>
      </c>
      <c r="AJ33" s="839">
        <v>3</v>
      </c>
      <c r="AK33" s="839" t="s">
        <v>69</v>
      </c>
      <c r="AL33" s="839">
        <f>AS53</f>
        <v>33040</v>
      </c>
      <c r="AM33" s="839">
        <v>500</v>
      </c>
      <c r="AN33" s="839">
        <f>AR53</f>
        <v>224</v>
      </c>
      <c r="AO33" s="1136"/>
      <c r="AQ33" s="841" t="s">
        <v>623</v>
      </c>
      <c r="AR33" s="841">
        <v>129</v>
      </c>
      <c r="AS33" s="841">
        <v>18940</v>
      </c>
      <c r="AU33" s="845" t="s">
        <v>614</v>
      </c>
      <c r="AV33" s="845">
        <v>340</v>
      </c>
      <c r="AW33" s="845">
        <v>48700</v>
      </c>
    </row>
    <row r="34" spans="1:49" ht="14.25" customHeight="1" x14ac:dyDescent="0.3">
      <c r="AJ34" s="839">
        <v>3</v>
      </c>
      <c r="AK34" s="839" t="s">
        <v>72</v>
      </c>
      <c r="AL34" s="839">
        <f>AS56</f>
        <v>56460</v>
      </c>
      <c r="AM34" s="839">
        <v>500</v>
      </c>
      <c r="AN34" s="839">
        <f>AR56</f>
        <v>381</v>
      </c>
      <c r="AO34" s="1136"/>
      <c r="AQ34" s="841" t="s">
        <v>614</v>
      </c>
      <c r="AR34" s="841">
        <v>129</v>
      </c>
      <c r="AS34" s="841">
        <v>18940</v>
      </c>
      <c r="AU34" s="845" t="s">
        <v>603</v>
      </c>
      <c r="AV34" s="845">
        <v>40</v>
      </c>
      <c r="AW34" s="845">
        <v>6000</v>
      </c>
    </row>
    <row r="35" spans="1:49" ht="14.25" customHeight="1" x14ac:dyDescent="0.3">
      <c r="A35" s="23" t="s">
        <v>790</v>
      </c>
      <c r="B35" s="23" t="s">
        <v>97</v>
      </c>
      <c r="C35" s="24" t="s">
        <v>14</v>
      </c>
      <c r="D35" s="25">
        <v>0</v>
      </c>
      <c r="E35" s="26">
        <v>280.5</v>
      </c>
      <c r="F35" s="1350">
        <v>1</v>
      </c>
      <c r="G35" s="1116">
        <f>12*200</f>
        <v>2400</v>
      </c>
      <c r="H35" s="26" t="s">
        <v>812</v>
      </c>
      <c r="I35" s="27">
        <v>104</v>
      </c>
      <c r="J35" s="27">
        <f>I35/(G35/1000)</f>
        <v>43.333333333333336</v>
      </c>
      <c r="K35" s="26">
        <f t="shared" ref="K35:K61" si="20">(E35/F35)/G35</f>
        <v>0.11687500000000001</v>
      </c>
      <c r="L35" s="26">
        <f t="shared" ref="L35:L61" si="21">(D35/F35)/G35</f>
        <v>0</v>
      </c>
      <c r="M35" s="26" t="s">
        <v>45</v>
      </c>
      <c r="N35" s="26">
        <f t="shared" ref="N35:N61" si="22">K35*I35</f>
        <v>12.155000000000001</v>
      </c>
      <c r="O35" s="26">
        <f t="shared" ref="O35:O61" si="23">L35*I35</f>
        <v>0</v>
      </c>
      <c r="AJ35" s="839">
        <v>3</v>
      </c>
      <c r="AK35" s="839" t="s">
        <v>75</v>
      </c>
      <c r="AL35" s="839">
        <f>AS59</f>
        <v>33430</v>
      </c>
      <c r="AM35" s="839">
        <v>0</v>
      </c>
      <c r="AN35" s="839">
        <f>AR59</f>
        <v>219</v>
      </c>
      <c r="AQ35" s="841" t="s">
        <v>624</v>
      </c>
      <c r="AR35" s="841">
        <v>200</v>
      </c>
      <c r="AS35" s="841">
        <v>29300</v>
      </c>
      <c r="AU35" s="845" t="s">
        <v>661</v>
      </c>
      <c r="AV35" s="845">
        <v>170</v>
      </c>
      <c r="AW35" s="845">
        <v>25370</v>
      </c>
    </row>
    <row r="36" spans="1:49" ht="14.25" customHeight="1" x14ac:dyDescent="0.3">
      <c r="A36" s="23" t="s">
        <v>140</v>
      </c>
      <c r="B36" s="23" t="s">
        <v>97</v>
      </c>
      <c r="C36" s="24" t="s">
        <v>14</v>
      </c>
      <c r="D36" s="25">
        <v>0</v>
      </c>
      <c r="E36" s="26">
        <v>207.95454545454567</v>
      </c>
      <c r="F36" s="1350">
        <v>1</v>
      </c>
      <c r="G36" s="1116">
        <v>1000</v>
      </c>
      <c r="H36" s="26" t="s">
        <v>45</v>
      </c>
      <c r="I36" s="27">
        <v>43</v>
      </c>
      <c r="J36" s="27">
        <f>I36</f>
        <v>43</v>
      </c>
      <c r="K36" s="26">
        <f t="shared" si="20"/>
        <v>0.20795454545454567</v>
      </c>
      <c r="L36" s="26">
        <f t="shared" si="21"/>
        <v>0</v>
      </c>
      <c r="M36" s="26" t="s">
        <v>45</v>
      </c>
      <c r="N36" s="26">
        <f t="shared" si="22"/>
        <v>8.9420454545454646</v>
      </c>
      <c r="O36" s="26">
        <f t="shared" si="23"/>
        <v>0</v>
      </c>
      <c r="AJ36" s="839">
        <v>3</v>
      </c>
      <c r="AK36" s="839" t="s">
        <v>76</v>
      </c>
      <c r="AL36" s="839">
        <f>AS59</f>
        <v>33430</v>
      </c>
      <c r="AM36" s="839">
        <v>0</v>
      </c>
      <c r="AN36" s="839">
        <f>AR59</f>
        <v>219</v>
      </c>
      <c r="AQ36" s="841" t="s">
        <v>625</v>
      </c>
      <c r="AR36" s="841">
        <v>200</v>
      </c>
      <c r="AS36" s="841">
        <v>29300</v>
      </c>
      <c r="AU36" s="845" t="s">
        <v>654</v>
      </c>
      <c r="AV36" s="845">
        <v>170</v>
      </c>
      <c r="AW36" s="845">
        <v>25370</v>
      </c>
    </row>
    <row r="37" spans="1:49" ht="14.25" customHeight="1" x14ac:dyDescent="0.3">
      <c r="A37" s="23" t="s">
        <v>102</v>
      </c>
      <c r="B37" s="23" t="s">
        <v>97</v>
      </c>
      <c r="C37" s="24" t="s">
        <v>14</v>
      </c>
      <c r="D37" s="25">
        <v>257.19251292489196</v>
      </c>
      <c r="E37" s="26">
        <v>1689.8117694676059</v>
      </c>
      <c r="F37" s="1350">
        <v>1</v>
      </c>
      <c r="G37" s="1116">
        <v>1000</v>
      </c>
      <c r="H37" s="26" t="s">
        <v>45</v>
      </c>
      <c r="I37" s="27">
        <v>31</v>
      </c>
      <c r="J37" s="27">
        <f t="shared" ref="J37:J53" si="24">I37/(G37/1000)</f>
        <v>31</v>
      </c>
      <c r="K37" s="26">
        <f t="shared" si="20"/>
        <v>1.689811769467606</v>
      </c>
      <c r="L37" s="26">
        <f t="shared" si="21"/>
        <v>0.25719251292489198</v>
      </c>
      <c r="M37" s="26" t="s">
        <v>45</v>
      </c>
      <c r="N37" s="26">
        <f t="shared" si="22"/>
        <v>52.38416485349579</v>
      </c>
      <c r="O37" s="26">
        <f t="shared" si="23"/>
        <v>7.9729679006716516</v>
      </c>
      <c r="AJ37" s="839">
        <v>3</v>
      </c>
      <c r="AK37" s="839" t="s">
        <v>77</v>
      </c>
      <c r="AL37" s="839">
        <f>AS61</f>
        <v>33550</v>
      </c>
      <c r="AM37" s="839">
        <v>500</v>
      </c>
      <c r="AN37" s="839">
        <f>AR61</f>
        <v>234</v>
      </c>
      <c r="AO37" s="1136"/>
      <c r="AQ37" s="841" t="s">
        <v>626</v>
      </c>
      <c r="AR37" s="841">
        <v>211</v>
      </c>
      <c r="AS37" s="841">
        <v>31200</v>
      </c>
      <c r="AU37" s="845" t="s">
        <v>662</v>
      </c>
      <c r="AV37" s="845">
        <v>345</v>
      </c>
      <c r="AW37" s="845">
        <v>50640</v>
      </c>
    </row>
    <row r="38" spans="1:49" ht="14.25" customHeight="1" x14ac:dyDescent="0.3">
      <c r="A38" s="23" t="s">
        <v>100</v>
      </c>
      <c r="B38" s="23" t="s">
        <v>97</v>
      </c>
      <c r="C38" s="24" t="s">
        <v>14</v>
      </c>
      <c r="D38" s="25">
        <v>22.655536082474228</v>
      </c>
      <c r="E38" s="26">
        <v>213.09693836693242</v>
      </c>
      <c r="F38" s="1350">
        <v>1</v>
      </c>
      <c r="G38" s="1116">
        <v>1000</v>
      </c>
      <c r="H38" s="26" t="s">
        <v>45</v>
      </c>
      <c r="I38" s="27">
        <v>38</v>
      </c>
      <c r="J38" s="27">
        <f t="shared" si="24"/>
        <v>38</v>
      </c>
      <c r="K38" s="26">
        <f t="shared" si="20"/>
        <v>0.21309693836693241</v>
      </c>
      <c r="L38" s="26">
        <f t="shared" si="21"/>
        <v>2.2655536082474229E-2</v>
      </c>
      <c r="M38" s="26" t="s">
        <v>45</v>
      </c>
      <c r="N38" s="26">
        <f t="shared" si="22"/>
        <v>8.0976836579434313</v>
      </c>
      <c r="O38" s="26">
        <f t="shared" si="23"/>
        <v>0.86091037113402069</v>
      </c>
      <c r="AJ38" s="839">
        <v>3</v>
      </c>
      <c r="AK38" s="839" t="s">
        <v>758</v>
      </c>
      <c r="AL38" s="839">
        <f>AS62</f>
        <v>33550</v>
      </c>
      <c r="AM38" s="839">
        <v>0</v>
      </c>
      <c r="AN38" s="839">
        <f>AR62</f>
        <v>234</v>
      </c>
      <c r="AQ38" s="841" t="s">
        <v>614</v>
      </c>
      <c r="AR38" s="841">
        <v>184</v>
      </c>
      <c r="AS38" s="841">
        <v>27150</v>
      </c>
      <c r="AU38" s="845" t="s">
        <v>663</v>
      </c>
      <c r="AV38" s="845">
        <v>313</v>
      </c>
      <c r="AW38" s="845">
        <v>45840</v>
      </c>
    </row>
    <row r="39" spans="1:49" ht="14.25" customHeight="1" x14ac:dyDescent="0.3">
      <c r="A39" s="23" t="s">
        <v>132</v>
      </c>
      <c r="B39" s="23" t="s">
        <v>97</v>
      </c>
      <c r="C39" s="24" t="s">
        <v>14</v>
      </c>
      <c r="D39" s="25">
        <v>0</v>
      </c>
      <c r="E39" s="26">
        <v>66.330228365384613</v>
      </c>
      <c r="F39" s="1350">
        <v>1</v>
      </c>
      <c r="G39" s="1116">
        <v>1000</v>
      </c>
      <c r="H39" s="26" t="s">
        <v>45</v>
      </c>
      <c r="I39" s="27">
        <v>107</v>
      </c>
      <c r="J39" s="27">
        <f t="shared" si="24"/>
        <v>107</v>
      </c>
      <c r="K39" s="26">
        <f t="shared" si="20"/>
        <v>6.6330228365384616E-2</v>
      </c>
      <c r="L39" s="26">
        <f t="shared" si="21"/>
        <v>0</v>
      </c>
      <c r="M39" s="26" t="s">
        <v>45</v>
      </c>
      <c r="N39" s="26">
        <f t="shared" si="22"/>
        <v>7.0973344350961538</v>
      </c>
      <c r="O39" s="26">
        <f t="shared" si="23"/>
        <v>0</v>
      </c>
      <c r="AJ39" s="839">
        <v>3</v>
      </c>
      <c r="AK39" s="839" t="s">
        <v>79</v>
      </c>
      <c r="AL39" s="839">
        <f>AS63</f>
        <v>16570</v>
      </c>
      <c r="AM39" s="839">
        <v>1000</v>
      </c>
      <c r="AN39" s="839">
        <f>AR63</f>
        <v>113</v>
      </c>
      <c r="AO39" s="1136"/>
      <c r="AQ39" s="841" t="s">
        <v>603</v>
      </c>
      <c r="AR39" s="841">
        <v>27</v>
      </c>
      <c r="AS39" s="841">
        <v>4050</v>
      </c>
      <c r="AU39" s="845" t="s">
        <v>603</v>
      </c>
      <c r="AV39" s="845">
        <v>32</v>
      </c>
      <c r="AW39" s="845">
        <v>4800</v>
      </c>
    </row>
    <row r="40" spans="1:49" ht="14.25" customHeight="1" x14ac:dyDescent="0.3">
      <c r="A40" s="23" t="s">
        <v>130</v>
      </c>
      <c r="B40" s="23" t="s">
        <v>97</v>
      </c>
      <c r="C40" s="24" t="s">
        <v>14</v>
      </c>
      <c r="D40" s="25">
        <v>28.484080082474229</v>
      </c>
      <c r="E40" s="26">
        <v>548.87292096342367</v>
      </c>
      <c r="F40" s="1350">
        <v>1</v>
      </c>
      <c r="G40" s="1116">
        <v>1000</v>
      </c>
      <c r="H40" s="26" t="s">
        <v>45</v>
      </c>
      <c r="I40" s="27">
        <v>125</v>
      </c>
      <c r="J40" s="27">
        <f t="shared" si="24"/>
        <v>125</v>
      </c>
      <c r="K40" s="26">
        <f t="shared" si="20"/>
        <v>0.54887292096342366</v>
      </c>
      <c r="L40" s="26">
        <f t="shared" si="21"/>
        <v>2.8484080082474227E-2</v>
      </c>
      <c r="M40" s="26" t="s">
        <v>45</v>
      </c>
      <c r="N40" s="26">
        <f t="shared" si="22"/>
        <v>68.609115120427958</v>
      </c>
      <c r="O40" s="26">
        <f t="shared" si="23"/>
        <v>3.5605100103092786</v>
      </c>
      <c r="AJ40" s="839">
        <v>3</v>
      </c>
      <c r="AK40" s="839" t="s">
        <v>80</v>
      </c>
      <c r="AL40" s="839">
        <f>AS65</f>
        <v>18930</v>
      </c>
      <c r="AM40" s="839">
        <v>1000</v>
      </c>
      <c r="AN40" s="839">
        <f>AR65</f>
        <v>128</v>
      </c>
      <c r="AO40" s="1136"/>
      <c r="AQ40" s="841" t="s">
        <v>627</v>
      </c>
      <c r="AR40" s="841">
        <v>317</v>
      </c>
      <c r="AS40" s="841">
        <v>46770</v>
      </c>
      <c r="AU40" s="845" t="s">
        <v>664</v>
      </c>
      <c r="AV40" s="845">
        <v>175</v>
      </c>
      <c r="AW40" s="845">
        <v>26700</v>
      </c>
    </row>
    <row r="41" spans="1:49" ht="14.25" customHeight="1" x14ac:dyDescent="0.3">
      <c r="A41" s="23" t="s">
        <v>126</v>
      </c>
      <c r="B41" s="23" t="s">
        <v>97</v>
      </c>
      <c r="C41" s="24" t="s">
        <v>14</v>
      </c>
      <c r="D41" s="25">
        <v>230.08553756666666</v>
      </c>
      <c r="E41" s="26">
        <v>810.16942831125357</v>
      </c>
      <c r="F41" s="1350">
        <v>1</v>
      </c>
      <c r="G41" s="1116">
        <v>1000</v>
      </c>
      <c r="H41" s="26" t="s">
        <v>45</v>
      </c>
      <c r="I41" s="27">
        <v>14</v>
      </c>
      <c r="J41" s="27">
        <f t="shared" si="24"/>
        <v>14</v>
      </c>
      <c r="K41" s="26">
        <f t="shared" si="20"/>
        <v>0.8101694283112536</v>
      </c>
      <c r="L41" s="26">
        <f t="shared" si="21"/>
        <v>0.23008553756666666</v>
      </c>
      <c r="M41" s="26" t="s">
        <v>45</v>
      </c>
      <c r="N41" s="26">
        <f t="shared" si="22"/>
        <v>11.342371996357551</v>
      </c>
      <c r="O41" s="26">
        <f t="shared" si="23"/>
        <v>3.2211975259333334</v>
      </c>
      <c r="AJ41" s="839">
        <v>3</v>
      </c>
      <c r="AK41" s="839" t="s">
        <v>81</v>
      </c>
      <c r="AL41" s="839">
        <f>AS68</f>
        <v>488</v>
      </c>
      <c r="AM41" s="839">
        <v>5</v>
      </c>
      <c r="AN41" s="839">
        <f>AR68</f>
        <v>488</v>
      </c>
      <c r="AQ41" s="841" t="s">
        <v>605</v>
      </c>
      <c r="AR41" s="841">
        <v>317</v>
      </c>
      <c r="AS41" s="841">
        <v>46770</v>
      </c>
      <c r="AU41" s="845" t="s">
        <v>665</v>
      </c>
      <c r="AV41" s="845">
        <v>158</v>
      </c>
      <c r="AW41" s="845">
        <v>24150</v>
      </c>
    </row>
    <row r="42" spans="1:49" ht="14.25" customHeight="1" x14ac:dyDescent="0.3">
      <c r="A42" s="23" t="s">
        <v>124</v>
      </c>
      <c r="B42" s="23" t="s">
        <v>97</v>
      </c>
      <c r="C42" s="24" t="s">
        <v>14</v>
      </c>
      <c r="D42" s="25">
        <v>22.655536082474228</v>
      </c>
      <c r="E42" s="26">
        <v>124.74172096776439</v>
      </c>
      <c r="F42" s="1350">
        <v>1</v>
      </c>
      <c r="G42" s="1116">
        <v>1000</v>
      </c>
      <c r="H42" s="26" t="s">
        <v>45</v>
      </c>
      <c r="I42" s="27">
        <v>15</v>
      </c>
      <c r="J42" s="27">
        <f t="shared" si="24"/>
        <v>15</v>
      </c>
      <c r="K42" s="26">
        <f t="shared" si="20"/>
        <v>0.1247417209677644</v>
      </c>
      <c r="L42" s="26">
        <f t="shared" si="21"/>
        <v>2.2655536082474229E-2</v>
      </c>
      <c r="M42" s="26" t="s">
        <v>45</v>
      </c>
      <c r="N42" s="26">
        <f t="shared" si="22"/>
        <v>1.871125814516466</v>
      </c>
      <c r="O42" s="26">
        <f t="shared" si="23"/>
        <v>0.33983304123711344</v>
      </c>
      <c r="AJ42" s="839">
        <v>3</v>
      </c>
      <c r="AK42" s="839" t="s">
        <v>84</v>
      </c>
      <c r="AL42" s="839">
        <f>AS67+AS44</f>
        <v>176</v>
      </c>
      <c r="AM42" s="839">
        <v>5</v>
      </c>
      <c r="AN42" s="839">
        <f>AR67+AR44</f>
        <v>176</v>
      </c>
      <c r="AQ42" s="841" t="s">
        <v>628</v>
      </c>
      <c r="AR42" s="841">
        <v>270</v>
      </c>
      <c r="AS42" s="841">
        <v>270</v>
      </c>
      <c r="AU42" s="845" t="s">
        <v>603</v>
      </c>
      <c r="AV42" s="845">
        <v>17</v>
      </c>
      <c r="AW42" s="845">
        <v>2550</v>
      </c>
    </row>
    <row r="43" spans="1:49" ht="14.25" customHeight="1" x14ac:dyDescent="0.3">
      <c r="A43" s="23" t="s">
        <v>128</v>
      </c>
      <c r="B43" s="23" t="s">
        <v>97</v>
      </c>
      <c r="C43" s="24" t="s">
        <v>14</v>
      </c>
      <c r="D43" s="25">
        <v>25.569808082474228</v>
      </c>
      <c r="E43" s="26">
        <v>249.56271453945163</v>
      </c>
      <c r="F43" s="1350">
        <v>1</v>
      </c>
      <c r="G43" s="1116">
        <v>1000</v>
      </c>
      <c r="H43" s="26" t="s">
        <v>45</v>
      </c>
      <c r="I43" s="27">
        <v>37</v>
      </c>
      <c r="J43" s="27">
        <f t="shared" si="24"/>
        <v>37</v>
      </c>
      <c r="K43" s="26">
        <f t="shared" si="20"/>
        <v>0.24956271453945164</v>
      </c>
      <c r="L43" s="26">
        <f t="shared" si="21"/>
        <v>2.5569808082474228E-2</v>
      </c>
      <c r="M43" s="26" t="s">
        <v>45</v>
      </c>
      <c r="N43" s="26">
        <f t="shared" si="22"/>
        <v>9.2338204379597109</v>
      </c>
      <c r="O43" s="26">
        <f t="shared" si="23"/>
        <v>0.94608289905154641</v>
      </c>
      <c r="AJ43" s="839">
        <v>3</v>
      </c>
      <c r="AK43" s="839" t="s">
        <v>86</v>
      </c>
      <c r="AL43" s="839">
        <f>AS58</f>
        <v>51810</v>
      </c>
      <c r="AM43" s="839">
        <v>0</v>
      </c>
      <c r="AN43" s="839">
        <f>AR58</f>
        <v>350</v>
      </c>
      <c r="AU43" s="845" t="s">
        <v>666</v>
      </c>
      <c r="AV43" s="845">
        <v>127</v>
      </c>
      <c r="AW43" s="845">
        <v>18320</v>
      </c>
    </row>
    <row r="44" spans="1:49" ht="14.25" customHeight="1" x14ac:dyDescent="0.3">
      <c r="A44" s="23" t="s">
        <v>110</v>
      </c>
      <c r="B44" s="23" t="s">
        <v>97</v>
      </c>
      <c r="C44" s="24" t="s">
        <v>14</v>
      </c>
      <c r="D44" s="25">
        <v>805.47097150565151</v>
      </c>
      <c r="E44" s="26">
        <v>4611.8887401018965</v>
      </c>
      <c r="F44" s="1350">
        <v>1</v>
      </c>
      <c r="G44" s="1116">
        <v>1000</v>
      </c>
      <c r="H44" s="26" t="s">
        <v>45</v>
      </c>
      <c r="I44" s="27">
        <v>8</v>
      </c>
      <c r="J44" s="27">
        <f t="shared" si="24"/>
        <v>8</v>
      </c>
      <c r="K44" s="26">
        <f t="shared" si="20"/>
        <v>4.6118887401018966</v>
      </c>
      <c r="L44" s="26">
        <f t="shared" si="21"/>
        <v>0.8054709715056515</v>
      </c>
      <c r="M44" s="26" t="s">
        <v>45</v>
      </c>
      <c r="N44" s="26">
        <f t="shared" si="22"/>
        <v>36.895109920815173</v>
      </c>
      <c r="O44" s="26">
        <f t="shared" si="23"/>
        <v>6.443767772045212</v>
      </c>
      <c r="AJ44" s="839">
        <v>3</v>
      </c>
      <c r="AK44" s="839" t="s">
        <v>89</v>
      </c>
      <c r="AL44" s="839">
        <f>AS47</f>
        <v>31250</v>
      </c>
      <c r="AM44" s="839">
        <v>0</v>
      </c>
      <c r="AN44" s="839">
        <f>AR47</f>
        <v>205</v>
      </c>
      <c r="AQ44" s="839" t="s">
        <v>629</v>
      </c>
      <c r="AR44" s="839">
        <v>87</v>
      </c>
      <c r="AS44" s="839">
        <v>87</v>
      </c>
      <c r="AU44" s="845" t="s">
        <v>614</v>
      </c>
      <c r="AV44" s="845">
        <v>111</v>
      </c>
      <c r="AW44" s="845">
        <v>15920</v>
      </c>
    </row>
    <row r="45" spans="1:49" ht="14.25" customHeight="1" x14ac:dyDescent="0.3">
      <c r="A45" s="23" t="s">
        <v>108</v>
      </c>
      <c r="B45" s="23" t="s">
        <v>97</v>
      </c>
      <c r="C45" s="24" t="s">
        <v>14</v>
      </c>
      <c r="D45" s="25">
        <v>920.70385338287929</v>
      </c>
      <c r="E45" s="26">
        <v>5393.8862191707494</v>
      </c>
      <c r="F45" s="1350">
        <v>1</v>
      </c>
      <c r="G45" s="1116">
        <v>1000</v>
      </c>
      <c r="H45" s="26" t="s">
        <v>45</v>
      </c>
      <c r="I45" s="27">
        <v>15</v>
      </c>
      <c r="J45" s="27">
        <f t="shared" si="24"/>
        <v>15</v>
      </c>
      <c r="K45" s="26">
        <f t="shared" si="20"/>
        <v>5.3938862191707493</v>
      </c>
      <c r="L45" s="26">
        <f t="shared" si="21"/>
        <v>0.9207038533828793</v>
      </c>
      <c r="M45" s="26" t="s">
        <v>45</v>
      </c>
      <c r="N45" s="26">
        <f t="shared" si="22"/>
        <v>80.908293287561236</v>
      </c>
      <c r="O45" s="26">
        <f t="shared" si="23"/>
        <v>13.81055780074319</v>
      </c>
      <c r="AJ45" s="839">
        <v>3</v>
      </c>
      <c r="AK45" s="839" t="s">
        <v>92</v>
      </c>
      <c r="AL45" s="839">
        <f>AS46+AS52+AS54+AS57</f>
        <v>13650</v>
      </c>
      <c r="AM45" s="839">
        <v>0</v>
      </c>
      <c r="AN45" s="839">
        <f>AR46+AR52+AR54+AR57</f>
        <v>91</v>
      </c>
      <c r="AQ45" s="839" t="s">
        <v>630</v>
      </c>
      <c r="AR45" s="839">
        <v>237</v>
      </c>
      <c r="AS45" s="839">
        <v>36050</v>
      </c>
      <c r="AU45" s="845" t="s">
        <v>603</v>
      </c>
      <c r="AV45" s="845">
        <v>16</v>
      </c>
      <c r="AW45" s="845">
        <v>2400</v>
      </c>
    </row>
    <row r="46" spans="1:49" ht="14.25" customHeight="1" x14ac:dyDescent="0.3">
      <c r="A46" s="23" t="s">
        <v>106</v>
      </c>
      <c r="B46" s="23" t="s">
        <v>97</v>
      </c>
      <c r="C46" s="24" t="s">
        <v>14</v>
      </c>
      <c r="D46" s="25">
        <v>22.655536082474228</v>
      </c>
      <c r="E46" s="26">
        <v>280.18811286912205</v>
      </c>
      <c r="F46" s="1350">
        <v>1</v>
      </c>
      <c r="G46" s="1116">
        <v>1000</v>
      </c>
      <c r="H46" s="26" t="s">
        <v>45</v>
      </c>
      <c r="I46" s="27">
        <v>19</v>
      </c>
      <c r="J46" s="27">
        <f t="shared" si="24"/>
        <v>19</v>
      </c>
      <c r="K46" s="26">
        <f t="shared" si="20"/>
        <v>0.28018811286912204</v>
      </c>
      <c r="L46" s="26">
        <f t="shared" si="21"/>
        <v>2.2655536082474229E-2</v>
      </c>
      <c r="M46" s="26" t="s">
        <v>45</v>
      </c>
      <c r="N46" s="26">
        <f t="shared" si="22"/>
        <v>5.3235741445133185</v>
      </c>
      <c r="O46" s="26">
        <f t="shared" si="23"/>
        <v>0.43045518556701035</v>
      </c>
      <c r="AJ46" s="843">
        <v>4</v>
      </c>
      <c r="AK46" s="843" t="s">
        <v>94</v>
      </c>
      <c r="AL46" s="843">
        <f>AW4</f>
        <v>37510</v>
      </c>
      <c r="AM46" s="843">
        <v>500</v>
      </c>
      <c r="AN46" s="843">
        <f>AV4</f>
        <v>253</v>
      </c>
      <c r="AO46" s="1136"/>
      <c r="AQ46" s="839" t="s">
        <v>603</v>
      </c>
      <c r="AR46" s="839">
        <v>32</v>
      </c>
      <c r="AS46" s="839">
        <v>4800</v>
      </c>
      <c r="AU46" s="845" t="s">
        <v>667</v>
      </c>
      <c r="AV46" s="845">
        <v>452</v>
      </c>
      <c r="AW46" s="845">
        <v>141600</v>
      </c>
    </row>
    <row r="47" spans="1:49" ht="14.25" customHeight="1" x14ac:dyDescent="0.3">
      <c r="A47" s="23" t="s">
        <v>112</v>
      </c>
      <c r="B47" s="23" t="s">
        <v>97</v>
      </c>
      <c r="C47" s="24" t="s">
        <v>14</v>
      </c>
      <c r="D47" s="25">
        <v>157.91993720565156</v>
      </c>
      <c r="E47" s="26">
        <v>854.13587586654182</v>
      </c>
      <c r="F47" s="1350">
        <v>1</v>
      </c>
      <c r="G47" s="1116">
        <v>1000</v>
      </c>
      <c r="H47" s="26" t="s">
        <v>45</v>
      </c>
      <c r="I47" s="27">
        <v>26.5</v>
      </c>
      <c r="J47" s="27">
        <f t="shared" si="24"/>
        <v>26.5</v>
      </c>
      <c r="K47" s="26">
        <f t="shared" si="20"/>
        <v>0.85413587586654183</v>
      </c>
      <c r="L47" s="26">
        <f t="shared" si="21"/>
        <v>0.15791993720565156</v>
      </c>
      <c r="M47" s="26" t="s">
        <v>45</v>
      </c>
      <c r="N47" s="26">
        <f t="shared" si="22"/>
        <v>22.63460071046336</v>
      </c>
      <c r="O47" s="26">
        <f t="shared" si="23"/>
        <v>4.1848783359497661</v>
      </c>
      <c r="AH47" s="28"/>
      <c r="AJ47" s="843">
        <v>4</v>
      </c>
      <c r="AK47" s="843" t="s">
        <v>95</v>
      </c>
      <c r="AL47" s="843">
        <f>AW4</f>
        <v>37510</v>
      </c>
      <c r="AM47" s="843">
        <v>500</v>
      </c>
      <c r="AN47" s="843">
        <f>AV4</f>
        <v>253</v>
      </c>
      <c r="AO47" s="1136"/>
      <c r="AQ47" s="839" t="s">
        <v>631</v>
      </c>
      <c r="AR47" s="839">
        <v>205</v>
      </c>
      <c r="AS47" s="839">
        <v>31250</v>
      </c>
      <c r="AU47" s="845" t="s">
        <v>668</v>
      </c>
      <c r="AV47" s="845">
        <v>119</v>
      </c>
      <c r="AW47" s="845">
        <v>17130</v>
      </c>
    </row>
    <row r="48" spans="1:49" ht="16.25" customHeight="1" x14ac:dyDescent="0.3">
      <c r="A48" s="23" t="s">
        <v>136</v>
      </c>
      <c r="B48" s="23" t="s">
        <v>97</v>
      </c>
      <c r="C48" s="24" t="s">
        <v>14</v>
      </c>
      <c r="D48" s="25">
        <v>0</v>
      </c>
      <c r="E48" s="26">
        <v>37.052631578947391</v>
      </c>
      <c r="F48" s="1350">
        <v>1</v>
      </c>
      <c r="G48" s="1116">
        <v>1000</v>
      </c>
      <c r="H48" s="26" t="s">
        <v>45</v>
      </c>
      <c r="I48" s="27">
        <v>10</v>
      </c>
      <c r="J48" s="27">
        <f t="shared" si="24"/>
        <v>10</v>
      </c>
      <c r="K48" s="26">
        <f t="shared" si="20"/>
        <v>3.7052631578947393E-2</v>
      </c>
      <c r="L48" s="26">
        <f t="shared" si="21"/>
        <v>0</v>
      </c>
      <c r="M48" s="26" t="s">
        <v>45</v>
      </c>
      <c r="N48" s="26">
        <f t="shared" si="22"/>
        <v>0.37052631578947393</v>
      </c>
      <c r="O48" s="26">
        <f t="shared" si="23"/>
        <v>0</v>
      </c>
      <c r="AH48" s="28"/>
      <c r="AJ48" s="843">
        <v>4</v>
      </c>
      <c r="AK48" s="843" t="s">
        <v>99</v>
      </c>
      <c r="AL48" s="843">
        <f>AW7</f>
        <v>21890</v>
      </c>
      <c r="AM48" s="843">
        <v>0</v>
      </c>
      <c r="AN48" s="843">
        <f>AV7</f>
        <v>147</v>
      </c>
      <c r="AO48" s="1137"/>
      <c r="AQ48" s="839" t="s">
        <v>632</v>
      </c>
      <c r="AR48" s="839">
        <v>162</v>
      </c>
      <c r="AS48" s="839">
        <v>24410</v>
      </c>
      <c r="AU48" s="845" t="s">
        <v>602</v>
      </c>
      <c r="AV48" s="845">
        <v>119</v>
      </c>
      <c r="AW48" s="845">
        <v>17130</v>
      </c>
    </row>
    <row r="49" spans="1:49" ht="14.25" customHeight="1" x14ac:dyDescent="0.3">
      <c r="A49" s="23" t="s">
        <v>154</v>
      </c>
      <c r="B49" s="23" t="s">
        <v>97</v>
      </c>
      <c r="C49" s="24" t="s">
        <v>14</v>
      </c>
      <c r="D49" s="25">
        <v>0</v>
      </c>
      <c r="E49" s="26">
        <v>321.04238618524363</v>
      </c>
      <c r="F49" s="1350">
        <v>1</v>
      </c>
      <c r="G49" s="1116">
        <v>1000</v>
      </c>
      <c r="H49" s="26" t="s">
        <v>45</v>
      </c>
      <c r="I49" s="27">
        <v>10</v>
      </c>
      <c r="J49" s="27">
        <f t="shared" si="24"/>
        <v>10</v>
      </c>
      <c r="K49" s="26">
        <f t="shared" si="20"/>
        <v>0.32104238618524361</v>
      </c>
      <c r="L49" s="26">
        <f t="shared" si="21"/>
        <v>0</v>
      </c>
      <c r="M49" s="26" t="s">
        <v>45</v>
      </c>
      <c r="N49" s="26">
        <f t="shared" si="22"/>
        <v>3.2104238618524361</v>
      </c>
      <c r="O49" s="26">
        <f t="shared" si="23"/>
        <v>0</v>
      </c>
      <c r="AH49" s="28"/>
      <c r="AJ49" s="843">
        <v>4</v>
      </c>
      <c r="AK49" s="843" t="s">
        <v>101</v>
      </c>
      <c r="AL49" s="843">
        <f>AW10</f>
        <v>30860</v>
      </c>
      <c r="AM49" s="843">
        <v>0</v>
      </c>
      <c r="AN49" s="843">
        <f>AV10</f>
        <v>210</v>
      </c>
      <c r="AQ49" s="839" t="s">
        <v>605</v>
      </c>
      <c r="AR49" s="839">
        <v>162</v>
      </c>
      <c r="AS49" s="839">
        <v>24410</v>
      </c>
      <c r="AU49" s="845" t="s">
        <v>669</v>
      </c>
      <c r="AV49" s="845">
        <v>183</v>
      </c>
      <c r="AW49" s="845">
        <v>27480</v>
      </c>
    </row>
    <row r="50" spans="1:49" ht="14.25" customHeight="1" x14ac:dyDescent="0.3">
      <c r="A50" s="23" t="s">
        <v>146</v>
      </c>
      <c r="B50" s="23" t="s">
        <v>97</v>
      </c>
      <c r="C50" s="24" t="s">
        <v>14</v>
      </c>
      <c r="D50" s="25">
        <v>0</v>
      </c>
      <c r="E50" s="26">
        <v>20.645424836601308</v>
      </c>
      <c r="F50" s="1350">
        <v>1</v>
      </c>
      <c r="G50" s="1116">
        <v>34</v>
      </c>
      <c r="H50" s="26" t="s">
        <v>147</v>
      </c>
      <c r="I50" s="27">
        <v>8.5</v>
      </c>
      <c r="J50" s="27">
        <f t="shared" si="24"/>
        <v>249.99999999999997</v>
      </c>
      <c r="K50" s="26">
        <f t="shared" si="20"/>
        <v>0.60721837754709729</v>
      </c>
      <c r="L50" s="26">
        <f t="shared" si="21"/>
        <v>0</v>
      </c>
      <c r="M50" s="26" t="s">
        <v>147</v>
      </c>
      <c r="N50" s="26">
        <f t="shared" si="22"/>
        <v>5.1613562091503269</v>
      </c>
      <c r="O50" s="26">
        <f t="shared" si="23"/>
        <v>0</v>
      </c>
      <c r="AH50" s="29"/>
      <c r="AJ50" s="843">
        <v>4</v>
      </c>
      <c r="AK50" s="843" t="s">
        <v>103</v>
      </c>
      <c r="AL50" s="843">
        <f>AW11</f>
        <v>30860</v>
      </c>
      <c r="AM50" s="843">
        <v>0</v>
      </c>
      <c r="AN50" s="843">
        <f>AV10</f>
        <v>210</v>
      </c>
      <c r="AQ50" s="839" t="s">
        <v>633</v>
      </c>
      <c r="AR50" s="839">
        <v>259</v>
      </c>
      <c r="AS50" s="839">
        <v>36580</v>
      </c>
      <c r="AU50" s="845" t="s">
        <v>605</v>
      </c>
      <c r="AV50" s="845">
        <v>183</v>
      </c>
      <c r="AW50" s="845">
        <v>27480</v>
      </c>
    </row>
    <row r="51" spans="1:49" ht="14.25" customHeight="1" x14ac:dyDescent="0.3">
      <c r="A51" s="23" t="s">
        <v>141</v>
      </c>
      <c r="B51" s="23" t="s">
        <v>97</v>
      </c>
      <c r="C51" s="24" t="s">
        <v>14</v>
      </c>
      <c r="D51" s="25">
        <v>0</v>
      </c>
      <c r="E51" s="26">
        <v>1162.2559999999999</v>
      </c>
      <c r="F51" s="1350">
        <v>1</v>
      </c>
      <c r="G51" s="1116">
        <v>2400</v>
      </c>
      <c r="H51" s="26" t="s">
        <v>777</v>
      </c>
      <c r="I51" s="27">
        <v>105</v>
      </c>
      <c r="J51" s="27">
        <f t="shared" si="24"/>
        <v>43.75</v>
      </c>
      <c r="K51" s="26">
        <f t="shared" si="20"/>
        <v>0.48427333333333328</v>
      </c>
      <c r="L51" s="26">
        <f t="shared" si="21"/>
        <v>0</v>
      </c>
      <c r="M51" s="26" t="s">
        <v>142</v>
      </c>
      <c r="N51" s="26">
        <f t="shared" si="22"/>
        <v>50.848699999999994</v>
      </c>
      <c r="O51" s="26">
        <f t="shared" si="23"/>
        <v>0</v>
      </c>
      <c r="Q51" s="1"/>
      <c r="AH51" s="29"/>
      <c r="AJ51" s="843">
        <v>4</v>
      </c>
      <c r="AK51" s="843" t="s">
        <v>105</v>
      </c>
      <c r="AL51" s="843">
        <f>AW12</f>
        <v>24130</v>
      </c>
      <c r="AM51" s="843">
        <v>0</v>
      </c>
      <c r="AN51" s="843">
        <f>AV12</f>
        <v>158</v>
      </c>
      <c r="AQ51" s="839" t="s">
        <v>614</v>
      </c>
      <c r="AR51" s="839">
        <v>250</v>
      </c>
      <c r="AS51" s="839">
        <v>35230</v>
      </c>
      <c r="AU51" s="845" t="s">
        <v>670</v>
      </c>
      <c r="AV51" s="845">
        <v>62</v>
      </c>
      <c r="AW51" s="845">
        <v>62</v>
      </c>
    </row>
    <row r="52" spans="1:49" ht="14.25" customHeight="1" x14ac:dyDescent="0.3">
      <c r="A52" s="23" t="s">
        <v>119</v>
      </c>
      <c r="B52" s="23" t="s">
        <v>97</v>
      </c>
      <c r="C52" s="24" t="s">
        <v>14</v>
      </c>
      <c r="D52" s="25">
        <v>0</v>
      </c>
      <c r="E52" s="26">
        <v>369.27404352226739</v>
      </c>
      <c r="F52" s="1350">
        <v>1</v>
      </c>
      <c r="G52" s="1116">
        <v>10000</v>
      </c>
      <c r="H52" s="26" t="s">
        <v>120</v>
      </c>
      <c r="I52" s="27">
        <v>145</v>
      </c>
      <c r="J52" s="27">
        <f t="shared" si="24"/>
        <v>14.5</v>
      </c>
      <c r="K52" s="26">
        <f t="shared" si="20"/>
        <v>3.6927404352226738E-2</v>
      </c>
      <c r="L52" s="26">
        <f t="shared" si="21"/>
        <v>0</v>
      </c>
      <c r="M52" s="26" t="s">
        <v>26</v>
      </c>
      <c r="N52" s="26">
        <f t="shared" si="22"/>
        <v>5.3544736310728771</v>
      </c>
      <c r="O52" s="26">
        <f t="shared" si="23"/>
        <v>0</v>
      </c>
      <c r="Q52" s="1"/>
      <c r="AH52" s="29"/>
      <c r="AJ52" s="843">
        <v>4</v>
      </c>
      <c r="AK52" s="843" t="s">
        <v>107</v>
      </c>
      <c r="AL52" s="843">
        <f>AW15</f>
        <v>47080</v>
      </c>
      <c r="AM52" s="843">
        <v>500</v>
      </c>
      <c r="AN52" s="843">
        <f>AV15</f>
        <v>330</v>
      </c>
      <c r="AO52" s="1136"/>
      <c r="AQ52" s="839" t="s">
        <v>603</v>
      </c>
      <c r="AR52" s="839">
        <v>9</v>
      </c>
      <c r="AS52" s="839">
        <v>1350</v>
      </c>
    </row>
    <row r="53" spans="1:49" ht="14.25" customHeight="1" x14ac:dyDescent="0.3">
      <c r="A53" s="23" t="s">
        <v>789</v>
      </c>
      <c r="B53" s="23" t="s">
        <v>97</v>
      </c>
      <c r="C53" s="24" t="s">
        <v>14</v>
      </c>
      <c r="D53" s="25">
        <v>42.111983254840418</v>
      </c>
      <c r="E53" s="26">
        <v>121.4042117381366</v>
      </c>
      <c r="F53" s="1350">
        <v>1</v>
      </c>
      <c r="G53" s="1116">
        <v>50</v>
      </c>
      <c r="H53" s="26" t="s">
        <v>138</v>
      </c>
      <c r="I53" s="27">
        <v>2.6</v>
      </c>
      <c r="J53" s="27">
        <f t="shared" si="24"/>
        <v>52</v>
      </c>
      <c r="K53" s="26">
        <f t="shared" si="20"/>
        <v>2.4280842347627321</v>
      </c>
      <c r="L53" s="26">
        <f t="shared" si="21"/>
        <v>0.84223966509680837</v>
      </c>
      <c r="M53" s="26" t="s">
        <v>138</v>
      </c>
      <c r="N53" s="26">
        <f t="shared" si="22"/>
        <v>6.3130190103831039</v>
      </c>
      <c r="O53" s="26">
        <f t="shared" si="23"/>
        <v>2.1898231292517019</v>
      </c>
      <c r="Q53" s="1"/>
      <c r="AJ53" s="843">
        <v>4</v>
      </c>
      <c r="AK53" s="843" t="s">
        <v>109</v>
      </c>
      <c r="AL53" s="843">
        <f>AW17</f>
        <v>20820</v>
      </c>
      <c r="AM53" s="843">
        <v>0</v>
      </c>
      <c r="AN53" s="843">
        <f>AV17</f>
        <v>133</v>
      </c>
      <c r="AQ53" s="839" t="s">
        <v>634</v>
      </c>
      <c r="AR53" s="839">
        <v>224</v>
      </c>
      <c r="AS53" s="839">
        <v>33040</v>
      </c>
      <c r="AU53" s="846" t="s">
        <v>782</v>
      </c>
      <c r="AV53" s="846">
        <v>163</v>
      </c>
      <c r="AW53" s="846">
        <v>163</v>
      </c>
    </row>
    <row r="54" spans="1:49" ht="14.25" customHeight="1" x14ac:dyDescent="0.3">
      <c r="A54" s="23" t="s">
        <v>144</v>
      </c>
      <c r="B54" s="23" t="s">
        <v>97</v>
      </c>
      <c r="C54" s="24" t="s">
        <v>14</v>
      </c>
      <c r="D54" s="25">
        <v>805.75956555861148</v>
      </c>
      <c r="E54" s="26">
        <v>5755.7404445240145</v>
      </c>
      <c r="F54" s="1350">
        <v>1</v>
      </c>
      <c r="G54" s="1116">
        <f>20*24*12</f>
        <v>5760</v>
      </c>
      <c r="H54" s="26" t="s">
        <v>26</v>
      </c>
      <c r="I54" s="27">
        <v>88</v>
      </c>
      <c r="J54" s="27">
        <f>I54/5.76</f>
        <v>15.277777777777779</v>
      </c>
      <c r="K54" s="26">
        <f t="shared" si="20"/>
        <v>0.99926049384097471</v>
      </c>
      <c r="L54" s="26">
        <f t="shared" si="21"/>
        <v>0.1398888134650367</v>
      </c>
      <c r="M54" s="26" t="s">
        <v>26</v>
      </c>
      <c r="N54" s="26">
        <f t="shared" si="22"/>
        <v>87.93492345800577</v>
      </c>
      <c r="O54" s="26">
        <f t="shared" si="23"/>
        <v>12.310215584923229</v>
      </c>
      <c r="Q54" s="1"/>
      <c r="AJ54" s="843">
        <v>4</v>
      </c>
      <c r="AK54" s="843" t="s">
        <v>111</v>
      </c>
      <c r="AL54" s="843">
        <f>AW19</f>
        <v>52240</v>
      </c>
      <c r="AM54" s="843">
        <v>1000</v>
      </c>
      <c r="AN54" s="843">
        <f>AV19</f>
        <v>360</v>
      </c>
      <c r="AO54" s="1136"/>
      <c r="AQ54" s="839" t="s">
        <v>603</v>
      </c>
      <c r="AR54" s="839">
        <v>19</v>
      </c>
      <c r="AS54" s="839">
        <v>2850</v>
      </c>
      <c r="AU54" s="846" t="s">
        <v>698</v>
      </c>
      <c r="AV54" s="846">
        <v>87</v>
      </c>
      <c r="AW54" s="846">
        <v>87</v>
      </c>
    </row>
    <row r="55" spans="1:49" ht="14.25" customHeight="1" x14ac:dyDescent="0.3">
      <c r="A55" s="23" t="s">
        <v>151</v>
      </c>
      <c r="B55" s="23" t="s">
        <v>97</v>
      </c>
      <c r="C55" s="24" t="s">
        <v>14</v>
      </c>
      <c r="D55" s="25">
        <v>0</v>
      </c>
      <c r="E55" s="26">
        <v>249.69230769230793</v>
      </c>
      <c r="F55" s="1350">
        <v>1</v>
      </c>
      <c r="G55" s="1116">
        <v>1000</v>
      </c>
      <c r="H55" s="26" t="s">
        <v>45</v>
      </c>
      <c r="I55" s="27">
        <v>12</v>
      </c>
      <c r="J55" s="27">
        <f>I55/(G55/1000)</f>
        <v>12</v>
      </c>
      <c r="K55" s="26">
        <f t="shared" si="20"/>
        <v>0.24969230769230794</v>
      </c>
      <c r="L55" s="26">
        <f t="shared" si="21"/>
        <v>0</v>
      </c>
      <c r="M55" s="26" t="s">
        <v>45</v>
      </c>
      <c r="N55" s="26">
        <f t="shared" si="22"/>
        <v>2.9963076923076954</v>
      </c>
      <c r="O55" s="26">
        <f t="shared" si="23"/>
        <v>0</v>
      </c>
      <c r="Q55" s="1"/>
      <c r="AJ55" s="843">
        <v>4</v>
      </c>
      <c r="AK55" s="843" t="s">
        <v>113</v>
      </c>
      <c r="AL55" s="843">
        <f>AW20</f>
        <v>52240</v>
      </c>
      <c r="AM55" s="843">
        <v>500</v>
      </c>
      <c r="AN55" s="843">
        <f>AV20</f>
        <v>360</v>
      </c>
      <c r="AO55" s="1136"/>
      <c r="AQ55" s="839" t="s">
        <v>612</v>
      </c>
      <c r="AR55" s="839">
        <v>205</v>
      </c>
      <c r="AS55" s="839">
        <v>30190</v>
      </c>
      <c r="AU55" s="846" t="s">
        <v>699</v>
      </c>
      <c r="AV55" s="846">
        <v>225</v>
      </c>
      <c r="AW55" s="846">
        <v>34020</v>
      </c>
    </row>
    <row r="56" spans="1:49" ht="14.25" customHeight="1" x14ac:dyDescent="0.3">
      <c r="A56" s="23" t="s">
        <v>114</v>
      </c>
      <c r="B56" s="23" t="s">
        <v>97</v>
      </c>
      <c r="C56" s="24" t="s">
        <v>14</v>
      </c>
      <c r="D56" s="25">
        <v>248.56310878131185</v>
      </c>
      <c r="E56" s="26">
        <v>707.68005693253656</v>
      </c>
      <c r="F56" s="1350">
        <v>1</v>
      </c>
      <c r="G56" s="1116">
        <v>2724</v>
      </c>
      <c r="H56" s="26" t="s">
        <v>115</v>
      </c>
      <c r="I56" s="27">
        <v>175</v>
      </c>
      <c r="J56" s="27">
        <f>I56/(G56/1000)</f>
        <v>64.243759177679877</v>
      </c>
      <c r="K56" s="26">
        <f t="shared" si="20"/>
        <v>0.25979444087097525</v>
      </c>
      <c r="L56" s="26">
        <f t="shared" si="21"/>
        <v>9.1249305720011692E-2</v>
      </c>
      <c r="M56" s="26" t="s">
        <v>26</v>
      </c>
      <c r="N56" s="26">
        <f t="shared" si="22"/>
        <v>45.46402715242067</v>
      </c>
      <c r="O56" s="26">
        <f t="shared" si="23"/>
        <v>15.968628501002046</v>
      </c>
      <c r="Q56" s="1"/>
      <c r="AJ56" s="843">
        <v>4</v>
      </c>
      <c r="AK56" s="843" t="s">
        <v>512</v>
      </c>
      <c r="AL56" s="843">
        <f>AW21</f>
        <v>25210</v>
      </c>
      <c r="AM56" s="843">
        <v>500</v>
      </c>
      <c r="AN56" s="843">
        <f>AV21</f>
        <v>170</v>
      </c>
      <c r="AO56" s="1136"/>
      <c r="AQ56" s="839" t="s">
        <v>635</v>
      </c>
      <c r="AR56" s="839">
        <v>381</v>
      </c>
      <c r="AS56" s="839">
        <v>56460</v>
      </c>
      <c r="AU56" s="846" t="s">
        <v>603</v>
      </c>
      <c r="AV56" s="846">
        <v>33</v>
      </c>
      <c r="AW56" s="846">
        <v>4950</v>
      </c>
    </row>
    <row r="57" spans="1:49" ht="14.25" customHeight="1" x14ac:dyDescent="0.3">
      <c r="A57" s="23" t="s">
        <v>117</v>
      </c>
      <c r="B57" s="23" t="s">
        <v>97</v>
      </c>
      <c r="C57" s="24" t="s">
        <v>14</v>
      </c>
      <c r="D57" s="25">
        <v>56.851177394034565</v>
      </c>
      <c r="E57" s="26">
        <v>326.73117387374538</v>
      </c>
      <c r="F57" s="1350">
        <v>1</v>
      </c>
      <c r="G57" s="1116">
        <v>1000</v>
      </c>
      <c r="H57" s="26" t="s">
        <v>45</v>
      </c>
      <c r="I57" s="27">
        <v>20</v>
      </c>
      <c r="J57" s="27">
        <f>I57/(G57/1000)</f>
        <v>20</v>
      </c>
      <c r="K57" s="26">
        <f t="shared" si="20"/>
        <v>0.3267311738737454</v>
      </c>
      <c r="L57" s="26">
        <f t="shared" si="21"/>
        <v>5.6851177394034565E-2</v>
      </c>
      <c r="M57" s="26" t="s">
        <v>45</v>
      </c>
      <c r="N57" s="26">
        <f t="shared" si="22"/>
        <v>6.5346234774749075</v>
      </c>
      <c r="O57" s="26">
        <f t="shared" si="23"/>
        <v>1.1370235478806914</v>
      </c>
      <c r="Q57" s="1"/>
      <c r="AJ57" s="843">
        <v>4</v>
      </c>
      <c r="AK57" s="843" t="s">
        <v>116</v>
      </c>
      <c r="AL57" s="843">
        <f>AW23</f>
        <v>22280</v>
      </c>
      <c r="AM57" s="843">
        <v>500</v>
      </c>
      <c r="AN57" s="843">
        <f>AV23</f>
        <v>151</v>
      </c>
      <c r="AO57" s="1136"/>
      <c r="AQ57" s="839" t="s">
        <v>603</v>
      </c>
      <c r="AR57" s="839">
        <v>31</v>
      </c>
      <c r="AS57" s="839">
        <v>4650</v>
      </c>
      <c r="AU57" s="846" t="s">
        <v>700</v>
      </c>
      <c r="AV57" s="846">
        <v>192</v>
      </c>
      <c r="AW57" s="846">
        <v>29070</v>
      </c>
    </row>
    <row r="58" spans="1:49" ht="14.25" customHeight="1" x14ac:dyDescent="0.3">
      <c r="A58" s="23" t="s">
        <v>96</v>
      </c>
      <c r="B58" s="23" t="s">
        <v>97</v>
      </c>
      <c r="C58" s="24" t="s">
        <v>14</v>
      </c>
      <c r="D58" s="25">
        <v>2500</v>
      </c>
      <c r="E58" s="26">
        <v>11286.11499587556</v>
      </c>
      <c r="F58" s="1350">
        <v>1</v>
      </c>
      <c r="G58" s="1116">
        <v>50000</v>
      </c>
      <c r="H58" s="26" t="s">
        <v>98</v>
      </c>
      <c r="I58" s="27">
        <v>37</v>
      </c>
      <c r="J58" s="27">
        <f>I58/(G58/1000)</f>
        <v>0.74</v>
      </c>
      <c r="K58" s="26">
        <f t="shared" si="20"/>
        <v>0.22572229991751119</v>
      </c>
      <c r="L58" s="26">
        <f t="shared" si="21"/>
        <v>0.05</v>
      </c>
      <c r="M58" s="26" t="s">
        <v>45</v>
      </c>
      <c r="N58" s="26">
        <f t="shared" si="22"/>
        <v>8.3517250969479147</v>
      </c>
      <c r="O58" s="26">
        <f t="shared" si="23"/>
        <v>1.85</v>
      </c>
      <c r="P58" s="1360" t="s">
        <v>878</v>
      </c>
      <c r="AJ58" s="843">
        <v>4</v>
      </c>
      <c r="AK58" s="843" t="s">
        <v>118</v>
      </c>
      <c r="AL58" s="843">
        <f>AW24</f>
        <v>22280</v>
      </c>
      <c r="AM58" s="843">
        <v>500</v>
      </c>
      <c r="AN58" s="843">
        <f>AV24</f>
        <v>151</v>
      </c>
      <c r="AQ58" s="839" t="s">
        <v>636</v>
      </c>
      <c r="AR58" s="839">
        <v>350</v>
      </c>
      <c r="AS58" s="839">
        <v>51810</v>
      </c>
      <c r="AU58" s="846" t="s">
        <v>701</v>
      </c>
      <c r="AV58" s="846">
        <v>290</v>
      </c>
      <c r="AW58" s="846">
        <v>42650</v>
      </c>
    </row>
    <row r="59" spans="1:49" ht="14.25" customHeight="1" x14ac:dyDescent="0.3">
      <c r="A59" s="23" t="s">
        <v>134</v>
      </c>
      <c r="B59" s="23" t="s">
        <v>97</v>
      </c>
      <c r="C59" s="24" t="s">
        <v>14</v>
      </c>
      <c r="D59" s="25">
        <v>22.655536082474228</v>
      </c>
      <c r="E59" s="26">
        <v>47.292621102717163</v>
      </c>
      <c r="F59" s="1350">
        <v>1</v>
      </c>
      <c r="G59" s="1116">
        <v>1000</v>
      </c>
      <c r="H59" s="26" t="s">
        <v>45</v>
      </c>
      <c r="I59" s="27">
        <v>31.5</v>
      </c>
      <c r="J59" s="27">
        <f>I59</f>
        <v>31.5</v>
      </c>
      <c r="K59" s="26">
        <f t="shared" si="20"/>
        <v>4.7292621102717161E-2</v>
      </c>
      <c r="L59" s="26">
        <f t="shared" si="21"/>
        <v>2.2655536082474229E-2</v>
      </c>
      <c r="M59" s="26" t="s">
        <v>45</v>
      </c>
      <c r="N59" s="26">
        <f t="shared" si="22"/>
        <v>1.4897175647355905</v>
      </c>
      <c r="O59" s="26">
        <f t="shared" si="23"/>
        <v>0.7136493865979382</v>
      </c>
      <c r="AJ59" s="843">
        <v>4</v>
      </c>
      <c r="AK59" s="844" t="s">
        <v>121</v>
      </c>
      <c r="AL59" s="843">
        <f>AW25+AW3</f>
        <v>151</v>
      </c>
      <c r="AM59" s="843">
        <v>5</v>
      </c>
      <c r="AN59" s="843">
        <f>AV25+AV3</f>
        <v>151</v>
      </c>
      <c r="AQ59" s="839" t="s">
        <v>637</v>
      </c>
      <c r="AR59" s="839">
        <v>219</v>
      </c>
      <c r="AS59" s="839">
        <v>33430</v>
      </c>
      <c r="AU59" s="846" t="s">
        <v>614</v>
      </c>
      <c r="AV59" s="846">
        <v>274</v>
      </c>
      <c r="AW59" s="846">
        <v>40250</v>
      </c>
    </row>
    <row r="60" spans="1:49" ht="14.25" customHeight="1" x14ac:dyDescent="0.3">
      <c r="A60" s="23" t="s">
        <v>122</v>
      </c>
      <c r="B60" s="23" t="s">
        <v>97</v>
      </c>
      <c r="C60" s="24" t="s">
        <v>14</v>
      </c>
      <c r="D60" s="25">
        <v>0</v>
      </c>
      <c r="E60" s="26">
        <v>308.14403806719611</v>
      </c>
      <c r="F60" s="1350">
        <v>1</v>
      </c>
      <c r="G60" s="1116">
        <v>1000</v>
      </c>
      <c r="H60" s="26" t="s">
        <v>45</v>
      </c>
      <c r="I60" s="27">
        <v>15</v>
      </c>
      <c r="J60" s="27">
        <f>I60/(G60/1000)</f>
        <v>15</v>
      </c>
      <c r="K60" s="26">
        <f t="shared" si="20"/>
        <v>0.30814403806719609</v>
      </c>
      <c r="L60" s="26">
        <f t="shared" si="21"/>
        <v>0</v>
      </c>
      <c r="M60" s="26" t="s">
        <v>45</v>
      </c>
      <c r="N60" s="26">
        <f t="shared" si="22"/>
        <v>4.6221605710079414</v>
      </c>
      <c r="O60" s="26">
        <f t="shared" si="23"/>
        <v>0</v>
      </c>
      <c r="AJ60" s="843">
        <v>4</v>
      </c>
      <c r="AK60" s="844" t="s">
        <v>123</v>
      </c>
      <c r="AL60" s="843">
        <f>AW6</f>
        <v>30910</v>
      </c>
      <c r="AM60" s="843">
        <v>0</v>
      </c>
      <c r="AN60" s="843">
        <f>AV6</f>
        <v>209</v>
      </c>
      <c r="AQ60" s="839" t="s">
        <v>614</v>
      </c>
      <c r="AR60" s="839">
        <v>219</v>
      </c>
      <c r="AS60" s="839">
        <v>33430</v>
      </c>
      <c r="AU60" s="846" t="s">
        <v>603</v>
      </c>
      <c r="AV60" s="846">
        <v>16</v>
      </c>
      <c r="AW60" s="846">
        <v>2400</v>
      </c>
    </row>
    <row r="61" spans="1:49" ht="14.25" customHeight="1" x14ac:dyDescent="0.3">
      <c r="A61" s="23" t="s">
        <v>104</v>
      </c>
      <c r="B61" s="23" t="s">
        <v>97</v>
      </c>
      <c r="C61" s="24" t="s">
        <v>14</v>
      </c>
      <c r="D61" s="25">
        <v>119.66554455445547</v>
      </c>
      <c r="E61" s="26">
        <v>533.54663879127816</v>
      </c>
      <c r="F61" s="1350">
        <v>1</v>
      </c>
      <c r="G61" s="1116">
        <v>1000</v>
      </c>
      <c r="H61" s="26" t="s">
        <v>45</v>
      </c>
      <c r="I61" s="27">
        <v>47</v>
      </c>
      <c r="J61" s="27">
        <f>I61/(G61/1000)</f>
        <v>47</v>
      </c>
      <c r="K61" s="26">
        <f t="shared" si="20"/>
        <v>0.53354663879127817</v>
      </c>
      <c r="L61" s="26">
        <f t="shared" si="21"/>
        <v>0.11966554455445547</v>
      </c>
      <c r="M61" s="26" t="s">
        <v>45</v>
      </c>
      <c r="N61" s="26">
        <f t="shared" si="22"/>
        <v>25.076692023190073</v>
      </c>
      <c r="O61" s="26">
        <f t="shared" si="23"/>
        <v>5.6242805940594067</v>
      </c>
      <c r="AJ61" s="843">
        <v>4</v>
      </c>
      <c r="AK61" s="843" t="s">
        <v>125</v>
      </c>
      <c r="AL61" s="843">
        <f>AW5+AW9+AW13</f>
        <v>15300</v>
      </c>
      <c r="AM61" s="843">
        <v>0</v>
      </c>
      <c r="AN61" s="843">
        <f>AV5+AV9+AV13</f>
        <v>102</v>
      </c>
      <c r="AQ61" s="839" t="s">
        <v>638</v>
      </c>
      <c r="AR61" s="839">
        <v>234</v>
      </c>
      <c r="AS61" s="839">
        <v>33550</v>
      </c>
      <c r="AU61" s="846" t="s">
        <v>702</v>
      </c>
      <c r="AV61" s="846">
        <v>244</v>
      </c>
      <c r="AW61" s="846">
        <v>37120</v>
      </c>
    </row>
    <row r="62" spans="1:49" ht="14.25" customHeight="1" x14ac:dyDescent="0.3">
      <c r="AJ62" s="845">
        <v>5</v>
      </c>
      <c r="AK62" s="845" t="s">
        <v>127</v>
      </c>
      <c r="AL62" s="845">
        <f>AW29</f>
        <v>20230</v>
      </c>
      <c r="AM62" s="845">
        <v>1000</v>
      </c>
      <c r="AN62" s="845">
        <f>AV29</f>
        <v>139</v>
      </c>
      <c r="AO62" s="1136"/>
      <c r="AQ62" s="839" t="s">
        <v>639</v>
      </c>
      <c r="AR62" s="839">
        <v>234</v>
      </c>
      <c r="AS62" s="839">
        <v>33550</v>
      </c>
      <c r="AU62" s="846" t="s">
        <v>603</v>
      </c>
      <c r="AV62" s="846">
        <v>19</v>
      </c>
      <c r="AW62" s="846">
        <v>2850</v>
      </c>
    </row>
    <row r="63" spans="1:49" ht="14.25" customHeight="1" x14ac:dyDescent="0.3">
      <c r="A63" s="49" t="s">
        <v>222</v>
      </c>
      <c r="B63" s="49" t="s">
        <v>220</v>
      </c>
      <c r="C63" s="50" t="s">
        <v>14</v>
      </c>
      <c r="D63" s="51">
        <v>10.194991237113403</v>
      </c>
      <c r="E63" s="52">
        <v>10.194991237113403</v>
      </c>
      <c r="F63" s="53">
        <v>1</v>
      </c>
      <c r="G63" s="54">
        <v>100</v>
      </c>
      <c r="H63" s="54" t="s">
        <v>68</v>
      </c>
      <c r="I63" s="1024">
        <v>4</v>
      </c>
      <c r="J63" s="1024">
        <f>I63/0.1</f>
        <v>40</v>
      </c>
      <c r="K63" s="54">
        <f>(E63/F63)/G63</f>
        <v>0.10194991237113403</v>
      </c>
      <c r="L63" s="54">
        <f>(D63/F63)/G63</f>
        <v>0.10194991237113403</v>
      </c>
      <c r="M63" s="54" t="s">
        <v>42</v>
      </c>
      <c r="N63" s="54">
        <f>K63*I63</f>
        <v>0.40779964948453612</v>
      </c>
      <c r="O63" s="54">
        <f>L63*I63</f>
        <v>0.40779964948453612</v>
      </c>
      <c r="AJ63" s="845">
        <v>5</v>
      </c>
      <c r="AK63" s="845" t="s">
        <v>129</v>
      </c>
      <c r="AL63" s="845">
        <f>AW32</f>
        <v>54700</v>
      </c>
      <c r="AM63" s="845">
        <v>1000</v>
      </c>
      <c r="AN63" s="845">
        <f>AV32</f>
        <v>380</v>
      </c>
      <c r="AQ63" s="839" t="s">
        <v>640</v>
      </c>
      <c r="AR63" s="839">
        <v>113</v>
      </c>
      <c r="AS63" s="839">
        <v>16570</v>
      </c>
      <c r="AU63" s="846" t="s">
        <v>703</v>
      </c>
      <c r="AV63" s="846">
        <v>225</v>
      </c>
      <c r="AW63" s="846">
        <v>34270</v>
      </c>
    </row>
    <row r="64" spans="1:49" ht="14.25" customHeight="1" x14ac:dyDescent="0.3">
      <c r="A64" s="49" t="s">
        <v>224</v>
      </c>
      <c r="B64" s="49" t="s">
        <v>220</v>
      </c>
      <c r="C64" s="50" t="s">
        <v>14</v>
      </c>
      <c r="D64" s="51">
        <v>105.27995813710105</v>
      </c>
      <c r="E64" s="52">
        <v>105.27995813710105</v>
      </c>
      <c r="F64" s="53">
        <v>1</v>
      </c>
      <c r="G64" s="54">
        <v>10000</v>
      </c>
      <c r="H64" s="54" t="s">
        <v>831</v>
      </c>
      <c r="I64" s="1024">
        <v>60</v>
      </c>
      <c r="J64" s="1024">
        <f>I64/20</f>
        <v>3</v>
      </c>
      <c r="K64" s="54">
        <f>(E64/F64)/G64</f>
        <v>1.0527995813710105E-2</v>
      </c>
      <c r="L64" s="54">
        <f>(D64/F64)/G64</f>
        <v>1.0527995813710105E-2</v>
      </c>
      <c r="M64" s="54" t="s">
        <v>833</v>
      </c>
      <c r="N64" s="54">
        <f>K64*I64</f>
        <v>0.63167974882260625</v>
      </c>
      <c r="O64" s="54">
        <f>L64*I64</f>
        <v>0.63167974882260625</v>
      </c>
      <c r="AJ64" s="845">
        <v>5</v>
      </c>
      <c r="AK64" s="845" t="s">
        <v>131</v>
      </c>
      <c r="AL64" s="845">
        <f>AW40</f>
        <v>26700</v>
      </c>
      <c r="AM64" s="845">
        <v>1000</v>
      </c>
      <c r="AN64" s="845">
        <f>AV40</f>
        <v>175</v>
      </c>
      <c r="AQ64" s="839" t="s">
        <v>605</v>
      </c>
      <c r="AR64" s="839">
        <v>113</v>
      </c>
      <c r="AS64" s="839">
        <v>16570</v>
      </c>
      <c r="AU64" s="846" t="s">
        <v>704</v>
      </c>
      <c r="AV64" s="846">
        <v>160</v>
      </c>
      <c r="AW64" s="846">
        <v>23250</v>
      </c>
    </row>
    <row r="65" spans="1:49" ht="14.25" customHeight="1" x14ac:dyDescent="0.3">
      <c r="A65" s="49" t="s">
        <v>221</v>
      </c>
      <c r="B65" s="49" t="s">
        <v>220</v>
      </c>
      <c r="C65" s="50" t="s">
        <v>14</v>
      </c>
      <c r="D65" s="51">
        <v>74.866991627420219</v>
      </c>
      <c r="E65" s="52">
        <v>433.8854455444577</v>
      </c>
      <c r="F65" s="53">
        <v>1</v>
      </c>
      <c r="G65" s="54">
        <v>100</v>
      </c>
      <c r="H65" s="54" t="s">
        <v>796</v>
      </c>
      <c r="I65" s="1024">
        <v>3.5</v>
      </c>
      <c r="J65" s="1024">
        <f>I65/(G65/1000)</f>
        <v>35</v>
      </c>
      <c r="K65" s="54">
        <f>(E65/F65)/G65</f>
        <v>4.3388544554445767</v>
      </c>
      <c r="L65" s="54">
        <f>(D65/F65)/G65</f>
        <v>0.74866991627420221</v>
      </c>
      <c r="M65" s="54" t="s">
        <v>832</v>
      </c>
      <c r="N65" s="54">
        <f>K65*I65</f>
        <v>15.185990594056019</v>
      </c>
      <c r="O65" s="54">
        <f>L65*I65</f>
        <v>2.6203447069597079</v>
      </c>
      <c r="AJ65" s="845">
        <v>5</v>
      </c>
      <c r="AK65" s="845" t="s">
        <v>133</v>
      </c>
      <c r="AL65" s="845">
        <f>AW37</f>
        <v>50640</v>
      </c>
      <c r="AM65" s="845">
        <v>1000</v>
      </c>
      <c r="AN65" s="845">
        <f>AV37</f>
        <v>345</v>
      </c>
      <c r="AO65" s="1136"/>
      <c r="AQ65" s="839" t="s">
        <v>617</v>
      </c>
      <c r="AR65" s="839">
        <v>128</v>
      </c>
      <c r="AS65" s="839">
        <v>18930</v>
      </c>
      <c r="AU65" s="846" t="s">
        <v>603</v>
      </c>
      <c r="AV65" s="846">
        <v>23</v>
      </c>
      <c r="AW65" s="846">
        <v>3450</v>
      </c>
    </row>
    <row r="66" spans="1:49" ht="14.25" customHeight="1" x14ac:dyDescent="0.3">
      <c r="A66" s="49" t="s">
        <v>223</v>
      </c>
      <c r="B66" s="49" t="s">
        <v>220</v>
      </c>
      <c r="C66" s="50" t="s">
        <v>14</v>
      </c>
      <c r="D66" s="51">
        <v>0</v>
      </c>
      <c r="E66" s="52">
        <v>347.45824742268042</v>
      </c>
      <c r="F66" s="53">
        <v>1</v>
      </c>
      <c r="G66" s="54">
        <v>1000</v>
      </c>
      <c r="H66" s="54" t="s">
        <v>45</v>
      </c>
      <c r="I66" s="1024">
        <v>5</v>
      </c>
      <c r="J66" s="1024">
        <f>I66/1</f>
        <v>5</v>
      </c>
      <c r="K66" s="54">
        <f>(E66/F66)/G66</f>
        <v>0.34745824742268039</v>
      </c>
      <c r="L66" s="54">
        <f>(D66/F66)/G66</f>
        <v>0</v>
      </c>
      <c r="M66" s="54" t="s">
        <v>45</v>
      </c>
      <c r="N66" s="54">
        <f>K66*I66</f>
        <v>1.7372912371134019</v>
      </c>
      <c r="O66" s="54">
        <f>L66*I66</f>
        <v>0</v>
      </c>
      <c r="AJ66" s="845">
        <v>5</v>
      </c>
      <c r="AK66" s="845" t="s">
        <v>135</v>
      </c>
      <c r="AL66" s="845">
        <f>AW43</f>
        <v>18320</v>
      </c>
      <c r="AM66" s="845">
        <v>1000</v>
      </c>
      <c r="AN66" s="845">
        <f>AV43</f>
        <v>127</v>
      </c>
      <c r="AQ66" s="839" t="s">
        <v>605</v>
      </c>
      <c r="AR66" s="839">
        <v>128</v>
      </c>
      <c r="AS66" s="839">
        <v>18930</v>
      </c>
      <c r="AU66" s="846" t="s">
        <v>705</v>
      </c>
      <c r="AV66" s="846">
        <v>137</v>
      </c>
      <c r="AW66" s="846">
        <v>19800</v>
      </c>
    </row>
    <row r="67" spans="1:49" ht="14.25" customHeight="1" x14ac:dyDescent="0.3">
      <c r="A67" s="49" t="s">
        <v>815</v>
      </c>
      <c r="B67" s="49" t="s">
        <v>220</v>
      </c>
      <c r="C67" s="50" t="s">
        <v>14</v>
      </c>
      <c r="D67" s="51">
        <v>113.8484908345623</v>
      </c>
      <c r="E67" s="52">
        <v>557.3086875226486</v>
      </c>
      <c r="F67" s="53">
        <v>1</v>
      </c>
      <c r="G67" s="54">
        <v>100</v>
      </c>
      <c r="H67" s="54" t="s">
        <v>796</v>
      </c>
      <c r="I67" s="1024">
        <v>2.25</v>
      </c>
      <c r="J67" s="1024">
        <f>I67/(G67/1000)</f>
        <v>22.5</v>
      </c>
      <c r="K67" s="54">
        <f>(E67/F67)/G67</f>
        <v>5.5730868752264859</v>
      </c>
      <c r="L67" s="54">
        <f>(D67/F67)/G67</f>
        <v>1.138484908345623</v>
      </c>
      <c r="M67" s="54" t="s">
        <v>832</v>
      </c>
      <c r="N67" s="54">
        <f>K67*I67</f>
        <v>12.539445469259594</v>
      </c>
      <c r="O67" s="54">
        <f>L67*I67</f>
        <v>2.5615910437776517</v>
      </c>
      <c r="AJ67" s="845">
        <v>5</v>
      </c>
      <c r="AK67" s="845" t="s">
        <v>137</v>
      </c>
      <c r="AL67" s="845">
        <f>AW35</f>
        <v>25370</v>
      </c>
      <c r="AM67" s="845">
        <v>1000</v>
      </c>
      <c r="AN67" s="845">
        <f>AV35</f>
        <v>170</v>
      </c>
      <c r="AO67" s="1136"/>
      <c r="AQ67" s="839" t="s">
        <v>641</v>
      </c>
      <c r="AR67" s="839">
        <v>89</v>
      </c>
      <c r="AS67" s="839">
        <v>89</v>
      </c>
      <c r="AU67" s="846" t="s">
        <v>706</v>
      </c>
      <c r="AV67" s="846">
        <v>417</v>
      </c>
      <c r="AW67" s="846">
        <v>59660</v>
      </c>
    </row>
    <row r="68" spans="1:49" ht="14.25" customHeight="1" x14ac:dyDescent="0.3">
      <c r="AJ68" s="845">
        <v>5</v>
      </c>
      <c r="AK68" s="845" t="s">
        <v>139</v>
      </c>
      <c r="AL68" s="845">
        <f>AW47</f>
        <v>17130</v>
      </c>
      <c r="AM68" s="845">
        <v>0</v>
      </c>
      <c r="AN68" s="845">
        <f>AV47</f>
        <v>119</v>
      </c>
      <c r="AQ68" s="839" t="s">
        <v>710</v>
      </c>
      <c r="AR68" s="839">
        <v>488</v>
      </c>
      <c r="AS68" s="839">
        <v>488</v>
      </c>
      <c r="AU68" s="846" t="s">
        <v>603</v>
      </c>
      <c r="AV68" s="846">
        <v>24</v>
      </c>
      <c r="AW68" s="846">
        <v>3600</v>
      </c>
    </row>
    <row r="69" spans="1:49" ht="14.25" customHeight="1" x14ac:dyDescent="0.3">
      <c r="A69" s="1061" t="s">
        <v>515</v>
      </c>
      <c r="B69" s="1061" t="s">
        <v>516</v>
      </c>
      <c r="C69" s="1062" t="s">
        <v>14</v>
      </c>
      <c r="D69" s="1063">
        <v>857.25</v>
      </c>
      <c r="E69" s="1064">
        <v>2998.6333333333337</v>
      </c>
      <c r="F69" s="1065">
        <v>1</v>
      </c>
      <c r="G69" s="1066">
        <f>12*400</f>
        <v>4800</v>
      </c>
      <c r="H69" s="1066" t="s">
        <v>799</v>
      </c>
      <c r="I69" s="1067">
        <v>80</v>
      </c>
      <c r="J69" s="1067">
        <f t="shared" ref="J69:J75" si="25">I69/(G69/1000)</f>
        <v>16.666666666666668</v>
      </c>
      <c r="K69" s="1066">
        <v>5.3362865497076024</v>
      </c>
      <c r="L69" s="1066">
        <v>0</v>
      </c>
      <c r="M69" s="1066" t="s">
        <v>45</v>
      </c>
      <c r="N69" s="1066">
        <v>0</v>
      </c>
      <c r="O69" s="1066">
        <v>0</v>
      </c>
      <c r="AJ69" s="845">
        <v>5</v>
      </c>
      <c r="AK69" s="845" t="s">
        <v>143</v>
      </c>
      <c r="AL69" s="845">
        <f>AW46</f>
        <v>141600</v>
      </c>
      <c r="AM69" s="845">
        <v>1000</v>
      </c>
      <c r="AN69" s="845">
        <f>AV46</f>
        <v>452</v>
      </c>
      <c r="AO69" s="1136"/>
      <c r="AU69" s="846" t="s">
        <v>610</v>
      </c>
      <c r="AV69" s="846">
        <v>393</v>
      </c>
      <c r="AW69" s="846">
        <v>56060</v>
      </c>
    </row>
    <row r="70" spans="1:49" ht="14.25" customHeight="1" x14ac:dyDescent="0.3">
      <c r="A70" s="1061" t="s">
        <v>762</v>
      </c>
      <c r="B70" s="1061" t="s">
        <v>516</v>
      </c>
      <c r="C70" s="1062" t="s">
        <v>14</v>
      </c>
      <c r="D70" s="1063">
        <v>0</v>
      </c>
      <c r="E70" s="1064">
        <v>12447.298969072166</v>
      </c>
      <c r="F70" s="1065">
        <v>1</v>
      </c>
      <c r="G70" s="1066">
        <f>20*400</f>
        <v>8000</v>
      </c>
      <c r="H70" s="1066" t="s">
        <v>25</v>
      </c>
      <c r="I70" s="1067">
        <v>33</v>
      </c>
      <c r="J70" s="1067">
        <f t="shared" si="25"/>
        <v>4.125</v>
      </c>
      <c r="K70" s="1066">
        <v>1.4916494845360828</v>
      </c>
      <c r="L70" s="1066">
        <v>0</v>
      </c>
      <c r="M70" s="1066" t="s">
        <v>26</v>
      </c>
      <c r="N70" s="1066">
        <v>49.224432989690733</v>
      </c>
      <c r="O70" s="1066">
        <v>0</v>
      </c>
      <c r="AJ70" s="845">
        <v>5</v>
      </c>
      <c r="AK70" s="845" t="s">
        <v>145</v>
      </c>
      <c r="AL70" s="845">
        <f>AW46</f>
        <v>141600</v>
      </c>
      <c r="AM70" s="845">
        <v>0</v>
      </c>
      <c r="AN70" s="845">
        <f>AV46</f>
        <v>452</v>
      </c>
      <c r="AU70" s="846" t="s">
        <v>707</v>
      </c>
      <c r="AV70" s="846">
        <v>217</v>
      </c>
      <c r="AW70" s="846">
        <v>32170</v>
      </c>
    </row>
    <row r="71" spans="1:49" ht="14.25" customHeight="1" x14ac:dyDescent="0.3">
      <c r="A71" s="1061" t="s">
        <v>763</v>
      </c>
      <c r="B71" s="1061" t="s">
        <v>516</v>
      </c>
      <c r="C71" s="1062" t="s">
        <v>14</v>
      </c>
      <c r="D71" s="1063">
        <v>0</v>
      </c>
      <c r="E71" s="1064">
        <v>11537.619433198382</v>
      </c>
      <c r="F71" s="1065">
        <v>1</v>
      </c>
      <c r="G71" s="1066">
        <f>20*400</f>
        <v>8000</v>
      </c>
      <c r="H71" s="1066" t="s">
        <v>25</v>
      </c>
      <c r="I71" s="1067">
        <v>130</v>
      </c>
      <c r="J71" s="1067">
        <f t="shared" si="25"/>
        <v>16.25</v>
      </c>
      <c r="K71" s="1066">
        <v>1.4117287449392715</v>
      </c>
      <c r="L71" s="1066">
        <v>0</v>
      </c>
      <c r="M71" s="1066" t="s">
        <v>26</v>
      </c>
      <c r="N71" s="1066">
        <v>22.940592105263161</v>
      </c>
      <c r="O71" s="1066">
        <v>0</v>
      </c>
      <c r="AJ71" s="845">
        <v>5</v>
      </c>
      <c r="AK71" s="845" t="s">
        <v>148</v>
      </c>
      <c r="AL71" s="845">
        <f>AW49</f>
        <v>27480</v>
      </c>
      <c r="AM71" s="845">
        <v>0</v>
      </c>
      <c r="AN71" s="845">
        <f>AV49</f>
        <v>183</v>
      </c>
      <c r="AU71" s="846" t="s">
        <v>614</v>
      </c>
      <c r="AV71" s="846">
        <v>217</v>
      </c>
      <c r="AW71" s="846">
        <v>32170</v>
      </c>
    </row>
    <row r="72" spans="1:49" ht="14.25" customHeight="1" x14ac:dyDescent="0.3">
      <c r="A72" s="1061" t="s">
        <v>759</v>
      </c>
      <c r="B72" s="1061" t="s">
        <v>516</v>
      </c>
      <c r="C72" s="1062" t="s">
        <v>14</v>
      </c>
      <c r="D72" s="1063">
        <v>0</v>
      </c>
      <c r="E72" s="1064">
        <v>534</v>
      </c>
      <c r="F72" s="1065">
        <v>1</v>
      </c>
      <c r="G72" s="1066">
        <v>1000</v>
      </c>
      <c r="H72" s="1066" t="s">
        <v>238</v>
      </c>
      <c r="I72" s="1067">
        <v>8</v>
      </c>
      <c r="J72" s="1067">
        <f t="shared" si="25"/>
        <v>8</v>
      </c>
      <c r="K72" s="1066">
        <v>1.4117287449392715</v>
      </c>
      <c r="L72" s="1066">
        <v>0</v>
      </c>
      <c r="M72" s="1066" t="s">
        <v>26</v>
      </c>
      <c r="N72" s="1066">
        <v>22.940592105263161</v>
      </c>
      <c r="O72" s="1066">
        <v>0</v>
      </c>
      <c r="AJ72" s="845">
        <v>5</v>
      </c>
      <c r="AK72" s="845" t="s">
        <v>150</v>
      </c>
      <c r="AL72" s="845">
        <f>AW51+AW28</f>
        <v>165</v>
      </c>
      <c r="AM72" s="845">
        <v>5</v>
      </c>
      <c r="AN72" s="845">
        <f>AV51+AV28</f>
        <v>165</v>
      </c>
      <c r="AU72" s="846" t="s">
        <v>640</v>
      </c>
      <c r="AV72" s="846">
        <v>126</v>
      </c>
      <c r="AW72" s="846">
        <v>18470</v>
      </c>
    </row>
    <row r="73" spans="1:49" ht="14.25" customHeight="1" x14ac:dyDescent="0.3">
      <c r="A73" s="1061" t="s">
        <v>564</v>
      </c>
      <c r="B73" s="1061" t="s">
        <v>516</v>
      </c>
      <c r="C73" s="1062" t="s">
        <v>14</v>
      </c>
      <c r="D73" s="1063">
        <v>0</v>
      </c>
      <c r="E73" s="1064">
        <v>1348.3920000000001</v>
      </c>
      <c r="F73" s="1065">
        <v>1</v>
      </c>
      <c r="G73" s="1066">
        <f>24*400</f>
        <v>9600</v>
      </c>
      <c r="H73" s="1066" t="s">
        <v>800</v>
      </c>
      <c r="I73" s="1067">
        <v>80</v>
      </c>
      <c r="J73" s="1067">
        <f t="shared" si="25"/>
        <v>8.3333333333333339</v>
      </c>
      <c r="K73" s="1066">
        <v>1.4117287449392715</v>
      </c>
      <c r="L73" s="1066">
        <v>0</v>
      </c>
      <c r="M73" s="1066" t="s">
        <v>26</v>
      </c>
      <c r="N73" s="1066">
        <v>22.940592105263161</v>
      </c>
      <c r="O73" s="1066">
        <v>0</v>
      </c>
      <c r="AJ73" s="845">
        <v>5</v>
      </c>
      <c r="AK73" s="845" t="s">
        <v>559</v>
      </c>
      <c r="AL73" s="845">
        <f>AW48</f>
        <v>17130</v>
      </c>
      <c r="AM73" s="845">
        <v>0</v>
      </c>
      <c r="AN73" s="845">
        <f>AV48</f>
        <v>119</v>
      </c>
      <c r="AU73" s="846" t="s">
        <v>605</v>
      </c>
      <c r="AV73" s="846">
        <v>126</v>
      </c>
      <c r="AW73" s="846">
        <v>18470</v>
      </c>
    </row>
    <row r="74" spans="1:49" ht="14.25" customHeight="1" x14ac:dyDescent="0.3">
      <c r="A74" s="1061" t="s">
        <v>563</v>
      </c>
      <c r="B74" s="1061" t="s">
        <v>516</v>
      </c>
      <c r="C74" s="1062" t="s">
        <v>14</v>
      </c>
      <c r="D74" s="1063">
        <v>1092</v>
      </c>
      <c r="E74" s="1064">
        <v>11013.81682274927</v>
      </c>
      <c r="F74" s="1065">
        <v>1</v>
      </c>
      <c r="G74" s="1066">
        <f>2125*6</f>
        <v>12750</v>
      </c>
      <c r="H74" s="1066" t="s">
        <v>226</v>
      </c>
      <c r="I74" s="1067">
        <v>130</v>
      </c>
      <c r="J74" s="1067">
        <f t="shared" si="25"/>
        <v>10.196078431372548</v>
      </c>
      <c r="K74" s="1066">
        <v>1.4117287449392715</v>
      </c>
      <c r="L74" s="1066">
        <v>0</v>
      </c>
      <c r="M74" s="1066" t="s">
        <v>26</v>
      </c>
      <c r="N74" s="1066">
        <v>22.940592105263161</v>
      </c>
      <c r="O74" s="1066">
        <v>0</v>
      </c>
      <c r="AJ74" s="845">
        <v>5</v>
      </c>
      <c r="AK74" s="845" t="s">
        <v>152</v>
      </c>
      <c r="AL74" s="845">
        <f>AW31+AW34+AW39+AW42+AW45</f>
        <v>18900</v>
      </c>
      <c r="AM74" s="845">
        <v>0</v>
      </c>
      <c r="AN74" s="845">
        <f>AV31+AV34+AV39+AV42+AV45</f>
        <v>126</v>
      </c>
      <c r="AU74" s="846" t="s">
        <v>708</v>
      </c>
      <c r="AV74" s="846">
        <v>217</v>
      </c>
      <c r="AW74" s="846">
        <v>32620</v>
      </c>
    </row>
    <row r="75" spans="1:49" ht="14.25" customHeight="1" x14ac:dyDescent="0.3">
      <c r="A75" s="1061" t="s">
        <v>227</v>
      </c>
      <c r="B75" s="1061" t="s">
        <v>516</v>
      </c>
      <c r="C75" s="1062" t="s">
        <v>14</v>
      </c>
      <c r="D75" s="1063">
        <v>0</v>
      </c>
      <c r="E75" s="1064">
        <v>7909.6389324960755</v>
      </c>
      <c r="F75" s="1065">
        <v>1</v>
      </c>
      <c r="G75" s="1066">
        <f>24*400</f>
        <v>9600</v>
      </c>
      <c r="H75" s="1066" t="s">
        <v>800</v>
      </c>
      <c r="I75" s="1067">
        <v>69</v>
      </c>
      <c r="J75" s="1067">
        <f t="shared" si="25"/>
        <v>7.1875</v>
      </c>
      <c r="K75" s="1066">
        <v>1.4117287449392715</v>
      </c>
      <c r="L75" s="1066">
        <v>0</v>
      </c>
      <c r="M75" s="1066" t="s">
        <v>26</v>
      </c>
      <c r="N75" s="1066">
        <v>22.940592105263161</v>
      </c>
      <c r="O75" s="1066">
        <v>0</v>
      </c>
      <c r="AJ75" s="845">
        <v>5</v>
      </c>
      <c r="AK75" s="845" t="s">
        <v>580</v>
      </c>
      <c r="AL75" s="845">
        <f>AW66</f>
        <v>19800</v>
      </c>
      <c r="AM75" s="845">
        <v>500</v>
      </c>
      <c r="AN75" s="845">
        <f>AV66</f>
        <v>137</v>
      </c>
      <c r="AU75" s="846" t="s">
        <v>605</v>
      </c>
      <c r="AV75" s="846">
        <v>217</v>
      </c>
      <c r="AW75" s="846">
        <v>32620</v>
      </c>
    </row>
    <row r="76" spans="1:49" ht="14.25" customHeight="1" x14ac:dyDescent="0.3">
      <c r="AJ76" s="845">
        <v>5</v>
      </c>
      <c r="AK76" s="845" t="s">
        <v>581</v>
      </c>
      <c r="AL76" s="845">
        <f>AW57</f>
        <v>29070</v>
      </c>
      <c r="AM76" s="845">
        <v>500</v>
      </c>
      <c r="AN76" s="845">
        <f>AV57</f>
        <v>192</v>
      </c>
      <c r="AU76" s="846" t="s">
        <v>709</v>
      </c>
      <c r="AV76" s="846">
        <v>95</v>
      </c>
      <c r="AW76" s="846">
        <v>95</v>
      </c>
    </row>
    <row r="77" spans="1:49" ht="14.25" customHeight="1" x14ac:dyDescent="0.3">
      <c r="A77" s="30" t="s">
        <v>182</v>
      </c>
      <c r="B77" s="30" t="s">
        <v>183</v>
      </c>
      <c r="C77" s="31" t="s">
        <v>14</v>
      </c>
      <c r="D77" s="32">
        <v>4221.1845510000003</v>
      </c>
      <c r="E77" s="33">
        <v>4465.1845510000003</v>
      </c>
      <c r="F77" s="34">
        <v>1</v>
      </c>
      <c r="G77" s="35">
        <v>1000</v>
      </c>
      <c r="H77" s="35" t="s">
        <v>45</v>
      </c>
      <c r="I77" s="1031">
        <v>39</v>
      </c>
      <c r="J77" s="1031">
        <f>I77/(G77/1000)</f>
        <v>39</v>
      </c>
      <c r="K77" s="35">
        <f>(E77/F77)/G77</f>
        <v>4.4651845510000001</v>
      </c>
      <c r="L77" s="35">
        <f>(D77/F77)/G77</f>
        <v>4.2211845510000003</v>
      </c>
      <c r="M77" s="35" t="s">
        <v>45</v>
      </c>
      <c r="N77" s="35">
        <f>K77*I77</f>
        <v>174.14219748900001</v>
      </c>
      <c r="O77" s="35">
        <f>L77*I77</f>
        <v>164.62619748900002</v>
      </c>
      <c r="AJ77" s="846">
        <v>6</v>
      </c>
      <c r="AK77" s="846" t="s">
        <v>153</v>
      </c>
      <c r="AL77" s="846">
        <f>AW55</f>
        <v>34020</v>
      </c>
      <c r="AM77" s="846">
        <v>1000</v>
      </c>
      <c r="AN77" s="846">
        <f>AV55</f>
        <v>225</v>
      </c>
    </row>
    <row r="78" spans="1:49" ht="14.25" customHeight="1" x14ac:dyDescent="0.3">
      <c r="A78" s="30" t="s">
        <v>184</v>
      </c>
      <c r="B78" s="30" t="s">
        <v>183</v>
      </c>
      <c r="C78" s="31" t="s">
        <v>14</v>
      </c>
      <c r="D78" s="32">
        <v>526.3997906855052</v>
      </c>
      <c r="E78" s="33">
        <v>1522.7603170012947</v>
      </c>
      <c r="F78" s="34">
        <v>1</v>
      </c>
      <c r="G78" s="35">
        <v>1000</v>
      </c>
      <c r="H78" s="35" t="s">
        <v>45</v>
      </c>
      <c r="I78" s="1031">
        <v>40</v>
      </c>
      <c r="J78" s="1031">
        <f>I78/(G78/1000)</f>
        <v>40</v>
      </c>
      <c r="K78" s="35">
        <f>(E78/F78)/G78</f>
        <v>1.5227603170012947</v>
      </c>
      <c r="L78" s="35">
        <f>(D78/F78)/G78</f>
        <v>0.52639979068550524</v>
      </c>
      <c r="M78" s="35" t="s">
        <v>45</v>
      </c>
      <c r="N78" s="35">
        <f>K78*I78</f>
        <v>60.910412680051785</v>
      </c>
      <c r="O78" s="35">
        <f>L78*I78</f>
        <v>21.055991627420209</v>
      </c>
      <c r="AJ78" s="846">
        <v>6</v>
      </c>
      <c r="AK78" s="846" t="s">
        <v>155</v>
      </c>
      <c r="AL78" s="846">
        <f>AW58</f>
        <v>42650</v>
      </c>
      <c r="AM78" s="846">
        <v>1000</v>
      </c>
      <c r="AN78" s="846">
        <f>AV58</f>
        <v>290</v>
      </c>
    </row>
    <row r="79" spans="1:49" ht="14.25" customHeight="1" x14ac:dyDescent="0.3">
      <c r="A79" s="30" t="s">
        <v>765</v>
      </c>
      <c r="B79" s="30" t="s">
        <v>183</v>
      </c>
      <c r="C79" s="31" t="s">
        <v>14</v>
      </c>
      <c r="D79" s="32">
        <v>234</v>
      </c>
      <c r="E79" s="33">
        <v>234</v>
      </c>
      <c r="F79" s="34">
        <v>1</v>
      </c>
      <c r="G79" s="35">
        <v>1000</v>
      </c>
      <c r="H79" s="35" t="s">
        <v>238</v>
      </c>
      <c r="I79" s="1031">
        <v>40</v>
      </c>
      <c r="J79" s="1031">
        <f>I79/(G79/1000)</f>
        <v>40</v>
      </c>
      <c r="K79" s="35">
        <f t="shared" ref="K79:K81" si="26">(E79/F79)/G79</f>
        <v>0.23400000000000001</v>
      </c>
      <c r="L79" s="35">
        <f t="shared" ref="L79:L81" si="27">(D79/F79)/G79</f>
        <v>0.23400000000000001</v>
      </c>
      <c r="M79" s="35" t="s">
        <v>45</v>
      </c>
      <c r="N79" s="35">
        <f t="shared" ref="N79:N83" si="28">K79*I79</f>
        <v>9.3600000000000012</v>
      </c>
      <c r="O79" s="35">
        <f t="shared" ref="O79:O83" si="29">L79*I79</f>
        <v>9.3600000000000012</v>
      </c>
      <c r="AJ79" s="846">
        <v>6</v>
      </c>
      <c r="AK79" s="846" t="s">
        <v>156</v>
      </c>
      <c r="AL79" s="846">
        <f>AW61</f>
        <v>37120</v>
      </c>
      <c r="AM79" s="846">
        <v>1000</v>
      </c>
      <c r="AN79" s="846">
        <f>AV61</f>
        <v>244</v>
      </c>
      <c r="AO79" s="1137"/>
    </row>
    <row r="80" spans="1:49" ht="14.25" customHeight="1" x14ac:dyDescent="0.3">
      <c r="A80" s="30" t="s">
        <v>760</v>
      </c>
      <c r="B80" s="30" t="s">
        <v>183</v>
      </c>
      <c r="C80" s="31" t="s">
        <v>14</v>
      </c>
      <c r="D80" s="32">
        <v>0</v>
      </c>
      <c r="E80" s="33">
        <v>8.64</v>
      </c>
      <c r="F80" s="34">
        <v>1</v>
      </c>
      <c r="G80" s="35">
        <v>1000</v>
      </c>
      <c r="H80" s="35" t="s">
        <v>238</v>
      </c>
      <c r="I80" s="1031">
        <v>13</v>
      </c>
      <c r="J80" s="1031">
        <f>I80/(G80/1000)</f>
        <v>13</v>
      </c>
      <c r="K80" s="35">
        <f t="shared" si="26"/>
        <v>8.6400000000000001E-3</v>
      </c>
      <c r="L80" s="35">
        <f t="shared" si="27"/>
        <v>0</v>
      </c>
      <c r="M80" s="35" t="s">
        <v>45</v>
      </c>
      <c r="N80" s="35">
        <f t="shared" si="28"/>
        <v>0.11232</v>
      </c>
      <c r="O80" s="35">
        <f t="shared" si="29"/>
        <v>0</v>
      </c>
      <c r="AJ80" s="846">
        <v>6</v>
      </c>
      <c r="AK80" s="846" t="s">
        <v>160</v>
      </c>
      <c r="AL80" s="846">
        <f>AW64</f>
        <v>23250</v>
      </c>
      <c r="AM80" s="846">
        <v>1000</v>
      </c>
      <c r="AN80" s="846">
        <f>AV64</f>
        <v>160</v>
      </c>
    </row>
    <row r="81" spans="1:41" ht="14.25" customHeight="1" x14ac:dyDescent="0.3">
      <c r="A81" s="30" t="s">
        <v>764</v>
      </c>
      <c r="B81" s="30" t="s">
        <v>183</v>
      </c>
      <c r="C81" s="31" t="s">
        <v>14</v>
      </c>
      <c r="D81" s="32">
        <v>234</v>
      </c>
      <c r="E81" s="33">
        <v>234</v>
      </c>
      <c r="F81" s="34">
        <v>1</v>
      </c>
      <c r="G81" s="35">
        <v>1000</v>
      </c>
      <c r="H81" s="35" t="s">
        <v>238</v>
      </c>
      <c r="I81" s="1031">
        <v>160</v>
      </c>
      <c r="J81" s="1031">
        <f>I81/(G81/1000)</f>
        <v>160</v>
      </c>
      <c r="K81" s="35">
        <f t="shared" si="26"/>
        <v>0.23400000000000001</v>
      </c>
      <c r="L81" s="35">
        <f t="shared" si="27"/>
        <v>0.23400000000000001</v>
      </c>
      <c r="M81" s="35" t="s">
        <v>45</v>
      </c>
      <c r="N81" s="35">
        <f t="shared" si="28"/>
        <v>37.440000000000005</v>
      </c>
      <c r="O81" s="35">
        <f t="shared" si="29"/>
        <v>37.440000000000005</v>
      </c>
      <c r="AJ81" s="846">
        <v>6</v>
      </c>
      <c r="AK81" s="846" t="s">
        <v>163</v>
      </c>
      <c r="AL81" s="846">
        <f>AW67</f>
        <v>59660</v>
      </c>
      <c r="AM81" s="846">
        <v>1000</v>
      </c>
      <c r="AN81" s="846">
        <f>AV67</f>
        <v>417</v>
      </c>
      <c r="AO81" s="1136"/>
    </row>
    <row r="82" spans="1:41" ht="14.25" customHeight="1" x14ac:dyDescent="0.3">
      <c r="A82" s="30" t="s">
        <v>190</v>
      </c>
      <c r="B82" s="30" t="s">
        <v>183</v>
      </c>
      <c r="C82" s="31" t="s">
        <v>14</v>
      </c>
      <c r="D82" s="32">
        <v>0</v>
      </c>
      <c r="E82" s="33">
        <v>1485.85</v>
      </c>
      <c r="F82" s="34">
        <v>1</v>
      </c>
      <c r="G82" s="35">
        <v>1000</v>
      </c>
      <c r="H82" s="35" t="s">
        <v>45</v>
      </c>
      <c r="I82" s="1031">
        <v>17.5</v>
      </c>
      <c r="J82" s="1031">
        <f>I82</f>
        <v>17.5</v>
      </c>
      <c r="K82" s="35">
        <f>(E82/F82)/G82</f>
        <v>1.4858499999999999</v>
      </c>
      <c r="L82" s="35">
        <f>(D82/F82)/G82</f>
        <v>0</v>
      </c>
      <c r="M82" s="35" t="s">
        <v>45</v>
      </c>
      <c r="N82" s="35">
        <f>K82*I82</f>
        <v>26.002374999999997</v>
      </c>
      <c r="O82" s="35">
        <f>L82*I82</f>
        <v>0</v>
      </c>
      <c r="AJ82" s="846">
        <v>6</v>
      </c>
      <c r="AK82" s="846" t="s">
        <v>167</v>
      </c>
      <c r="AL82" s="846">
        <f>AW70</f>
        <v>32170</v>
      </c>
      <c r="AM82" s="846">
        <v>1000</v>
      </c>
      <c r="AN82" s="846">
        <f>AV70</f>
        <v>217</v>
      </c>
    </row>
    <row r="83" spans="1:41" ht="14.25" customHeight="1" x14ac:dyDescent="0.3">
      <c r="A83" s="1032" t="s">
        <v>597</v>
      </c>
      <c r="B83" s="1033" t="s">
        <v>183</v>
      </c>
      <c r="C83" s="1034" t="s">
        <v>14</v>
      </c>
      <c r="D83" s="1035">
        <v>0</v>
      </c>
      <c r="E83" s="1036">
        <v>4121</v>
      </c>
      <c r="F83" s="1037">
        <v>1</v>
      </c>
      <c r="G83" s="1038"/>
      <c r="H83" s="1038"/>
      <c r="I83" s="1039"/>
      <c r="J83" s="1039"/>
      <c r="K83" s="35"/>
      <c r="L83" s="35"/>
      <c r="M83" s="35" t="s">
        <v>45</v>
      </c>
      <c r="N83" s="35">
        <f t="shared" si="28"/>
        <v>0</v>
      </c>
      <c r="O83" s="35">
        <f t="shared" si="29"/>
        <v>0</v>
      </c>
      <c r="AJ83" s="846">
        <v>6</v>
      </c>
      <c r="AK83" s="846" t="s">
        <v>170</v>
      </c>
      <c r="AL83" s="846">
        <f>AW76+AW54</f>
        <v>182</v>
      </c>
      <c r="AM83" s="846">
        <v>5</v>
      </c>
      <c r="AN83" s="846">
        <f>AV76+AV54</f>
        <v>182</v>
      </c>
    </row>
    <row r="84" spans="1:41" ht="14.25" customHeight="1" x14ac:dyDescent="0.3">
      <c r="B84" s="9"/>
      <c r="C84" s="10"/>
      <c r="D84" s="11"/>
      <c r="E84" s="12">
        <v>84.396768535990304</v>
      </c>
      <c r="F84" s="1351"/>
      <c r="G84" s="1117"/>
      <c r="H84" s="1017"/>
      <c r="I84" s="1018"/>
      <c r="J84" s="1018"/>
      <c r="K84" s="13"/>
      <c r="L84" s="13"/>
      <c r="M84" s="13"/>
      <c r="N84" s="13"/>
      <c r="O84" s="13"/>
      <c r="AJ84" s="846">
        <v>6</v>
      </c>
      <c r="AK84" s="846" t="s">
        <v>175</v>
      </c>
      <c r="AL84" s="846">
        <f>AW72</f>
        <v>18470</v>
      </c>
      <c r="AM84" s="846">
        <v>1000</v>
      </c>
      <c r="AN84" s="846">
        <f>AV72</f>
        <v>126</v>
      </c>
      <c r="AO84" s="1136"/>
    </row>
    <row r="85" spans="1:41" ht="14.25" customHeight="1" x14ac:dyDescent="0.3">
      <c r="A85" s="36" t="s">
        <v>187</v>
      </c>
      <c r="B85" s="36" t="s">
        <v>186</v>
      </c>
      <c r="C85" s="37" t="s">
        <v>14</v>
      </c>
      <c r="D85" s="38">
        <v>0</v>
      </c>
      <c r="E85" s="39">
        <v>139.58660387231822</v>
      </c>
      <c r="F85" s="40">
        <v>1</v>
      </c>
      <c r="G85" s="41">
        <v>20000</v>
      </c>
      <c r="H85" s="41" t="s">
        <v>188</v>
      </c>
      <c r="I85" s="1029">
        <v>130</v>
      </c>
      <c r="J85" s="1029">
        <f>I85/20</f>
        <v>6.5</v>
      </c>
      <c r="K85" s="42">
        <f>(E85/F85)/G85</f>
        <v>6.9793301936159112E-3</v>
      </c>
      <c r="L85" s="42">
        <f>(D85/F85)/G85</f>
        <v>0</v>
      </c>
      <c r="M85" s="41" t="s">
        <v>45</v>
      </c>
      <c r="N85" s="42">
        <f>K85*I85</f>
        <v>0.90731292517006845</v>
      </c>
      <c r="O85" s="42">
        <f>L85*I85</f>
        <v>0</v>
      </c>
      <c r="AJ85" s="846">
        <v>6</v>
      </c>
      <c r="AK85" s="846" t="s">
        <v>172</v>
      </c>
      <c r="AL85" s="846">
        <f>AW74</f>
        <v>32620</v>
      </c>
      <c r="AM85" s="846">
        <v>0</v>
      </c>
      <c r="AN85" s="846">
        <f>AV74</f>
        <v>217</v>
      </c>
    </row>
    <row r="86" spans="1:41" ht="14.25" customHeight="1" x14ac:dyDescent="0.3">
      <c r="A86" s="36" t="s">
        <v>189</v>
      </c>
      <c r="B86" s="36" t="s">
        <v>186</v>
      </c>
      <c r="C86" s="37" t="s">
        <v>14</v>
      </c>
      <c r="D86" s="38">
        <v>777.63014763014803</v>
      </c>
      <c r="E86" s="39">
        <v>5921.1310174868659</v>
      </c>
      <c r="F86" s="40">
        <v>1</v>
      </c>
      <c r="G86" s="41">
        <f>4*2000</f>
        <v>8000</v>
      </c>
      <c r="H86" s="41" t="s">
        <v>808</v>
      </c>
      <c r="I86" s="1029">
        <v>136</v>
      </c>
      <c r="J86" s="1029">
        <f>I86/(G86/1000)</f>
        <v>17</v>
      </c>
      <c r="K86" s="41">
        <f>(E86/F86)/G86</f>
        <v>0.74014137718585826</v>
      </c>
      <c r="L86" s="41">
        <f>(D86/F86)/G86</f>
        <v>9.7203768453768505E-2</v>
      </c>
      <c r="M86" s="41" t="s">
        <v>45</v>
      </c>
      <c r="N86" s="41">
        <f>K86*I86</f>
        <v>100.65922729727673</v>
      </c>
      <c r="O86" s="41">
        <f>L86*I86</f>
        <v>13.219712509712517</v>
      </c>
      <c r="AJ86" s="846">
        <v>6</v>
      </c>
      <c r="AK86" s="846" t="s">
        <v>560</v>
      </c>
      <c r="AL86" s="846">
        <f>AW63</f>
        <v>34270</v>
      </c>
      <c r="AM86" s="846">
        <v>0</v>
      </c>
      <c r="AN86" s="846">
        <f>AV63</f>
        <v>225</v>
      </c>
    </row>
    <row r="87" spans="1:41" ht="14.25" customHeight="1" x14ac:dyDescent="0.3">
      <c r="A87" s="36" t="s">
        <v>185</v>
      </c>
      <c r="B87" s="36" t="s">
        <v>186</v>
      </c>
      <c r="C87" s="37" t="s">
        <v>14</v>
      </c>
      <c r="D87" s="38">
        <v>0</v>
      </c>
      <c r="E87" s="39">
        <v>153.75729984301429</v>
      </c>
      <c r="F87" s="40">
        <v>1</v>
      </c>
      <c r="G87" s="41">
        <v>10000</v>
      </c>
      <c r="H87" s="41" t="s">
        <v>809</v>
      </c>
      <c r="I87" s="1029">
        <v>27</v>
      </c>
      <c r="J87" s="1029">
        <f>I87/(G87/1000)</f>
        <v>2.7</v>
      </c>
      <c r="K87" s="42">
        <f>(E87/F87)/G87</f>
        <v>1.537572998430143E-2</v>
      </c>
      <c r="L87" s="42">
        <f>(D87/F87)/G87</f>
        <v>0</v>
      </c>
      <c r="M87" s="41" t="s">
        <v>45</v>
      </c>
      <c r="N87" s="42">
        <f>K87*I87</f>
        <v>0.41514470957613858</v>
      </c>
      <c r="O87" s="42">
        <f>L87*I87</f>
        <v>0</v>
      </c>
      <c r="AJ87" s="846">
        <v>6</v>
      </c>
      <c r="AK87" s="846" t="s">
        <v>177</v>
      </c>
      <c r="AL87" s="846">
        <f>AW56+AW60+AW62+AW65+AW68</f>
        <v>17250</v>
      </c>
      <c r="AM87" s="846">
        <v>0</v>
      </c>
      <c r="AN87" s="846">
        <f>AV56+AV60+AV62+AV65+AV68</f>
        <v>115</v>
      </c>
    </row>
    <row r="88" spans="1:41" ht="14.25" customHeight="1" x14ac:dyDescent="0.3">
      <c r="B88" s="9"/>
      <c r="C88" s="10"/>
      <c r="D88" s="11"/>
      <c r="E88" s="12"/>
      <c r="F88" s="1351"/>
      <c r="G88" s="1117"/>
      <c r="H88" s="1017"/>
      <c r="I88" s="1018"/>
      <c r="J88" s="1018"/>
      <c r="K88" s="13"/>
      <c r="L88" s="13"/>
      <c r="M88" s="13"/>
      <c r="N88" s="13"/>
      <c r="O88" s="13"/>
      <c r="AJ88" s="846"/>
      <c r="AK88" s="846"/>
      <c r="AL88" s="846"/>
      <c r="AM88" s="846"/>
      <c r="AN88" s="846"/>
    </row>
    <row r="89" spans="1:41" ht="14.25" customHeight="1" x14ac:dyDescent="0.3">
      <c r="A89" s="43" t="s">
        <v>863</v>
      </c>
      <c r="B89" s="43" t="s">
        <v>864</v>
      </c>
      <c r="C89" s="44" t="s">
        <v>241</v>
      </c>
      <c r="D89" s="45">
        <v>181</v>
      </c>
      <c r="E89" s="46">
        <v>544</v>
      </c>
      <c r="F89" s="47">
        <v>1</v>
      </c>
      <c r="G89" s="48">
        <v>1</v>
      </c>
      <c r="H89" s="44" t="s">
        <v>241</v>
      </c>
      <c r="I89" s="1030">
        <v>2</v>
      </c>
      <c r="J89" s="1030">
        <f>I89</f>
        <v>2</v>
      </c>
      <c r="K89" s="48">
        <f>(E89/F89)/G89</f>
        <v>544</v>
      </c>
      <c r="L89" s="48">
        <f>(D89/F89)/G89</f>
        <v>181</v>
      </c>
      <c r="M89" s="44" t="s">
        <v>241</v>
      </c>
      <c r="N89" s="48">
        <f>K89*I89</f>
        <v>1088</v>
      </c>
      <c r="O89" s="48">
        <f>L89*I89</f>
        <v>362</v>
      </c>
    </row>
    <row r="90" spans="1:41" ht="14.25" customHeight="1" x14ac:dyDescent="0.3">
      <c r="A90" s="43" t="s">
        <v>865</v>
      </c>
      <c r="B90" s="43" t="s">
        <v>864</v>
      </c>
      <c r="C90" s="44" t="s">
        <v>241</v>
      </c>
      <c r="D90" s="45">
        <v>0</v>
      </c>
      <c r="E90" s="46">
        <v>343</v>
      </c>
      <c r="F90" s="47">
        <v>1</v>
      </c>
      <c r="G90" s="48">
        <v>1</v>
      </c>
      <c r="H90" s="44" t="s">
        <v>241</v>
      </c>
      <c r="I90" s="1030">
        <v>2</v>
      </c>
      <c r="J90" s="1030">
        <f t="shared" ref="J90:J91" si="30">I90</f>
        <v>2</v>
      </c>
      <c r="K90" s="48">
        <f>(E90/F90)/G90</f>
        <v>343</v>
      </c>
      <c r="L90" s="48">
        <f>(D90/F90)/G90</f>
        <v>0</v>
      </c>
      <c r="M90" s="44" t="s">
        <v>241</v>
      </c>
      <c r="N90" s="48">
        <f>K90*I90</f>
        <v>686</v>
      </c>
      <c r="O90" s="48">
        <f>L90*I90</f>
        <v>0</v>
      </c>
    </row>
    <row r="91" spans="1:41" ht="14.25" customHeight="1" x14ac:dyDescent="0.3">
      <c r="A91" s="43" t="s">
        <v>866</v>
      </c>
      <c r="B91" s="43" t="s">
        <v>864</v>
      </c>
      <c r="C91" s="44" t="s">
        <v>241</v>
      </c>
      <c r="D91" s="45">
        <v>0</v>
      </c>
      <c r="E91" s="46">
        <v>275</v>
      </c>
      <c r="F91" s="47">
        <v>1</v>
      </c>
      <c r="G91" s="48">
        <v>1</v>
      </c>
      <c r="H91" s="44" t="s">
        <v>241</v>
      </c>
      <c r="I91" s="1030">
        <v>2</v>
      </c>
      <c r="J91" s="1030">
        <f t="shared" si="30"/>
        <v>2</v>
      </c>
      <c r="K91" s="48">
        <f>(E91/F91)/G91</f>
        <v>275</v>
      </c>
      <c r="L91" s="48">
        <f>(D91/F91)/G91</f>
        <v>0</v>
      </c>
      <c r="M91" s="44" t="s">
        <v>241</v>
      </c>
      <c r="N91" s="48">
        <f>K91*I91</f>
        <v>550</v>
      </c>
      <c r="O91" s="48">
        <f>L91*I91</f>
        <v>0</v>
      </c>
    </row>
    <row r="92" spans="1:41" ht="14.25" customHeight="1" x14ac:dyDescent="0.3"/>
    <row r="93" spans="1:41" ht="14.25" customHeight="1" x14ac:dyDescent="0.3">
      <c r="A93" s="43" t="s">
        <v>194</v>
      </c>
      <c r="B93" s="43" t="s">
        <v>192</v>
      </c>
      <c r="C93" s="44" t="s">
        <v>14</v>
      </c>
      <c r="D93" s="45">
        <v>5943.2768264999995</v>
      </c>
      <c r="E93" s="46">
        <v>5943.2768264999995</v>
      </c>
      <c r="F93" s="47">
        <v>1</v>
      </c>
      <c r="G93" s="48">
        <v>12000</v>
      </c>
      <c r="H93" s="48" t="s">
        <v>811</v>
      </c>
      <c r="I93" s="1030">
        <v>102</v>
      </c>
      <c r="J93" s="1030">
        <f>I93/(G93/1000)</f>
        <v>8.5</v>
      </c>
      <c r="K93" s="48">
        <f>(E93/F93)/G93</f>
        <v>0.49527306887499994</v>
      </c>
      <c r="L93" s="48">
        <f>(D93/F93)/G93</f>
        <v>0.49527306887499994</v>
      </c>
      <c r="M93" s="48" t="s">
        <v>45</v>
      </c>
      <c r="N93" s="48">
        <f>K93*I93</f>
        <v>50.517853025249991</v>
      </c>
      <c r="O93" s="48">
        <f>L93*I93</f>
        <v>50.517853025249991</v>
      </c>
    </row>
    <row r="94" spans="1:41" ht="14.25" customHeight="1" x14ac:dyDescent="0.3">
      <c r="A94" s="43" t="s">
        <v>193</v>
      </c>
      <c r="B94" s="43" t="s">
        <v>192</v>
      </c>
      <c r="C94" s="44" t="s">
        <v>14</v>
      </c>
      <c r="D94" s="45">
        <v>500</v>
      </c>
      <c r="E94" s="46">
        <v>6202.8045847272224</v>
      </c>
      <c r="F94" s="1359">
        <v>0.9</v>
      </c>
      <c r="G94" s="48">
        <v>25000</v>
      </c>
      <c r="H94" s="48" t="s">
        <v>238</v>
      </c>
      <c r="I94" s="1030">
        <v>58</v>
      </c>
      <c r="J94" s="1030">
        <f>I94/(G94/1000)</f>
        <v>2.3199999999999998</v>
      </c>
      <c r="K94" s="48">
        <f>(E94/F94)/G94</f>
        <v>0.27568020376565433</v>
      </c>
      <c r="L94" s="48">
        <f>(D94/F94)/G94</f>
        <v>2.2222222222222223E-2</v>
      </c>
      <c r="M94" s="48" t="s">
        <v>45</v>
      </c>
      <c r="N94" s="48">
        <f>K94*I94</f>
        <v>15.989451818407952</v>
      </c>
      <c r="O94" s="48">
        <f>L94*I94</f>
        <v>1.288888888888889</v>
      </c>
      <c r="P94" s="1360" t="s">
        <v>878</v>
      </c>
    </row>
    <row r="95" spans="1:41" ht="14.25" customHeight="1" x14ac:dyDescent="0.3">
      <c r="A95" s="43" t="s">
        <v>191</v>
      </c>
      <c r="B95" s="43" t="s">
        <v>192</v>
      </c>
      <c r="C95" s="44" t="s">
        <v>14</v>
      </c>
      <c r="D95" s="45">
        <v>854.5864253333333</v>
      </c>
      <c r="E95" s="46">
        <v>7182.1744303639825</v>
      </c>
      <c r="F95" s="47">
        <v>1</v>
      </c>
      <c r="G95" s="48">
        <f>1*10000</f>
        <v>10000</v>
      </c>
      <c r="H95" s="48" t="s">
        <v>810</v>
      </c>
      <c r="I95" s="1030">
        <f>17</f>
        <v>17</v>
      </c>
      <c r="J95" s="1030">
        <f>I95/(G95/1000)</f>
        <v>1.7</v>
      </c>
      <c r="K95" s="48">
        <f>(E95/F95)/G95</f>
        <v>0.71821744303639823</v>
      </c>
      <c r="L95" s="48">
        <f>(D95/F95)/G95</f>
        <v>8.5458642533333323E-2</v>
      </c>
      <c r="M95" s="48" t="s">
        <v>45</v>
      </c>
      <c r="N95" s="48">
        <f>K95*I95</f>
        <v>12.20969653161877</v>
      </c>
      <c r="O95" s="48">
        <f>L95*I95</f>
        <v>1.4527969230666664</v>
      </c>
    </row>
    <row r="96" spans="1:41" ht="14.25" customHeight="1" x14ac:dyDescent="0.3"/>
    <row r="97" spans="1:15" ht="14.25" customHeight="1" x14ac:dyDescent="0.3">
      <c r="A97" s="17" t="s">
        <v>93</v>
      </c>
      <c r="B97" s="17" t="s">
        <v>83</v>
      </c>
      <c r="C97" s="18" t="s">
        <v>14</v>
      </c>
      <c r="D97" s="19">
        <v>28.484080082474229</v>
      </c>
      <c r="E97" s="20">
        <v>28.484080082474229</v>
      </c>
      <c r="F97" s="1352">
        <v>1</v>
      </c>
      <c r="G97" s="1118">
        <v>100</v>
      </c>
      <c r="H97" s="20" t="s">
        <v>830</v>
      </c>
      <c r="I97" s="21">
        <v>3.04</v>
      </c>
      <c r="J97" s="21">
        <f>I97/1</f>
        <v>3.04</v>
      </c>
      <c r="K97" s="20">
        <f>(E97/F97)/G97</f>
        <v>0.28484080082474228</v>
      </c>
      <c r="L97" s="20">
        <f>(D97/F97)/G97</f>
        <v>0.28484080082474228</v>
      </c>
      <c r="M97" s="20" t="s">
        <v>14</v>
      </c>
      <c r="N97" s="20">
        <f>K97*I97</f>
        <v>0.86591603450721655</v>
      </c>
      <c r="O97" s="20">
        <f>L97*I97</f>
        <v>0.86591603450721655</v>
      </c>
    </row>
    <row r="98" spans="1:15" ht="14.25" customHeight="1" x14ac:dyDescent="0.3">
      <c r="A98" s="17" t="s">
        <v>90</v>
      </c>
      <c r="B98" s="17" t="s">
        <v>83</v>
      </c>
      <c r="C98" s="18" t="s">
        <v>14</v>
      </c>
      <c r="D98" s="19">
        <v>21.817125000000004</v>
      </c>
      <c r="E98" s="20">
        <v>31.555406250000004</v>
      </c>
      <c r="F98" s="1352">
        <v>1</v>
      </c>
      <c r="G98" s="1118">
        <v>200</v>
      </c>
      <c r="H98" s="20" t="s">
        <v>91</v>
      </c>
      <c r="I98" s="21">
        <v>4</v>
      </c>
      <c r="J98" s="21">
        <f>I98/0.2</f>
        <v>20</v>
      </c>
      <c r="K98" s="20">
        <f>(E98/F98)/G98</f>
        <v>0.15777703125000003</v>
      </c>
      <c r="L98" s="644">
        <f>(D98/F98)/G98</f>
        <v>0.10908562500000002</v>
      </c>
      <c r="M98" s="20" t="s">
        <v>42</v>
      </c>
      <c r="N98" s="20">
        <f>K98*I98</f>
        <v>0.63110812500000013</v>
      </c>
      <c r="O98" s="20">
        <f>L98*I98</f>
        <v>0.43634250000000008</v>
      </c>
    </row>
    <row r="99" spans="1:15" ht="14.25" customHeight="1" x14ac:dyDescent="0.3">
      <c r="A99" s="17" t="s">
        <v>87</v>
      </c>
      <c r="B99" s="17" t="s">
        <v>83</v>
      </c>
      <c r="C99" s="18" t="s">
        <v>14</v>
      </c>
      <c r="D99" s="19">
        <v>0</v>
      </c>
      <c r="E99" s="20">
        <v>30.713003663003672</v>
      </c>
      <c r="F99" s="1352">
        <v>1</v>
      </c>
      <c r="G99" s="1118">
        <v>142</v>
      </c>
      <c r="H99" s="20" t="s">
        <v>88</v>
      </c>
      <c r="I99" s="21">
        <v>20</v>
      </c>
      <c r="J99" s="21">
        <f>I99/0.142</f>
        <v>140.84507042253523</v>
      </c>
      <c r="K99" s="20">
        <f>(E99/F99)/G99</f>
        <v>0.21628875819016671</v>
      </c>
      <c r="L99" s="644">
        <f>(D99/F99)/G99</f>
        <v>0</v>
      </c>
      <c r="M99" s="20" t="s">
        <v>42</v>
      </c>
      <c r="N99" s="20">
        <f>K99*I99</f>
        <v>4.3257751638033346</v>
      </c>
      <c r="O99" s="20">
        <f>L99*I99</f>
        <v>0</v>
      </c>
    </row>
    <row r="100" spans="1:15" ht="14.25" customHeight="1" x14ac:dyDescent="0.3">
      <c r="A100" s="17" t="s">
        <v>85</v>
      </c>
      <c r="B100" s="17" t="s">
        <v>83</v>
      </c>
      <c r="C100" s="18" t="s">
        <v>14</v>
      </c>
      <c r="D100" s="19">
        <v>30.940594059405939</v>
      </c>
      <c r="E100" s="20">
        <v>131.50392007026159</v>
      </c>
      <c r="F100" s="1352">
        <v>1</v>
      </c>
      <c r="G100" s="1118">
        <v>142</v>
      </c>
      <c r="H100" s="20" t="s">
        <v>88</v>
      </c>
      <c r="I100" s="21">
        <v>21</v>
      </c>
      <c r="J100" s="1019">
        <f>I100/(G100/1000)</f>
        <v>147.88732394366198</v>
      </c>
      <c r="K100" s="20">
        <f>(E100/F100)/G100</f>
        <v>0.92608394415677175</v>
      </c>
      <c r="L100" s="644">
        <f>(D100/F100)/G100</f>
        <v>0.2178915074606052</v>
      </c>
      <c r="M100" s="20" t="s">
        <v>42</v>
      </c>
      <c r="N100" s="20">
        <f>K100*I100</f>
        <v>19.447762827292205</v>
      </c>
      <c r="O100" s="20">
        <f>L100*I100</f>
        <v>4.5757216566727097</v>
      </c>
    </row>
    <row r="101" spans="1:15" ht="14.25" customHeight="1" x14ac:dyDescent="0.3">
      <c r="A101" s="17" t="s">
        <v>82</v>
      </c>
      <c r="B101" s="17" t="s">
        <v>83</v>
      </c>
      <c r="C101" s="18" t="s">
        <v>14</v>
      </c>
      <c r="D101" s="19">
        <v>0</v>
      </c>
      <c r="E101" s="20">
        <v>13.067089656375373</v>
      </c>
      <c r="F101" s="1352">
        <v>1</v>
      </c>
      <c r="G101" s="1118">
        <v>1000</v>
      </c>
      <c r="H101" s="20" t="s">
        <v>45</v>
      </c>
      <c r="I101" s="21">
        <v>7</v>
      </c>
      <c r="J101" s="21">
        <f>I101*(G101/1000)</f>
        <v>7</v>
      </c>
      <c r="K101" s="20">
        <f>(E101/F101)/G101</f>
        <v>1.3067089656375373E-2</v>
      </c>
      <c r="L101" s="644">
        <f>(D101/F101)/G101</f>
        <v>0</v>
      </c>
      <c r="M101" s="20" t="s">
        <v>45</v>
      </c>
      <c r="N101" s="20">
        <f>K101*I101</f>
        <v>9.1469627594627609E-2</v>
      </c>
      <c r="O101" s="20">
        <f>L101*I101</f>
        <v>0</v>
      </c>
    </row>
    <row r="102" spans="1:15" ht="14.25" customHeight="1" x14ac:dyDescent="0.3"/>
    <row r="103" spans="1:15" ht="14.25" customHeight="1" x14ac:dyDescent="0.3">
      <c r="A103" s="693" t="s">
        <v>547</v>
      </c>
      <c r="B103" s="693" t="s">
        <v>562</v>
      </c>
      <c r="C103" s="693" t="s">
        <v>14</v>
      </c>
      <c r="D103" s="764">
        <v>0</v>
      </c>
      <c r="E103" s="694">
        <v>10183.157894736842</v>
      </c>
      <c r="F103" s="1028">
        <v>1</v>
      </c>
      <c r="G103" s="1026">
        <f>24*400</f>
        <v>9600</v>
      </c>
      <c r="H103" s="1026" t="s">
        <v>803</v>
      </c>
      <c r="I103" s="1027">
        <v>98</v>
      </c>
      <c r="J103" s="1027">
        <f t="shared" ref="J103:J108" si="31">I103/(G103/1000)</f>
        <v>10.208333333333334</v>
      </c>
      <c r="K103" s="1140">
        <f>(E103/F103)/G103</f>
        <v>1.0607456140350877</v>
      </c>
      <c r="L103" s="1140">
        <f>(D103/F103)/G103</f>
        <v>0</v>
      </c>
      <c r="M103" s="1138" t="s">
        <v>26</v>
      </c>
      <c r="N103" s="1139">
        <f>K103*I103</f>
        <v>103.9530701754386</v>
      </c>
      <c r="O103" s="1139">
        <f>L103*I103</f>
        <v>0</v>
      </c>
    </row>
    <row r="104" spans="1:15" ht="14.25" customHeight="1" x14ac:dyDescent="0.3">
      <c r="A104" s="693" t="s">
        <v>430</v>
      </c>
      <c r="B104" s="693" t="s">
        <v>562</v>
      </c>
      <c r="C104" s="693" t="s">
        <v>14</v>
      </c>
      <c r="D104" s="764">
        <v>0</v>
      </c>
      <c r="E104" s="694">
        <v>7406.4</v>
      </c>
      <c r="F104" s="1028">
        <v>1</v>
      </c>
      <c r="G104" s="1026">
        <f>24*450</f>
        <v>10800</v>
      </c>
      <c r="H104" s="1026" t="s">
        <v>802</v>
      </c>
      <c r="I104" s="1027">
        <v>90</v>
      </c>
      <c r="J104" s="1027">
        <f t="shared" si="31"/>
        <v>8.3333333333333321</v>
      </c>
      <c r="K104" s="1140">
        <f t="shared" ref="K104:K108" si="32">(E104/F104)/G104</f>
        <v>0.68577777777777771</v>
      </c>
      <c r="L104" s="1140">
        <f t="shared" ref="L104:L108" si="33">(D104/F104)/G104</f>
        <v>0</v>
      </c>
      <c r="M104" s="1138" t="s">
        <v>26</v>
      </c>
      <c r="N104" s="1139">
        <f t="shared" ref="N104:N108" si="34">K104*I104</f>
        <v>61.719999999999992</v>
      </c>
      <c r="O104" s="1139">
        <f t="shared" ref="O104:O108" si="35">L104*I104</f>
        <v>0</v>
      </c>
    </row>
    <row r="105" spans="1:15" ht="14.25" customHeight="1" x14ac:dyDescent="0.3">
      <c r="A105" s="693" t="s">
        <v>476</v>
      </c>
      <c r="B105" s="693" t="s">
        <v>562</v>
      </c>
      <c r="C105" s="693" t="s">
        <v>14</v>
      </c>
      <c r="D105" s="764">
        <v>0</v>
      </c>
      <c r="E105" s="694">
        <v>9746.3692791023841</v>
      </c>
      <c r="F105" s="1028">
        <v>1</v>
      </c>
      <c r="G105" s="1026">
        <f>12*454</f>
        <v>5448</v>
      </c>
      <c r="H105" s="1026" t="s">
        <v>801</v>
      </c>
      <c r="I105" s="1027">
        <v>165</v>
      </c>
      <c r="J105" s="1027">
        <f t="shared" si="31"/>
        <v>30.2863436123348</v>
      </c>
      <c r="K105" s="1140">
        <f t="shared" si="32"/>
        <v>1.7889811452096887</v>
      </c>
      <c r="L105" s="1140">
        <f t="shared" si="33"/>
        <v>0</v>
      </c>
      <c r="M105" s="1138" t="s">
        <v>26</v>
      </c>
      <c r="N105" s="1139">
        <f t="shared" si="34"/>
        <v>295.18188895959861</v>
      </c>
      <c r="O105" s="1139">
        <f t="shared" si="35"/>
        <v>0</v>
      </c>
    </row>
    <row r="106" spans="1:15" ht="14.25" customHeight="1" x14ac:dyDescent="0.3">
      <c r="A106" s="693" t="s">
        <v>553</v>
      </c>
      <c r="B106" s="693" t="s">
        <v>562</v>
      </c>
      <c r="C106" s="693" t="s">
        <v>14</v>
      </c>
      <c r="D106" s="764">
        <v>0</v>
      </c>
      <c r="E106" s="694">
        <v>12915.918367346938</v>
      </c>
      <c r="F106" s="1028">
        <v>1</v>
      </c>
      <c r="G106" s="1026">
        <f>450*24</f>
        <v>10800</v>
      </c>
      <c r="H106" s="1026" t="s">
        <v>802</v>
      </c>
      <c r="I106" s="1027">
        <v>95</v>
      </c>
      <c r="J106" s="1027">
        <f t="shared" si="31"/>
        <v>8.7962962962962958</v>
      </c>
      <c r="K106" s="1140">
        <f t="shared" si="32"/>
        <v>1.1959183673469387</v>
      </c>
      <c r="L106" s="1140">
        <f t="shared" si="33"/>
        <v>0</v>
      </c>
      <c r="M106" s="1138" t="s">
        <v>26</v>
      </c>
      <c r="N106" s="1139">
        <f t="shared" si="34"/>
        <v>113.61224489795917</v>
      </c>
      <c r="O106" s="1139">
        <f t="shared" si="35"/>
        <v>0</v>
      </c>
    </row>
    <row r="107" spans="1:15" ht="14.25" customHeight="1" x14ac:dyDescent="0.3">
      <c r="A107" s="693" t="s">
        <v>552</v>
      </c>
      <c r="B107" s="693" t="s">
        <v>562</v>
      </c>
      <c r="C107" s="693" t="s">
        <v>14</v>
      </c>
      <c r="D107" s="764">
        <v>5917.575757575758</v>
      </c>
      <c r="E107" s="694">
        <v>5917.575757575758</v>
      </c>
      <c r="F107" s="1028">
        <v>1</v>
      </c>
      <c r="G107" s="1026">
        <f>24*450</f>
        <v>10800</v>
      </c>
      <c r="H107" s="1026" t="s">
        <v>802</v>
      </c>
      <c r="I107" s="1027">
        <f>100</f>
        <v>100</v>
      </c>
      <c r="J107" s="1027">
        <f t="shared" si="31"/>
        <v>9.2592592592592595</v>
      </c>
      <c r="K107" s="1140">
        <f t="shared" si="32"/>
        <v>0.54792368125701463</v>
      </c>
      <c r="L107" s="1140">
        <f>(D107/F107)/G107</f>
        <v>0.54792368125701463</v>
      </c>
      <c r="M107" s="1138" t="s">
        <v>26</v>
      </c>
      <c r="N107" s="1139">
        <f t="shared" si="34"/>
        <v>54.792368125701465</v>
      </c>
      <c r="O107" s="1139">
        <f t="shared" si="35"/>
        <v>54.792368125701465</v>
      </c>
    </row>
    <row r="108" spans="1:15" ht="14.25" customHeight="1" x14ac:dyDescent="0.3">
      <c r="A108" s="693" t="s">
        <v>555</v>
      </c>
      <c r="B108" s="693" t="s">
        <v>562</v>
      </c>
      <c r="C108" s="693" t="s">
        <v>14</v>
      </c>
      <c r="D108" s="764">
        <v>0</v>
      </c>
      <c r="E108" s="694">
        <v>21201.759405940596</v>
      </c>
      <c r="F108" s="1028">
        <v>1</v>
      </c>
      <c r="G108" s="1026">
        <f>24*450</f>
        <v>10800</v>
      </c>
      <c r="H108" s="1026" t="s">
        <v>802</v>
      </c>
      <c r="I108" s="1027">
        <v>98</v>
      </c>
      <c r="J108" s="1027">
        <f t="shared" si="31"/>
        <v>9.0740740740740726</v>
      </c>
      <c r="K108" s="1140">
        <f t="shared" si="32"/>
        <v>1.9631258709204256</v>
      </c>
      <c r="L108" s="1140">
        <f t="shared" si="33"/>
        <v>0</v>
      </c>
      <c r="M108" s="1138" t="s">
        <v>26</v>
      </c>
      <c r="N108" s="1139">
        <f t="shared" si="34"/>
        <v>192.3863353502017</v>
      </c>
      <c r="O108" s="1139">
        <f t="shared" si="35"/>
        <v>0</v>
      </c>
    </row>
    <row r="109" spans="1:15" ht="14.25" customHeight="1" x14ac:dyDescent="0.3"/>
    <row r="110" spans="1:15" ht="14.25" customHeight="1" x14ac:dyDescent="0.3">
      <c r="A110" s="1097" t="s">
        <v>795</v>
      </c>
      <c r="B110" s="1097" t="s">
        <v>13</v>
      </c>
      <c r="C110" s="1101" t="s">
        <v>14</v>
      </c>
      <c r="D110" s="1152">
        <v>0</v>
      </c>
      <c r="E110" s="1153">
        <v>22.810736250000001</v>
      </c>
      <c r="F110" s="1353">
        <v>0.52</v>
      </c>
      <c r="G110" s="1154">
        <v>100</v>
      </c>
      <c r="H110" s="1153" t="s">
        <v>68</v>
      </c>
      <c r="I110" s="1155">
        <v>10</v>
      </c>
      <c r="J110" s="1155">
        <f t="shared" ref="J110:J127" si="36">I110/(G110/1000)</f>
        <v>100</v>
      </c>
      <c r="K110" s="1153">
        <f>(E110/F110)/G110</f>
        <v>0.43866800480769236</v>
      </c>
      <c r="L110" s="1156">
        <f>(D110/F110)/G110</f>
        <v>0</v>
      </c>
      <c r="M110" s="1153" t="s">
        <v>42</v>
      </c>
      <c r="N110" s="1153">
        <f t="shared" ref="N110:N122" si="37">K110*I110</f>
        <v>4.3866800480769239</v>
      </c>
      <c r="O110" s="1153">
        <f t="shared" ref="O110:O122" si="38">L110*I110</f>
        <v>0</v>
      </c>
    </row>
    <row r="111" spans="1:15" ht="14.25" customHeight="1" x14ac:dyDescent="0.3">
      <c r="A111" s="1157" t="s">
        <v>19</v>
      </c>
      <c r="B111" s="1157" t="s">
        <v>13</v>
      </c>
      <c r="C111" s="1158" t="s">
        <v>14</v>
      </c>
      <c r="D111" s="1159">
        <v>6620.5</v>
      </c>
      <c r="E111" s="1160">
        <v>52332.128144241586</v>
      </c>
      <c r="F111" s="1354">
        <v>0.84</v>
      </c>
      <c r="G111" s="1161">
        <v>1000</v>
      </c>
      <c r="H111" s="1160" t="s">
        <v>15</v>
      </c>
      <c r="I111" s="1162">
        <v>2.6</v>
      </c>
      <c r="J111" s="1162">
        <f t="shared" si="36"/>
        <v>2.6</v>
      </c>
      <c r="K111" s="1160">
        <f>(E111/F111)/G111</f>
        <v>62.300152552668557</v>
      </c>
      <c r="L111" s="1156">
        <f t="shared" ref="L111:L139" si="39">(D111/F111)/G111</f>
        <v>7.8815476190476197</v>
      </c>
      <c r="M111" s="1160" t="s">
        <v>15</v>
      </c>
      <c r="N111" s="1160">
        <f t="shared" si="37"/>
        <v>161.98039663693825</v>
      </c>
      <c r="O111" s="1160">
        <f t="shared" si="38"/>
        <v>20.492023809523811</v>
      </c>
    </row>
    <row r="112" spans="1:15" ht="14.25" customHeight="1" x14ac:dyDescent="0.3">
      <c r="A112" s="1157" t="s">
        <v>51</v>
      </c>
      <c r="B112" s="1157" t="s">
        <v>13</v>
      </c>
      <c r="C112" s="1158" t="s">
        <v>14</v>
      </c>
      <c r="D112" s="1159">
        <v>1092</v>
      </c>
      <c r="E112" s="1160">
        <v>7620</v>
      </c>
      <c r="F112" s="1354">
        <v>0.75</v>
      </c>
      <c r="G112" s="1161">
        <v>1000</v>
      </c>
      <c r="H112" s="1160" t="s">
        <v>45</v>
      </c>
      <c r="I112" s="1162">
        <v>20</v>
      </c>
      <c r="J112" s="1162">
        <f t="shared" si="36"/>
        <v>20</v>
      </c>
      <c r="K112" s="1160">
        <f>(E112/F112)/G112</f>
        <v>10.16</v>
      </c>
      <c r="L112" s="1156">
        <f t="shared" si="39"/>
        <v>1.456</v>
      </c>
      <c r="M112" s="1160" t="s">
        <v>45</v>
      </c>
      <c r="N112" s="1160">
        <f t="shared" si="37"/>
        <v>203.2</v>
      </c>
      <c r="O112" s="1160">
        <f t="shared" si="38"/>
        <v>29.119999999999997</v>
      </c>
    </row>
    <row r="113" spans="1:15" ht="14.25" customHeight="1" x14ac:dyDescent="0.3">
      <c r="A113" s="1097" t="s">
        <v>62</v>
      </c>
      <c r="B113" s="1097" t="s">
        <v>13</v>
      </c>
      <c r="C113" s="1101" t="s">
        <v>14</v>
      </c>
      <c r="D113" s="1152">
        <v>466.29260665195261</v>
      </c>
      <c r="E113" s="1153">
        <v>2799.5506270670653</v>
      </c>
      <c r="F113" s="1353">
        <v>0.94</v>
      </c>
      <c r="G113" s="1154">
        <v>825</v>
      </c>
      <c r="H113" s="1153" t="s">
        <v>64</v>
      </c>
      <c r="I113" s="1155">
        <v>3</v>
      </c>
      <c r="J113" s="1155">
        <f t="shared" si="36"/>
        <v>3.6363636363636367</v>
      </c>
      <c r="K113" s="1153">
        <f>(E113/F113)/G113</f>
        <v>3.6099943611438627</v>
      </c>
      <c r="L113" s="1156">
        <f t="shared" si="39"/>
        <v>0.60127995699800463</v>
      </c>
      <c r="M113" s="1153" t="s">
        <v>42</v>
      </c>
      <c r="N113" s="1153">
        <f t="shared" si="37"/>
        <v>10.829983083431589</v>
      </c>
      <c r="O113" s="1153">
        <f t="shared" si="38"/>
        <v>1.8038398709940138</v>
      </c>
    </row>
    <row r="114" spans="1:15" ht="14.25" customHeight="1" x14ac:dyDescent="0.3">
      <c r="A114" s="1097" t="s">
        <v>746</v>
      </c>
      <c r="B114" s="1097" t="s">
        <v>13</v>
      </c>
      <c r="C114" s="1101" t="s">
        <v>14</v>
      </c>
      <c r="D114" s="1152">
        <v>589</v>
      </c>
      <c r="E114" s="1153">
        <v>1235.02</v>
      </c>
      <c r="F114" s="1353">
        <v>0.65</v>
      </c>
      <c r="G114" s="1154">
        <v>1000</v>
      </c>
      <c r="H114" s="1153" t="s">
        <v>45</v>
      </c>
      <c r="I114" s="1155">
        <v>45</v>
      </c>
      <c r="J114" s="1155">
        <f t="shared" si="36"/>
        <v>45</v>
      </c>
      <c r="K114" s="1153">
        <f>(E114/F114)</f>
        <v>1900.0307692307692</v>
      </c>
      <c r="L114" s="1156">
        <f t="shared" si="39"/>
        <v>0.90615384615384609</v>
      </c>
      <c r="M114" s="1153" t="s">
        <v>15</v>
      </c>
      <c r="N114" s="1153">
        <f t="shared" si="37"/>
        <v>85501.38461538461</v>
      </c>
      <c r="O114" s="1153">
        <f t="shared" si="38"/>
        <v>40.776923076923076</v>
      </c>
    </row>
    <row r="115" spans="1:15" ht="14.25" customHeight="1" x14ac:dyDescent="0.3">
      <c r="A115" s="1097" t="s">
        <v>78</v>
      </c>
      <c r="B115" s="1097" t="s">
        <v>13</v>
      </c>
      <c r="C115" s="1101" t="s">
        <v>14</v>
      </c>
      <c r="D115" s="1152">
        <v>0</v>
      </c>
      <c r="E115" s="1153">
        <v>90.994812753036513</v>
      </c>
      <c r="F115" s="1353">
        <v>0.6</v>
      </c>
      <c r="G115" s="1154">
        <v>100</v>
      </c>
      <c r="H115" s="1153" t="s">
        <v>68</v>
      </c>
      <c r="I115" s="1155">
        <v>9</v>
      </c>
      <c r="J115" s="1155">
        <f t="shared" si="36"/>
        <v>90</v>
      </c>
      <c r="K115" s="1153">
        <f t="shared" ref="K115:K122" si="40">(E115/F115)/G115</f>
        <v>1.5165802125506087</v>
      </c>
      <c r="L115" s="1156">
        <f t="shared" si="39"/>
        <v>0</v>
      </c>
      <c r="M115" s="1153" t="s">
        <v>42</v>
      </c>
      <c r="N115" s="1153">
        <f t="shared" si="37"/>
        <v>13.649221912955479</v>
      </c>
      <c r="O115" s="1153">
        <f t="shared" si="38"/>
        <v>0</v>
      </c>
    </row>
    <row r="116" spans="1:15" ht="14.25" customHeight="1" x14ac:dyDescent="0.3">
      <c r="A116" s="1097" t="s">
        <v>73</v>
      </c>
      <c r="B116" s="1097" t="s">
        <v>13</v>
      </c>
      <c r="C116" s="1101" t="s">
        <v>14</v>
      </c>
      <c r="D116" s="1152">
        <v>0</v>
      </c>
      <c r="E116" s="1153">
        <v>682.42500000000007</v>
      </c>
      <c r="F116" s="1353">
        <v>0.71</v>
      </c>
      <c r="G116" s="1154">
        <v>1000</v>
      </c>
      <c r="H116" s="1153" t="s">
        <v>74</v>
      </c>
      <c r="I116" s="1155">
        <v>3</v>
      </c>
      <c r="J116" s="1155">
        <f t="shared" si="36"/>
        <v>3</v>
      </c>
      <c r="K116" s="1153">
        <f t="shared" si="40"/>
        <v>0.96116197183098606</v>
      </c>
      <c r="L116" s="1156">
        <f t="shared" si="39"/>
        <v>0</v>
      </c>
      <c r="M116" s="1153" t="s">
        <v>42</v>
      </c>
      <c r="N116" s="1153">
        <f t="shared" si="37"/>
        <v>2.8834859154929582</v>
      </c>
      <c r="O116" s="1153">
        <f t="shared" si="38"/>
        <v>0</v>
      </c>
    </row>
    <row r="117" spans="1:15" ht="14.25" customHeight="1" x14ac:dyDescent="0.3">
      <c r="A117" s="1157" t="s">
        <v>23</v>
      </c>
      <c r="B117" s="1157" t="s">
        <v>13</v>
      </c>
      <c r="C117" s="1158" t="s">
        <v>14</v>
      </c>
      <c r="D117" s="1159">
        <v>16715</v>
      </c>
      <c r="E117" s="1160">
        <v>16715</v>
      </c>
      <c r="F117" s="1354">
        <v>0.82</v>
      </c>
      <c r="G117" s="1161">
        <v>1000</v>
      </c>
      <c r="H117" s="1160" t="s">
        <v>15</v>
      </c>
      <c r="I117" s="1162">
        <v>3</v>
      </c>
      <c r="J117" s="1162">
        <f t="shared" si="36"/>
        <v>3</v>
      </c>
      <c r="K117" s="1160">
        <f t="shared" si="40"/>
        <v>20.384146341463417</v>
      </c>
      <c r="L117" s="1156">
        <f t="shared" si="39"/>
        <v>20.384146341463417</v>
      </c>
      <c r="M117" s="1160" t="s">
        <v>15</v>
      </c>
      <c r="N117" s="1160">
        <f t="shared" si="37"/>
        <v>61.152439024390247</v>
      </c>
      <c r="O117" s="1160">
        <f t="shared" si="38"/>
        <v>61.152439024390247</v>
      </c>
    </row>
    <row r="118" spans="1:15" ht="14.25" customHeight="1" x14ac:dyDescent="0.3">
      <c r="A118" s="1157" t="s">
        <v>818</v>
      </c>
      <c r="B118" s="1157" t="s">
        <v>13</v>
      </c>
      <c r="C118" s="1158" t="s">
        <v>14</v>
      </c>
      <c r="D118" s="1159">
        <v>0</v>
      </c>
      <c r="E118" s="1160">
        <v>3013.7142857142858</v>
      </c>
      <c r="F118" s="1354">
        <v>1</v>
      </c>
      <c r="G118" s="1161">
        <v>125</v>
      </c>
      <c r="H118" s="1160" t="s">
        <v>819</v>
      </c>
      <c r="I118" s="1162">
        <v>10</v>
      </c>
      <c r="J118" s="1162">
        <f t="shared" si="36"/>
        <v>80</v>
      </c>
      <c r="K118" s="1160">
        <f t="shared" si="40"/>
        <v>24.109714285714286</v>
      </c>
      <c r="L118" s="1156">
        <f>(D118/F118)/G118</f>
        <v>0</v>
      </c>
      <c r="M118" s="1160" t="s">
        <v>37</v>
      </c>
      <c r="N118" s="1160">
        <f t="shared" si="37"/>
        <v>241.09714285714287</v>
      </c>
      <c r="O118" s="1160">
        <f t="shared" si="38"/>
        <v>0</v>
      </c>
    </row>
    <row r="119" spans="1:15" ht="14.25" customHeight="1" x14ac:dyDescent="0.3">
      <c r="A119" s="1157" t="s">
        <v>793</v>
      </c>
      <c r="B119" s="1157" t="s">
        <v>13</v>
      </c>
      <c r="C119" s="1158" t="s">
        <v>14</v>
      </c>
      <c r="D119" s="1159">
        <v>0</v>
      </c>
      <c r="E119" s="1160">
        <v>3751.1720647773304</v>
      </c>
      <c r="F119" s="1354">
        <v>1</v>
      </c>
      <c r="G119" s="1161">
        <v>135</v>
      </c>
      <c r="H119" s="1160" t="s">
        <v>53</v>
      </c>
      <c r="I119" s="1162">
        <v>5.5</v>
      </c>
      <c r="J119" s="1162">
        <f t="shared" si="36"/>
        <v>40.74074074074074</v>
      </c>
      <c r="K119" s="1160">
        <f t="shared" si="40"/>
        <v>27.786459739091338</v>
      </c>
      <c r="L119" s="1156">
        <f t="shared" si="39"/>
        <v>0</v>
      </c>
      <c r="M119" s="1160" t="s">
        <v>37</v>
      </c>
      <c r="N119" s="1160">
        <f t="shared" si="37"/>
        <v>152.82552856500237</v>
      </c>
      <c r="O119" s="1160">
        <f t="shared" si="38"/>
        <v>0</v>
      </c>
    </row>
    <row r="120" spans="1:15" ht="14.25" customHeight="1" x14ac:dyDescent="0.3">
      <c r="A120" s="1097" t="s">
        <v>794</v>
      </c>
      <c r="B120" s="1097" t="s">
        <v>13</v>
      </c>
      <c r="C120" s="1101" t="s">
        <v>14</v>
      </c>
      <c r="D120" s="1152">
        <v>0</v>
      </c>
      <c r="E120" s="1153">
        <v>63.942184968117061</v>
      </c>
      <c r="F120" s="1355">
        <v>0.5</v>
      </c>
      <c r="G120" s="1154">
        <v>100</v>
      </c>
      <c r="H120" s="1153" t="s">
        <v>68</v>
      </c>
      <c r="I120" s="1155">
        <v>9</v>
      </c>
      <c r="J120" s="1155">
        <f t="shared" si="36"/>
        <v>90</v>
      </c>
      <c r="K120" s="1153">
        <f t="shared" si="40"/>
        <v>1.2788436993623413</v>
      </c>
      <c r="L120" s="1156">
        <f>(D120/F120)/G120</f>
        <v>0</v>
      </c>
      <c r="M120" s="1153" t="s">
        <v>42</v>
      </c>
      <c r="N120" s="1153">
        <f t="shared" si="37"/>
        <v>11.509593294261071</v>
      </c>
      <c r="O120" s="1153">
        <f t="shared" si="38"/>
        <v>0</v>
      </c>
    </row>
    <row r="121" spans="1:15" ht="14.25" customHeight="1" x14ac:dyDescent="0.3">
      <c r="A121" s="1157" t="s">
        <v>792</v>
      </c>
      <c r="B121" s="1157" t="s">
        <v>13</v>
      </c>
      <c r="C121" s="1158" t="s">
        <v>14</v>
      </c>
      <c r="D121" s="1159">
        <v>2361.2730295913275</v>
      </c>
      <c r="E121" s="1160">
        <v>21000.268356908698</v>
      </c>
      <c r="F121" s="1354">
        <v>1</v>
      </c>
      <c r="G121" s="1161">
        <v>1000</v>
      </c>
      <c r="H121" s="1160" t="s">
        <v>45</v>
      </c>
      <c r="I121" s="1162">
        <v>10.5</v>
      </c>
      <c r="J121" s="1162">
        <f t="shared" si="36"/>
        <v>10.5</v>
      </c>
      <c r="K121" s="1160">
        <f t="shared" si="40"/>
        <v>21.000268356908698</v>
      </c>
      <c r="L121" s="1156">
        <f t="shared" si="39"/>
        <v>2.3612730295913273</v>
      </c>
      <c r="M121" s="1160" t="s">
        <v>45</v>
      </c>
      <c r="N121" s="1160">
        <f t="shared" si="37"/>
        <v>220.50281774754134</v>
      </c>
      <c r="O121" s="1160">
        <f t="shared" si="38"/>
        <v>24.793366810708939</v>
      </c>
    </row>
    <row r="122" spans="1:15" ht="14.25" customHeight="1" x14ac:dyDescent="0.3">
      <c r="A122" s="1163" t="s">
        <v>56</v>
      </c>
      <c r="B122" s="1163" t="s">
        <v>13</v>
      </c>
      <c r="C122" s="1164" t="s">
        <v>14</v>
      </c>
      <c r="D122" s="1165">
        <v>1203.030205375326</v>
      </c>
      <c r="E122" s="1166">
        <v>6570.4630960941995</v>
      </c>
      <c r="F122" s="1356">
        <v>0.87</v>
      </c>
      <c r="G122" s="1167">
        <v>1000</v>
      </c>
      <c r="H122" s="1166" t="s">
        <v>45</v>
      </c>
      <c r="I122" s="1168">
        <v>7</v>
      </c>
      <c r="J122" s="1168">
        <f t="shared" si="36"/>
        <v>7</v>
      </c>
      <c r="K122" s="1166">
        <f t="shared" si="40"/>
        <v>7.5522564322921832</v>
      </c>
      <c r="L122" s="1156">
        <f t="shared" si="39"/>
        <v>1.382793339511869</v>
      </c>
      <c r="M122" s="1166" t="s">
        <v>45</v>
      </c>
      <c r="N122" s="1166">
        <f t="shared" si="37"/>
        <v>52.865795026045284</v>
      </c>
      <c r="O122" s="1166">
        <f t="shared" si="38"/>
        <v>9.6795533765830832</v>
      </c>
    </row>
    <row r="123" spans="1:15" ht="14.25" customHeight="1" x14ac:dyDescent="0.3">
      <c r="A123" s="1157" t="s">
        <v>572</v>
      </c>
      <c r="B123" s="1157" t="s">
        <v>13</v>
      </c>
      <c r="C123" s="1158" t="s">
        <v>14</v>
      </c>
      <c r="D123" s="1159">
        <v>0</v>
      </c>
      <c r="E123" s="1160">
        <v>169.16666666666666</v>
      </c>
      <c r="F123" s="1354">
        <v>0.56999999999999995</v>
      </c>
      <c r="G123" s="1161">
        <v>1000</v>
      </c>
      <c r="H123" s="1160" t="s">
        <v>45</v>
      </c>
      <c r="I123" s="1162">
        <v>5</v>
      </c>
      <c r="J123" s="1162">
        <f t="shared" si="36"/>
        <v>5</v>
      </c>
      <c r="K123" s="1160"/>
      <c r="L123" s="1156">
        <f t="shared" si="39"/>
        <v>0</v>
      </c>
      <c r="M123" s="1166" t="s">
        <v>45</v>
      </c>
      <c r="N123" s="1160"/>
      <c r="O123" s="1160"/>
    </row>
    <row r="124" spans="1:15" ht="14.25" customHeight="1" x14ac:dyDescent="0.3">
      <c r="A124" s="1157" t="s">
        <v>32</v>
      </c>
      <c r="B124" s="1157" t="s">
        <v>13</v>
      </c>
      <c r="C124" s="1158" t="s">
        <v>14</v>
      </c>
      <c r="D124" s="1159">
        <v>3036.4956666666667</v>
      </c>
      <c r="E124" s="1160">
        <v>20183.904106825383</v>
      </c>
      <c r="F124" s="1354">
        <v>0.96</v>
      </c>
      <c r="G124" s="1161">
        <v>1000</v>
      </c>
      <c r="H124" s="1160" t="s">
        <v>15</v>
      </c>
      <c r="I124" s="1162">
        <v>4</v>
      </c>
      <c r="J124" s="1162">
        <f t="shared" si="36"/>
        <v>4</v>
      </c>
      <c r="K124" s="1160">
        <f t="shared" ref="K124:K135" si="41">(E124/F124)/G124</f>
        <v>21.024900111276441</v>
      </c>
      <c r="L124" s="1156">
        <f t="shared" si="39"/>
        <v>3.1630163194444445</v>
      </c>
      <c r="M124" s="1160" t="s">
        <v>15</v>
      </c>
      <c r="N124" s="1160">
        <f t="shared" ref="N124:N135" si="42">K124*I124</f>
        <v>84.099600445105764</v>
      </c>
      <c r="O124" s="1160">
        <f t="shared" ref="O124:O140" si="43">L124*I124</f>
        <v>12.652065277777778</v>
      </c>
    </row>
    <row r="125" spans="1:15" ht="14.25" customHeight="1" x14ac:dyDescent="0.3">
      <c r="A125" s="1157" t="s">
        <v>34</v>
      </c>
      <c r="B125" s="1157" t="s">
        <v>13</v>
      </c>
      <c r="C125" s="1158" t="s">
        <v>14</v>
      </c>
      <c r="D125" s="1159">
        <v>157.91993720565156</v>
      </c>
      <c r="E125" s="1160">
        <v>1140.7853744574757</v>
      </c>
      <c r="F125" s="1354">
        <v>0.86</v>
      </c>
      <c r="G125" s="1161">
        <v>1000</v>
      </c>
      <c r="H125" s="1160" t="s">
        <v>15</v>
      </c>
      <c r="I125" s="1162">
        <v>14</v>
      </c>
      <c r="J125" s="1162">
        <f t="shared" si="36"/>
        <v>14</v>
      </c>
      <c r="K125" s="1169">
        <f t="shared" si="41"/>
        <v>1.3264946214621809</v>
      </c>
      <c r="L125" s="1156">
        <f t="shared" si="39"/>
        <v>0.18362783396005997</v>
      </c>
      <c r="M125" s="1160" t="s">
        <v>15</v>
      </c>
      <c r="N125" s="1160">
        <f t="shared" si="42"/>
        <v>18.570924700470531</v>
      </c>
      <c r="O125" s="1160">
        <f t="shared" si="43"/>
        <v>2.5707896754408397</v>
      </c>
    </row>
    <row r="126" spans="1:15" ht="14.25" customHeight="1" x14ac:dyDescent="0.3">
      <c r="A126" s="1157" t="s">
        <v>40</v>
      </c>
      <c r="B126" s="1157" t="s">
        <v>13</v>
      </c>
      <c r="C126" s="1158" t="s">
        <v>14</v>
      </c>
      <c r="D126" s="1159">
        <v>0</v>
      </c>
      <c r="E126" s="1160">
        <v>3258.1196581196591</v>
      </c>
      <c r="F126" s="1354">
        <v>0.84</v>
      </c>
      <c r="G126" s="1161">
        <v>1350</v>
      </c>
      <c r="H126" s="1160" t="s">
        <v>41</v>
      </c>
      <c r="I126" s="1162">
        <v>4</v>
      </c>
      <c r="J126" s="1162">
        <f t="shared" si="36"/>
        <v>2.9629629629629628</v>
      </c>
      <c r="K126" s="1160">
        <f t="shared" si="41"/>
        <v>2.8731213916399114</v>
      </c>
      <c r="L126" s="1156">
        <f t="shared" si="39"/>
        <v>0</v>
      </c>
      <c r="M126" s="1160" t="s">
        <v>42</v>
      </c>
      <c r="N126" s="1160">
        <f t="shared" si="42"/>
        <v>11.492485566559646</v>
      </c>
      <c r="O126" s="1160">
        <f t="shared" si="43"/>
        <v>0</v>
      </c>
    </row>
    <row r="127" spans="1:15" ht="14.25" customHeight="1" x14ac:dyDescent="0.3">
      <c r="A127" s="1157" t="s">
        <v>381</v>
      </c>
      <c r="B127" s="1157" t="s">
        <v>13</v>
      </c>
      <c r="C127" s="1158" t="s">
        <v>14</v>
      </c>
      <c r="D127" s="1159">
        <v>0</v>
      </c>
      <c r="E127" s="1160">
        <v>4955</v>
      </c>
      <c r="F127" s="1354">
        <v>0.56999999999999995</v>
      </c>
      <c r="G127" s="1161">
        <v>1000</v>
      </c>
      <c r="H127" s="1160" t="s">
        <v>45</v>
      </c>
      <c r="I127" s="1162">
        <v>8.5</v>
      </c>
      <c r="J127" s="1162">
        <f t="shared" si="36"/>
        <v>8.5</v>
      </c>
      <c r="K127" s="1160">
        <f t="shared" si="41"/>
        <v>8.692982456140351</v>
      </c>
      <c r="L127" s="1156">
        <f t="shared" si="39"/>
        <v>0</v>
      </c>
      <c r="M127" s="1160" t="s">
        <v>45</v>
      </c>
      <c r="N127" s="1160">
        <f t="shared" si="42"/>
        <v>73.890350877192986</v>
      </c>
      <c r="O127" s="1160">
        <f t="shared" si="43"/>
        <v>0</v>
      </c>
    </row>
    <row r="128" spans="1:15" ht="14.25" customHeight="1" x14ac:dyDescent="0.3">
      <c r="A128" s="1163" t="s">
        <v>825</v>
      </c>
      <c r="B128" s="1163" t="s">
        <v>13</v>
      </c>
      <c r="C128" s="1164" t="s">
        <v>14</v>
      </c>
      <c r="D128" s="1165">
        <v>0</v>
      </c>
      <c r="E128" s="1166">
        <v>31.406985871271598</v>
      </c>
      <c r="F128" s="1356">
        <v>0.85</v>
      </c>
      <c r="G128" s="1167">
        <v>1000</v>
      </c>
      <c r="H128" s="1166" t="s">
        <v>45</v>
      </c>
      <c r="I128" s="1168">
        <v>30</v>
      </c>
      <c r="J128" s="1168">
        <f>I128</f>
        <v>30</v>
      </c>
      <c r="K128" s="1166">
        <f t="shared" si="41"/>
        <v>3.6949395142672474E-2</v>
      </c>
      <c r="L128" s="1156">
        <f t="shared" si="39"/>
        <v>0</v>
      </c>
      <c r="M128" s="1166" t="s">
        <v>45</v>
      </c>
      <c r="N128" s="1166">
        <f t="shared" si="42"/>
        <v>1.1084818542801742</v>
      </c>
      <c r="O128" s="1166">
        <f t="shared" si="43"/>
        <v>0</v>
      </c>
    </row>
    <row r="129" spans="1:24" ht="13.5" customHeight="1" x14ac:dyDescent="0.3">
      <c r="A129" s="1163" t="s">
        <v>824</v>
      </c>
      <c r="B129" s="1163" t="s">
        <v>13</v>
      </c>
      <c r="C129" s="1164" t="s">
        <v>14</v>
      </c>
      <c r="D129" s="1165">
        <v>0</v>
      </c>
      <c r="E129" s="1166">
        <v>62.813971742543202</v>
      </c>
      <c r="F129" s="1356">
        <v>0.9</v>
      </c>
      <c r="G129" s="1167">
        <v>1000</v>
      </c>
      <c r="H129" s="1166" t="s">
        <v>45</v>
      </c>
      <c r="I129" s="1168">
        <v>30</v>
      </c>
      <c r="J129" s="1168">
        <f>I129</f>
        <v>30</v>
      </c>
      <c r="K129" s="1166">
        <f t="shared" si="41"/>
        <v>6.9793301936159111E-2</v>
      </c>
      <c r="L129" s="1156">
        <f t="shared" si="39"/>
        <v>0</v>
      </c>
      <c r="M129" s="1166" t="s">
        <v>45</v>
      </c>
      <c r="N129" s="1166">
        <f t="shared" si="42"/>
        <v>2.0937990580847732</v>
      </c>
      <c r="O129" s="1166">
        <f t="shared" si="43"/>
        <v>0</v>
      </c>
    </row>
    <row r="130" spans="1:24" ht="14.25" customHeight="1" x14ac:dyDescent="0.3">
      <c r="A130" s="1097" t="s">
        <v>70</v>
      </c>
      <c r="B130" s="1097" t="s">
        <v>13</v>
      </c>
      <c r="C130" s="1101" t="s">
        <v>14</v>
      </c>
      <c r="D130" s="1152">
        <v>0</v>
      </c>
      <c r="E130" s="1153">
        <v>568.82350852272748</v>
      </c>
      <c r="F130" s="1353">
        <v>0.43</v>
      </c>
      <c r="G130" s="1154">
        <v>900</v>
      </c>
      <c r="H130" s="1153" t="s">
        <v>71</v>
      </c>
      <c r="I130" s="1155">
        <v>3</v>
      </c>
      <c r="J130" s="1155">
        <f t="shared" ref="J130:J136" si="44">I130/(G130/1000)</f>
        <v>3.333333333333333</v>
      </c>
      <c r="K130" s="1153">
        <f t="shared" si="41"/>
        <v>1.4698281873972288</v>
      </c>
      <c r="L130" s="1156">
        <f t="shared" si="39"/>
        <v>0</v>
      </c>
      <c r="M130" s="1153" t="s">
        <v>42</v>
      </c>
      <c r="N130" s="1153">
        <f t="shared" si="42"/>
        <v>4.4094845621916861</v>
      </c>
      <c r="O130" s="1153">
        <f t="shared" si="43"/>
        <v>0</v>
      </c>
    </row>
    <row r="131" spans="1:24" ht="14.25" customHeight="1" x14ac:dyDescent="0.3">
      <c r="A131" s="1157" t="s">
        <v>820</v>
      </c>
      <c r="B131" s="1157" t="s">
        <v>13</v>
      </c>
      <c r="C131" s="1158" t="s">
        <v>14</v>
      </c>
      <c r="D131" s="1159">
        <v>0</v>
      </c>
      <c r="E131" s="1160">
        <v>5705.7570468238355</v>
      </c>
      <c r="F131" s="1354">
        <v>1</v>
      </c>
      <c r="G131" s="1161">
        <v>250</v>
      </c>
      <c r="H131" s="1160" t="s">
        <v>36</v>
      </c>
      <c r="I131" s="1162">
        <v>5.5</v>
      </c>
      <c r="J131" s="1162">
        <f t="shared" si="44"/>
        <v>22</v>
      </c>
      <c r="K131" s="1160">
        <f t="shared" si="41"/>
        <v>22.823028187295343</v>
      </c>
      <c r="L131" s="1156">
        <f t="shared" si="39"/>
        <v>0</v>
      </c>
      <c r="M131" s="1160" t="s">
        <v>37</v>
      </c>
      <c r="N131" s="1160">
        <f t="shared" si="42"/>
        <v>125.52665503012439</v>
      </c>
      <c r="O131" s="1160">
        <f t="shared" si="43"/>
        <v>0</v>
      </c>
    </row>
    <row r="132" spans="1:24" x14ac:dyDescent="0.3">
      <c r="A132" s="1157" t="s">
        <v>12</v>
      </c>
      <c r="B132" s="1157" t="s">
        <v>13</v>
      </c>
      <c r="C132" s="1158" t="s">
        <v>14</v>
      </c>
      <c r="D132" s="1159">
        <v>21305.51949513255</v>
      </c>
      <c r="E132" s="1160">
        <v>124729.97231950618</v>
      </c>
      <c r="F132" s="1354">
        <v>0.9</v>
      </c>
      <c r="G132" s="1161">
        <v>1000</v>
      </c>
      <c r="H132" s="1160" t="s">
        <v>15</v>
      </c>
      <c r="I132" s="1162">
        <v>3</v>
      </c>
      <c r="J132" s="1162">
        <f t="shared" si="44"/>
        <v>3</v>
      </c>
      <c r="K132" s="1160">
        <f t="shared" si="41"/>
        <v>138.58885813278462</v>
      </c>
      <c r="L132" s="1156">
        <f t="shared" si="39"/>
        <v>23.672799439036169</v>
      </c>
      <c r="M132" s="1160" t="s">
        <v>15</v>
      </c>
      <c r="N132" s="1160">
        <f t="shared" si="42"/>
        <v>415.7665743983539</v>
      </c>
      <c r="O132" s="1160">
        <f t="shared" si="43"/>
        <v>71.018398317108506</v>
      </c>
    </row>
    <row r="133" spans="1:24" ht="14.25" customHeight="1" x14ac:dyDescent="0.3">
      <c r="A133" s="1157" t="s">
        <v>49</v>
      </c>
      <c r="B133" s="1157" t="s">
        <v>13</v>
      </c>
      <c r="C133" s="1158" t="s">
        <v>14</v>
      </c>
      <c r="D133" s="1159">
        <v>0</v>
      </c>
      <c r="E133" s="1160">
        <v>5545.3999999999987</v>
      </c>
      <c r="F133" s="1357">
        <v>0.5</v>
      </c>
      <c r="G133" s="1161">
        <v>1000</v>
      </c>
      <c r="H133" s="1160" t="s">
        <v>45</v>
      </c>
      <c r="I133" s="1162">
        <v>4.5</v>
      </c>
      <c r="J133" s="1162">
        <f t="shared" si="44"/>
        <v>4.5</v>
      </c>
      <c r="K133" s="1160">
        <f t="shared" si="41"/>
        <v>11.090799999999998</v>
      </c>
      <c r="L133" s="1156">
        <f t="shared" si="39"/>
        <v>0</v>
      </c>
      <c r="M133" s="1160" t="s">
        <v>45</v>
      </c>
      <c r="N133" s="1160">
        <f t="shared" si="42"/>
        <v>49.908599999999993</v>
      </c>
      <c r="O133" s="1160">
        <f t="shared" si="43"/>
        <v>0</v>
      </c>
    </row>
    <row r="134" spans="1:24" x14ac:dyDescent="0.3">
      <c r="A134" s="1157" t="s">
        <v>21</v>
      </c>
      <c r="B134" s="1157" t="s">
        <v>13</v>
      </c>
      <c r="C134" s="1158" t="s">
        <v>14</v>
      </c>
      <c r="D134" s="1159">
        <v>106933.84158415842</v>
      </c>
      <c r="E134" s="1160">
        <v>260388.86020362889</v>
      </c>
      <c r="F134" s="1354">
        <v>0.9</v>
      </c>
      <c r="G134" s="1161">
        <v>1000</v>
      </c>
      <c r="H134" s="1160" t="s">
        <v>15</v>
      </c>
      <c r="I134" s="1162">
        <v>2.2999999999999998</v>
      </c>
      <c r="J134" s="1162">
        <f t="shared" si="44"/>
        <v>2.2999999999999998</v>
      </c>
      <c r="K134" s="1160">
        <f t="shared" si="41"/>
        <v>289.32095578180986</v>
      </c>
      <c r="L134" s="1156">
        <f t="shared" si="39"/>
        <v>118.81537953795379</v>
      </c>
      <c r="M134" s="1160" t="s">
        <v>15</v>
      </c>
      <c r="N134" s="1160">
        <f t="shared" si="42"/>
        <v>665.43819829816266</v>
      </c>
      <c r="O134" s="1160">
        <f t="shared" si="43"/>
        <v>273.2753729372937</v>
      </c>
    </row>
    <row r="135" spans="1:24" x14ac:dyDescent="0.3">
      <c r="A135" s="1157" t="s">
        <v>28</v>
      </c>
      <c r="B135" s="1157" t="s">
        <v>13</v>
      </c>
      <c r="C135" s="1158" t="s">
        <v>14</v>
      </c>
      <c r="D135" s="1159">
        <v>3036.4956666666667</v>
      </c>
      <c r="E135" s="1160">
        <v>16382.054337594609</v>
      </c>
      <c r="F135" s="1354">
        <v>0.56999999999999995</v>
      </c>
      <c r="G135" s="1161">
        <v>1000</v>
      </c>
      <c r="H135" s="1160" t="s">
        <v>15</v>
      </c>
      <c r="I135" s="1162">
        <v>8.5</v>
      </c>
      <c r="J135" s="1162">
        <f t="shared" si="44"/>
        <v>8.5</v>
      </c>
      <c r="K135" s="1160">
        <f t="shared" si="41"/>
        <v>28.740446206306334</v>
      </c>
      <c r="L135" s="1156">
        <f t="shared" si="39"/>
        <v>5.3271853801169602</v>
      </c>
      <c r="M135" s="1160" t="s">
        <v>15</v>
      </c>
      <c r="N135" s="1160">
        <f t="shared" si="42"/>
        <v>244.29379275360384</v>
      </c>
      <c r="O135" s="1160">
        <f t="shared" si="43"/>
        <v>45.281075730994161</v>
      </c>
    </row>
    <row r="136" spans="1:24" x14ac:dyDescent="0.3">
      <c r="A136" s="1157" t="s">
        <v>517</v>
      </c>
      <c r="B136" s="1157" t="s">
        <v>13</v>
      </c>
      <c r="C136" s="1158" t="s">
        <v>14</v>
      </c>
      <c r="D136" s="1159">
        <v>0</v>
      </c>
      <c r="E136" s="1160">
        <v>2571</v>
      </c>
      <c r="F136" s="1357">
        <v>0.88</v>
      </c>
      <c r="G136" s="1161">
        <v>1000</v>
      </c>
      <c r="H136" s="1160" t="s">
        <v>45</v>
      </c>
      <c r="I136" s="1162">
        <v>3</v>
      </c>
      <c r="J136" s="1162">
        <f t="shared" si="44"/>
        <v>3</v>
      </c>
      <c r="K136" s="1160"/>
      <c r="L136" s="1156">
        <f>(D136/F136)/G136</f>
        <v>0</v>
      </c>
      <c r="M136" s="1160" t="s">
        <v>15</v>
      </c>
      <c r="N136" s="1160"/>
      <c r="O136" s="1160">
        <f t="shared" si="43"/>
        <v>0</v>
      </c>
    </row>
    <row r="137" spans="1:24" x14ac:dyDescent="0.3">
      <c r="A137" s="1097" t="s">
        <v>822</v>
      </c>
      <c r="B137" s="1097" t="s">
        <v>13</v>
      </c>
      <c r="C137" s="1101" t="s">
        <v>14</v>
      </c>
      <c r="D137" s="1152">
        <v>22.655536082474228</v>
      </c>
      <c r="E137" s="1153">
        <v>86.597721050591289</v>
      </c>
      <c r="F137" s="1355">
        <v>0.74</v>
      </c>
      <c r="G137" s="1154">
        <v>100</v>
      </c>
      <c r="H137" s="1153" t="s">
        <v>68</v>
      </c>
      <c r="I137" s="1155">
        <v>10</v>
      </c>
      <c r="J137" s="1155">
        <f>I137/0.1</f>
        <v>100</v>
      </c>
      <c r="K137" s="1153">
        <f>(E137/F137)/G137</f>
        <v>1.1702394736566391</v>
      </c>
      <c r="L137" s="1156">
        <f t="shared" si="39"/>
        <v>0.3061558930064085</v>
      </c>
      <c r="M137" s="1153" t="s">
        <v>42</v>
      </c>
      <c r="N137" s="1153">
        <f>K137*I137</f>
        <v>11.70239473656639</v>
      </c>
      <c r="O137" s="1153">
        <f t="shared" si="43"/>
        <v>3.0615589300640851</v>
      </c>
    </row>
    <row r="138" spans="1:24" x14ac:dyDescent="0.3">
      <c r="A138" s="1157" t="s">
        <v>17</v>
      </c>
      <c r="B138" s="1157" t="s">
        <v>13</v>
      </c>
      <c r="C138" s="1158" t="s">
        <v>14</v>
      </c>
      <c r="D138" s="1159">
        <v>21562.926722472428</v>
      </c>
      <c r="E138" s="1160">
        <v>140776.06752781439</v>
      </c>
      <c r="F138" s="1354">
        <v>0.98</v>
      </c>
      <c r="G138" s="1161">
        <v>1000</v>
      </c>
      <c r="H138" s="1160" t="s">
        <v>15</v>
      </c>
      <c r="I138" s="1162">
        <v>3.5</v>
      </c>
      <c r="J138" s="1162">
        <f>I138/(G138/1000)</f>
        <v>3.5</v>
      </c>
      <c r="K138" s="1160">
        <f>(E138/F138)/G138</f>
        <v>143.64904849776977</v>
      </c>
      <c r="L138" s="1156">
        <f t="shared" si="39"/>
        <v>22.00298645150248</v>
      </c>
      <c r="M138" s="1160" t="s">
        <v>15</v>
      </c>
      <c r="N138" s="1160">
        <f>K138*I138</f>
        <v>502.77166974219421</v>
      </c>
      <c r="O138" s="1160">
        <f t="shared" si="43"/>
        <v>77.010452580258686</v>
      </c>
    </row>
    <row r="139" spans="1:24" x14ac:dyDescent="0.3">
      <c r="A139" s="1157" t="s">
        <v>30</v>
      </c>
      <c r="B139" s="1157" t="s">
        <v>13</v>
      </c>
      <c r="C139" s="1158" t="s">
        <v>14</v>
      </c>
      <c r="D139" s="1159">
        <v>3036.4956666666667</v>
      </c>
      <c r="E139" s="1160">
        <v>14492.400491440763</v>
      </c>
      <c r="F139" s="1354">
        <v>0.56999999999999995</v>
      </c>
      <c r="G139" s="1161">
        <v>1000</v>
      </c>
      <c r="H139" s="1160" t="s">
        <v>15</v>
      </c>
      <c r="I139" s="1162">
        <v>8.5</v>
      </c>
      <c r="J139" s="1162">
        <f>I139/(G139/1000)</f>
        <v>8.5</v>
      </c>
      <c r="K139" s="1160">
        <f>(E139/F139)/G139</f>
        <v>25.425264020071516</v>
      </c>
      <c r="L139" s="1156">
        <f t="shared" si="39"/>
        <v>5.3271853801169602</v>
      </c>
      <c r="M139" s="1160" t="s">
        <v>15</v>
      </c>
      <c r="N139" s="1160">
        <f>K139*I139</f>
        <v>216.11474417060788</v>
      </c>
      <c r="O139" s="1160">
        <f t="shared" si="43"/>
        <v>45.281075730994161</v>
      </c>
    </row>
    <row r="140" spans="1:24" x14ac:dyDescent="0.3">
      <c r="A140" s="1157" t="s">
        <v>47</v>
      </c>
      <c r="B140" s="1157" t="s">
        <v>13</v>
      </c>
      <c r="C140" s="1158" t="s">
        <v>14</v>
      </c>
      <c r="D140" s="1159">
        <v>6142.5</v>
      </c>
      <c r="E140" s="1160">
        <v>46513.307896483078</v>
      </c>
      <c r="F140" s="1357">
        <v>0.78</v>
      </c>
      <c r="G140" s="1161">
        <v>1000</v>
      </c>
      <c r="H140" s="1160" t="s">
        <v>45</v>
      </c>
      <c r="I140" s="1162">
        <v>3.7</v>
      </c>
      <c r="J140" s="1162">
        <f>I140/(G140/1000)</f>
        <v>3.7</v>
      </c>
      <c r="K140" s="1160">
        <f>(E140/F140)/G140</f>
        <v>59.632446021132147</v>
      </c>
      <c r="L140" s="1156">
        <f>(D140/F140)/G140</f>
        <v>7.875</v>
      </c>
      <c r="M140" s="1160" t="s">
        <v>45</v>
      </c>
      <c r="N140" s="1160">
        <f>K140*I140</f>
        <v>220.64005027818897</v>
      </c>
      <c r="O140" s="1160">
        <f t="shared" si="43"/>
        <v>29.137500000000003</v>
      </c>
    </row>
    <row r="141" spans="1:24" x14ac:dyDescent="0.3">
      <c r="B141" s="9"/>
      <c r="C141" s="10"/>
      <c r="D141" s="11"/>
      <c r="E141" s="12"/>
      <c r="F141" s="1351"/>
      <c r="G141" s="1117"/>
      <c r="H141" s="1017"/>
      <c r="I141" s="1018"/>
      <c r="J141" s="1018"/>
      <c r="K141" s="13"/>
      <c r="L141" s="13"/>
      <c r="M141" s="13"/>
      <c r="N141" s="13"/>
      <c r="O141" s="13"/>
    </row>
    <row r="142" spans="1:24" x14ac:dyDescent="0.3">
      <c r="A142" s="56" t="s">
        <v>229</v>
      </c>
      <c r="B142" s="56" t="s">
        <v>230</v>
      </c>
      <c r="C142" s="57" t="s">
        <v>14</v>
      </c>
      <c r="D142" s="58">
        <v>219798.80938656564</v>
      </c>
      <c r="E142" s="59">
        <v>1279984.0312052583</v>
      </c>
      <c r="F142" s="1358">
        <v>0.86</v>
      </c>
      <c r="G142" s="60">
        <v>10000</v>
      </c>
      <c r="H142" s="60" t="s">
        <v>120</v>
      </c>
      <c r="I142" s="1120">
        <v>171</v>
      </c>
      <c r="J142" s="60">
        <f>I142/(G142/1000)</f>
        <v>17.100000000000001</v>
      </c>
      <c r="K142" s="60">
        <f t="shared" ref="K142:K149" si="45">(E142/F142)/G142</f>
        <v>148.83535246572771</v>
      </c>
      <c r="L142" s="60">
        <f t="shared" ref="L142:L149" si="46">(D142/F142)/G142</f>
        <v>25.558001091461122</v>
      </c>
      <c r="M142" s="60" t="s">
        <v>26</v>
      </c>
      <c r="N142" s="60">
        <f t="shared" ref="N142:N149" si="47">K142*I142</f>
        <v>25450.845271639439</v>
      </c>
      <c r="O142" s="60">
        <f t="shared" ref="O142:O149" si="48">L142*I142</f>
        <v>4370.4181866398521</v>
      </c>
    </row>
    <row r="143" spans="1:24" x14ac:dyDescent="0.3">
      <c r="A143" s="56" t="s">
        <v>235</v>
      </c>
      <c r="B143" s="886" t="s">
        <v>230</v>
      </c>
      <c r="C143" s="57" t="s">
        <v>14</v>
      </c>
      <c r="D143" s="58">
        <v>0</v>
      </c>
      <c r="E143" s="59">
        <v>199378.75611460517</v>
      </c>
      <c r="F143" s="1358">
        <v>0.37</v>
      </c>
      <c r="G143" s="60">
        <v>10000</v>
      </c>
      <c r="H143" s="60" t="s">
        <v>120</v>
      </c>
      <c r="I143" s="1120">
        <v>120</v>
      </c>
      <c r="J143" s="60">
        <f>I143/(G143/1000)</f>
        <v>12</v>
      </c>
      <c r="K143" s="60">
        <f t="shared" si="45"/>
        <v>53.886150301244648</v>
      </c>
      <c r="L143" s="887">
        <f t="shared" si="46"/>
        <v>0</v>
      </c>
      <c r="M143" s="887" t="s">
        <v>26</v>
      </c>
      <c r="N143" s="60">
        <f t="shared" si="47"/>
        <v>6466.3380361493573</v>
      </c>
      <c r="O143" s="60">
        <f t="shared" si="48"/>
        <v>0</v>
      </c>
      <c r="X143" s="398"/>
    </row>
    <row r="144" spans="1:24" x14ac:dyDescent="0.3">
      <c r="A144" s="56" t="s">
        <v>232</v>
      </c>
      <c r="B144" s="56" t="s">
        <v>230</v>
      </c>
      <c r="C144" s="57" t="s">
        <v>14</v>
      </c>
      <c r="D144" s="58">
        <v>47065.438775510207</v>
      </c>
      <c r="E144" s="59">
        <v>527280.24752500292</v>
      </c>
      <c r="F144" s="1358">
        <v>0.55000000000000004</v>
      </c>
      <c r="G144" s="60">
        <v>18000</v>
      </c>
      <c r="H144" s="60" t="s">
        <v>233</v>
      </c>
      <c r="I144" s="1120">
        <v>480</v>
      </c>
      <c r="J144" s="60">
        <f>I144/(G144/1000)</f>
        <v>26.666666666666668</v>
      </c>
      <c r="K144" s="60">
        <f t="shared" si="45"/>
        <v>53.260631063131605</v>
      </c>
      <c r="L144" s="60">
        <f t="shared" si="46"/>
        <v>4.7540847247990108</v>
      </c>
      <c r="M144" s="60" t="s">
        <v>26</v>
      </c>
      <c r="N144" s="60">
        <f t="shared" si="47"/>
        <v>25565.102910303169</v>
      </c>
      <c r="O144" s="60">
        <f t="shared" si="48"/>
        <v>2281.9606679035251</v>
      </c>
    </row>
    <row r="145" spans="1:15" x14ac:dyDescent="0.3">
      <c r="A145" s="56" t="s">
        <v>237</v>
      </c>
      <c r="B145" s="56" t="s">
        <v>230</v>
      </c>
      <c r="C145" s="57" t="s">
        <v>14</v>
      </c>
      <c r="D145" s="58">
        <v>88186.323317659335</v>
      </c>
      <c r="E145" s="59">
        <v>342483.92040505464</v>
      </c>
      <c r="F145" s="1358">
        <v>0.99</v>
      </c>
      <c r="G145" s="60">
        <v>1000</v>
      </c>
      <c r="H145" s="60" t="s">
        <v>45</v>
      </c>
      <c r="I145" s="1120">
        <v>0</v>
      </c>
      <c r="J145" s="60">
        <v>0</v>
      </c>
      <c r="K145" s="61">
        <f t="shared" si="45"/>
        <v>345.94335394449962</v>
      </c>
      <c r="L145" s="60">
        <f t="shared" si="46"/>
        <v>89.077094260261958</v>
      </c>
      <c r="M145" s="60" t="s">
        <v>45</v>
      </c>
      <c r="N145" s="60">
        <f t="shared" si="47"/>
        <v>0</v>
      </c>
      <c r="O145" s="60">
        <f t="shared" si="48"/>
        <v>0</v>
      </c>
    </row>
    <row r="146" spans="1:15" x14ac:dyDescent="0.3">
      <c r="A146" s="56" t="s">
        <v>231</v>
      </c>
      <c r="B146" s="56" t="s">
        <v>230</v>
      </c>
      <c r="C146" s="57" t="s">
        <v>14</v>
      </c>
      <c r="D146" s="58">
        <v>0</v>
      </c>
      <c r="E146" s="59">
        <v>5610</v>
      </c>
      <c r="F146" s="1358">
        <v>1</v>
      </c>
      <c r="G146" s="60">
        <v>1000</v>
      </c>
      <c r="H146" s="60" t="s">
        <v>45</v>
      </c>
      <c r="I146" s="1120">
        <v>30</v>
      </c>
      <c r="J146" s="60">
        <f>I146/(G146/1000)</f>
        <v>30</v>
      </c>
      <c r="K146" s="61">
        <f t="shared" si="45"/>
        <v>5.61</v>
      </c>
      <c r="L146" s="61">
        <f t="shared" si="46"/>
        <v>0</v>
      </c>
      <c r="M146" s="60" t="s">
        <v>45</v>
      </c>
      <c r="N146" s="60">
        <f t="shared" si="47"/>
        <v>168.3</v>
      </c>
      <c r="O146" s="60">
        <f t="shared" si="48"/>
        <v>0</v>
      </c>
    </row>
    <row r="147" spans="1:15" x14ac:dyDescent="0.3">
      <c r="A147" s="56" t="s">
        <v>234</v>
      </c>
      <c r="B147" s="56" t="s">
        <v>230</v>
      </c>
      <c r="C147" s="57" t="s">
        <v>14</v>
      </c>
      <c r="D147" s="58">
        <v>73974.025974025979</v>
      </c>
      <c r="E147" s="59">
        <v>73974.025974025979</v>
      </c>
      <c r="F147" s="1358">
        <v>0.95</v>
      </c>
      <c r="G147" s="60">
        <v>1000</v>
      </c>
      <c r="H147" s="60" t="s">
        <v>45</v>
      </c>
      <c r="I147" s="1120">
        <v>65</v>
      </c>
      <c r="J147" s="60">
        <f>I147/(G147/1000)</f>
        <v>65</v>
      </c>
      <c r="K147" s="61">
        <f t="shared" si="45"/>
        <v>77.867395762132617</v>
      </c>
      <c r="L147" s="60">
        <f t="shared" si="46"/>
        <v>77.867395762132617</v>
      </c>
      <c r="M147" s="60" t="s">
        <v>45</v>
      </c>
      <c r="N147" s="60">
        <f t="shared" si="47"/>
        <v>5061.3807245386197</v>
      </c>
      <c r="O147" s="60">
        <f t="shared" si="48"/>
        <v>5061.3807245386197</v>
      </c>
    </row>
    <row r="148" spans="1:15" x14ac:dyDescent="0.3">
      <c r="A148" s="56" t="s">
        <v>236</v>
      </c>
      <c r="B148" s="56" t="s">
        <v>230</v>
      </c>
      <c r="C148" s="57" t="s">
        <v>14</v>
      </c>
      <c r="D148" s="58">
        <v>0</v>
      </c>
      <c r="E148" s="59">
        <v>244042.23227752629</v>
      </c>
      <c r="F148" s="1358">
        <v>0.61</v>
      </c>
      <c r="G148" s="60">
        <v>10000</v>
      </c>
      <c r="H148" s="60" t="s">
        <v>120</v>
      </c>
      <c r="I148" s="1120">
        <v>390</v>
      </c>
      <c r="J148" s="60">
        <f>I148/(G148/1000)</f>
        <v>39</v>
      </c>
      <c r="K148" s="60">
        <f t="shared" si="45"/>
        <v>40.00692332418464</v>
      </c>
      <c r="L148" s="60">
        <f t="shared" si="46"/>
        <v>0</v>
      </c>
      <c r="M148" s="60" t="s">
        <v>26</v>
      </c>
      <c r="N148" s="60">
        <f t="shared" si="47"/>
        <v>15602.70009643201</v>
      </c>
      <c r="O148" s="60">
        <f t="shared" si="48"/>
        <v>0</v>
      </c>
    </row>
    <row r="149" spans="1:15" x14ac:dyDescent="0.3">
      <c r="A149" s="56" t="s">
        <v>525</v>
      </c>
      <c r="B149" s="56" t="s">
        <v>230</v>
      </c>
      <c r="C149" s="57" t="s">
        <v>14</v>
      </c>
      <c r="D149" s="58">
        <v>0</v>
      </c>
      <c r="E149" s="59">
        <v>33000</v>
      </c>
      <c r="F149" s="1358">
        <v>0.97</v>
      </c>
      <c r="G149" s="60">
        <v>1000</v>
      </c>
      <c r="H149" s="60" t="s">
        <v>45</v>
      </c>
      <c r="I149" s="1120">
        <v>37.82</v>
      </c>
      <c r="J149" s="60">
        <f>I149/(G149/1000)</f>
        <v>37.82</v>
      </c>
      <c r="K149" s="60">
        <f t="shared" si="45"/>
        <v>34.020618556701031</v>
      </c>
      <c r="L149" s="60">
        <f t="shared" si="46"/>
        <v>0</v>
      </c>
      <c r="M149" s="60" t="s">
        <v>45</v>
      </c>
      <c r="N149" s="60">
        <f t="shared" si="47"/>
        <v>1286.659793814433</v>
      </c>
      <c r="O149" s="60">
        <f t="shared" si="48"/>
        <v>0</v>
      </c>
    </row>
    <row r="162" spans="24:27" x14ac:dyDescent="0.3">
      <c r="AA162" s="641"/>
    </row>
    <row r="163" spans="24:27" x14ac:dyDescent="0.3">
      <c r="Z163" s="639"/>
      <c r="AA163" s="641"/>
    </row>
    <row r="164" spans="24:27" x14ac:dyDescent="0.3">
      <c r="Z164" s="639"/>
      <c r="AA164" s="641"/>
    </row>
    <row r="165" spans="24:27" x14ac:dyDescent="0.3">
      <c r="Z165" s="639"/>
      <c r="AA165" s="641"/>
    </row>
    <row r="166" spans="24:27" x14ac:dyDescent="0.3">
      <c r="Z166" s="639"/>
      <c r="AA166" s="641"/>
    </row>
    <row r="167" spans="24:27" x14ac:dyDescent="0.3">
      <c r="Y167" s="639"/>
      <c r="Z167" s="641"/>
      <c r="AA167" s="641"/>
    </row>
    <row r="168" spans="24:27" x14ac:dyDescent="0.3">
      <c r="Y168" s="639"/>
      <c r="Z168" s="641"/>
      <c r="AA168" s="641"/>
    </row>
    <row r="169" spans="24:27" x14ac:dyDescent="0.3">
      <c r="Y169" s="639"/>
      <c r="Z169" s="641"/>
      <c r="AA169" s="641"/>
    </row>
    <row r="170" spans="24:27" x14ac:dyDescent="0.3">
      <c r="Y170" s="639"/>
      <c r="Z170" s="641"/>
      <c r="AA170" s="641"/>
    </row>
    <row r="171" spans="24:27" x14ac:dyDescent="0.3">
      <c r="Y171" s="639"/>
      <c r="Z171" s="641"/>
      <c r="AA171" s="641"/>
    </row>
    <row r="172" spans="24:27" x14ac:dyDescent="0.3">
      <c r="Y172" s="639"/>
      <c r="Z172" s="641"/>
      <c r="AA172" s="641"/>
    </row>
    <row r="173" spans="24:27" x14ac:dyDescent="0.3">
      <c r="Y173" s="639"/>
      <c r="Z173" s="641"/>
      <c r="AA173" s="641"/>
    </row>
    <row r="174" spans="24:27" x14ac:dyDescent="0.3">
      <c r="Y174" s="639"/>
      <c r="Z174" s="641"/>
      <c r="AA174" s="641"/>
    </row>
    <row r="175" spans="24:27" x14ac:dyDescent="0.3">
      <c r="Y175" s="639"/>
      <c r="Z175" s="641"/>
      <c r="AA175" s="641"/>
    </row>
    <row r="176" spans="24:27" x14ac:dyDescent="0.3">
      <c r="X176" s="639"/>
      <c r="Y176" s="639"/>
      <c r="Z176" s="641"/>
    </row>
    <row r="177" spans="21:32" x14ac:dyDescent="0.3">
      <c r="X177" s="639"/>
      <c r="Y177" s="639"/>
      <c r="Z177" s="641"/>
    </row>
    <row r="178" spans="21:32" x14ac:dyDescent="0.3">
      <c r="X178" s="639"/>
      <c r="Y178" s="639"/>
      <c r="Z178" s="641"/>
    </row>
    <row r="179" spans="21:32" x14ac:dyDescent="0.3">
      <c r="X179" s="639"/>
      <c r="Y179" s="639"/>
      <c r="Z179" s="641"/>
    </row>
    <row r="180" spans="21:32" x14ac:dyDescent="0.3">
      <c r="X180" s="639"/>
      <c r="Y180" s="639"/>
      <c r="Z180" s="641"/>
      <c r="AF180" s="639"/>
    </row>
    <row r="181" spans="21:32" x14ac:dyDescent="0.3">
      <c r="U181" s="1405"/>
      <c r="V181" s="1405"/>
      <c r="W181" s="967"/>
      <c r="X181" s="639"/>
      <c r="AF181" s="639"/>
    </row>
    <row r="182" spans="21:32" ht="14.5" x14ac:dyDescent="0.35">
      <c r="U182" s="968"/>
      <c r="V182" s="969"/>
      <c r="W182" s="854"/>
      <c r="X182" s="639"/>
      <c r="AB182" s="639"/>
      <c r="AF182" s="639"/>
    </row>
    <row r="183" spans="21:32" ht="14.5" x14ac:dyDescent="0.35">
      <c r="U183" s="968"/>
      <c r="V183" s="969"/>
      <c r="W183" s="854"/>
      <c r="X183" s="639"/>
      <c r="AB183" s="639"/>
      <c r="AF183" s="639"/>
    </row>
    <row r="184" spans="21:32" ht="14.5" x14ac:dyDescent="0.35">
      <c r="U184" s="968"/>
      <c r="V184" s="969"/>
      <c r="W184" s="854"/>
      <c r="X184" s="639"/>
      <c r="AB184" s="639"/>
      <c r="AF184" s="639"/>
    </row>
    <row r="185" spans="21:32" ht="14.5" x14ac:dyDescent="0.35">
      <c r="U185" s="968"/>
      <c r="V185" s="969"/>
      <c r="W185" s="854"/>
      <c r="X185" s="639"/>
      <c r="AB185" s="639"/>
      <c r="AF185" s="639"/>
    </row>
    <row r="186" spans="21:32" ht="14.5" x14ac:dyDescent="0.35">
      <c r="U186" s="968"/>
      <c r="V186" s="969"/>
      <c r="W186" s="854"/>
      <c r="X186" s="639"/>
      <c r="AB186" s="639"/>
      <c r="AF186" s="639"/>
    </row>
    <row r="187" spans="21:32" ht="14.5" x14ac:dyDescent="0.35">
      <c r="U187" s="854"/>
      <c r="V187" s="854"/>
      <c r="W187" s="854"/>
      <c r="X187" s="639"/>
      <c r="AB187" s="639"/>
      <c r="AF187" s="639"/>
    </row>
    <row r="188" spans="21:32" x14ac:dyDescent="0.3">
      <c r="U188" s="1405"/>
      <c r="V188" s="1405"/>
      <c r="W188" s="967"/>
      <c r="X188" s="639"/>
      <c r="AB188" s="639"/>
      <c r="AF188" s="639"/>
    </row>
    <row r="189" spans="21:32" ht="14.5" x14ac:dyDescent="0.35">
      <c r="U189" s="968"/>
      <c r="V189" s="969"/>
      <c r="W189" s="854"/>
      <c r="X189" s="639"/>
      <c r="AB189" s="639"/>
    </row>
    <row r="190" spans="21:32" ht="14.5" x14ac:dyDescent="0.35">
      <c r="U190" s="968"/>
      <c r="V190" s="969"/>
      <c r="W190" s="854"/>
      <c r="X190" s="639"/>
      <c r="AB190" s="639"/>
    </row>
    <row r="191" spans="21:32" ht="14.5" x14ac:dyDescent="0.35">
      <c r="U191" s="968"/>
      <c r="V191" s="969"/>
      <c r="W191" s="854"/>
      <c r="X191" s="639"/>
      <c r="AB191" s="639"/>
    </row>
    <row r="192" spans="21:32" ht="14.5" x14ac:dyDescent="0.35">
      <c r="U192" s="854"/>
      <c r="V192" s="854"/>
      <c r="W192" s="854"/>
      <c r="X192" s="639"/>
      <c r="AC192" s="850"/>
      <c r="AD192" s="850"/>
      <c r="AE192" s="851"/>
      <c r="AF192" s="852"/>
    </row>
    <row r="193" spans="21:36" x14ac:dyDescent="0.3">
      <c r="U193" s="1405"/>
      <c r="V193" s="1405"/>
      <c r="W193" s="967"/>
      <c r="AC193" s="850"/>
      <c r="AD193" s="850"/>
      <c r="AE193" s="851"/>
      <c r="AF193" s="852"/>
    </row>
    <row r="194" spans="21:36" ht="14.5" x14ac:dyDescent="0.35">
      <c r="U194" s="968"/>
      <c r="V194" s="969"/>
      <c r="W194" s="854"/>
      <c r="AC194" s="850"/>
      <c r="AD194" s="850"/>
      <c r="AE194" s="851"/>
      <c r="AF194" s="852"/>
    </row>
    <row r="195" spans="21:36" x14ac:dyDescent="0.3">
      <c r="AC195" s="850"/>
      <c r="AD195" s="850"/>
      <c r="AE195" s="851"/>
      <c r="AF195" s="852"/>
    </row>
    <row r="197" spans="21:36" ht="14.5" x14ac:dyDescent="0.35">
      <c r="U197" s="1405"/>
      <c r="V197" s="1402"/>
      <c r="W197" s="967"/>
    </row>
    <row r="198" spans="21:36" ht="14.5" x14ac:dyDescent="0.35">
      <c r="U198" s="968"/>
      <c r="V198" s="969"/>
      <c r="W198" s="854"/>
      <c r="AC198" s="639"/>
    </row>
    <row r="199" spans="21:36" ht="14.5" x14ac:dyDescent="0.35">
      <c r="U199" s="968"/>
      <c r="V199" s="969"/>
      <c r="W199" s="854"/>
      <c r="X199" s="834"/>
      <c r="AC199" s="639"/>
      <c r="AF199" s="834"/>
    </row>
    <row r="200" spans="21:36" ht="14.5" x14ac:dyDescent="0.35">
      <c r="U200" s="968"/>
      <c r="V200" s="969"/>
      <c r="W200" s="854"/>
      <c r="X200" s="834"/>
      <c r="AC200" s="639"/>
      <c r="AF200" s="834"/>
    </row>
    <row r="201" spans="21:36" ht="14.5" x14ac:dyDescent="0.35">
      <c r="U201" s="968"/>
      <c r="V201" s="969"/>
      <c r="W201" s="854"/>
      <c r="X201" s="834"/>
      <c r="AC201" s="639"/>
      <c r="AF201" s="834"/>
    </row>
    <row r="202" spans="21:36" ht="14.5" x14ac:dyDescent="0.35">
      <c r="U202" s="854"/>
      <c r="V202" s="854"/>
      <c r="W202" s="854"/>
      <c r="X202" s="834"/>
      <c r="AC202" s="639"/>
      <c r="AF202" s="834"/>
      <c r="AJ202" s="834"/>
    </row>
    <row r="203" spans="21:36" ht="14.5" x14ac:dyDescent="0.35">
      <c r="U203" s="1405"/>
      <c r="V203" s="1402"/>
      <c r="W203" s="967"/>
      <c r="X203" s="834"/>
      <c r="AC203" s="639"/>
      <c r="AF203" s="834"/>
      <c r="AJ203" s="834"/>
    </row>
    <row r="204" spans="21:36" ht="14.5" x14ac:dyDescent="0.35">
      <c r="U204" s="968"/>
      <c r="V204" s="969"/>
      <c r="W204" s="854"/>
      <c r="X204" s="834"/>
      <c r="AC204" s="639"/>
      <c r="AF204" s="834"/>
      <c r="AJ204" s="834"/>
    </row>
    <row r="205" spans="21:36" ht="14.5" x14ac:dyDescent="0.35">
      <c r="U205" s="968"/>
      <c r="V205" s="969"/>
      <c r="W205" s="854"/>
      <c r="X205" s="834"/>
      <c r="AC205" s="639"/>
      <c r="AF205" s="834"/>
      <c r="AJ205" s="834"/>
    </row>
    <row r="206" spans="21:36" ht="14.5" x14ac:dyDescent="0.35">
      <c r="U206" s="854"/>
      <c r="V206" s="854"/>
      <c r="W206" s="854"/>
      <c r="X206" s="834"/>
      <c r="AC206" s="639"/>
      <c r="AF206" s="834"/>
      <c r="AJ206" s="834"/>
    </row>
    <row r="207" spans="21:36" ht="14.5" x14ac:dyDescent="0.35">
      <c r="U207" s="1405"/>
      <c r="V207" s="1402"/>
      <c r="W207" s="967"/>
      <c r="X207" s="834"/>
      <c r="AB207" s="834"/>
      <c r="AF207" s="834"/>
      <c r="AJ207" s="834"/>
    </row>
    <row r="208" spans="21:36" ht="14.5" x14ac:dyDescent="0.35">
      <c r="U208" s="968"/>
      <c r="V208" s="969"/>
      <c r="W208" s="854"/>
      <c r="X208" s="834"/>
      <c r="AB208" s="834"/>
      <c r="AF208" s="834"/>
      <c r="AJ208" s="834"/>
    </row>
    <row r="209" spans="21:40" ht="14.5" x14ac:dyDescent="0.35">
      <c r="U209" s="854"/>
      <c r="V209" s="854"/>
      <c r="W209" s="854"/>
      <c r="X209" s="834"/>
      <c r="AB209" s="834"/>
      <c r="AF209" s="834"/>
      <c r="AJ209" s="834"/>
    </row>
    <row r="210" spans="21:40" ht="14.5" x14ac:dyDescent="0.35">
      <c r="U210" s="1405"/>
      <c r="V210" s="1402"/>
      <c r="W210" s="967"/>
      <c r="X210" s="834"/>
      <c r="AB210" s="834"/>
      <c r="AF210" s="834"/>
      <c r="AJ210" s="834"/>
    </row>
    <row r="211" spans="21:40" ht="14.5" x14ac:dyDescent="0.35">
      <c r="U211" s="968"/>
      <c r="V211" s="969"/>
      <c r="W211" s="854"/>
      <c r="X211" s="834"/>
      <c r="AB211" s="834"/>
      <c r="AF211" s="834"/>
      <c r="AJ211" s="834"/>
    </row>
    <row r="212" spans="21:40" ht="14.5" x14ac:dyDescent="0.35">
      <c r="X212" s="834"/>
      <c r="AB212" s="834"/>
      <c r="AF212" s="834"/>
      <c r="AJ212" s="834"/>
    </row>
    <row r="213" spans="21:40" ht="14.5" x14ac:dyDescent="0.35">
      <c r="U213" s="1405"/>
      <c r="V213" s="1402"/>
      <c r="W213" s="967"/>
      <c r="X213" s="834"/>
      <c r="AB213" s="834"/>
      <c r="AF213" s="834"/>
      <c r="AG213" s="834"/>
      <c r="AH213" s="834"/>
      <c r="AI213" s="834"/>
      <c r="AJ213" s="834"/>
    </row>
    <row r="214" spans="21:40" ht="14.5" x14ac:dyDescent="0.35">
      <c r="U214" s="968"/>
      <c r="V214" s="970"/>
      <c r="W214" s="854"/>
      <c r="X214" s="834"/>
      <c r="AB214" s="639"/>
      <c r="AC214" s="834"/>
      <c r="AD214" s="834"/>
      <c r="AE214" s="834"/>
      <c r="AF214" s="834"/>
      <c r="AG214" s="834"/>
      <c r="AH214" s="834"/>
      <c r="AI214" s="834"/>
      <c r="AJ214" s="834"/>
    </row>
    <row r="215" spans="21:40" ht="14.5" x14ac:dyDescent="0.35">
      <c r="U215" s="968"/>
      <c r="V215" s="970"/>
      <c r="W215" s="854"/>
      <c r="X215" s="834"/>
      <c r="AB215" s="639"/>
      <c r="AC215" s="834"/>
      <c r="AD215" s="834"/>
      <c r="AE215" s="834"/>
      <c r="AF215" s="834"/>
      <c r="AG215" s="834"/>
      <c r="AH215" s="834"/>
      <c r="AI215" s="834"/>
      <c r="AJ215" s="834"/>
    </row>
    <row r="216" spans="21:40" ht="14.5" x14ac:dyDescent="0.35">
      <c r="U216" s="968"/>
      <c r="V216" s="970"/>
      <c r="W216" s="854"/>
      <c r="X216" s="834"/>
      <c r="AB216" s="639"/>
      <c r="AC216" s="834"/>
      <c r="AD216" s="834"/>
      <c r="AE216" s="834"/>
      <c r="AF216" s="834"/>
      <c r="AG216" s="834"/>
      <c r="AH216" s="834"/>
      <c r="AI216" s="834"/>
      <c r="AJ216" s="834"/>
    </row>
    <row r="217" spans="21:40" ht="14.5" x14ac:dyDescent="0.35">
      <c r="U217" s="968"/>
      <c r="V217" s="970"/>
      <c r="W217" s="854"/>
      <c r="X217" s="834"/>
      <c r="AB217" s="639"/>
      <c r="AC217" s="834"/>
      <c r="AD217" s="834"/>
      <c r="AE217" s="834"/>
      <c r="AF217" s="834"/>
      <c r="AG217" s="834"/>
      <c r="AH217" s="834"/>
      <c r="AI217" s="834"/>
      <c r="AJ217" s="834"/>
    </row>
    <row r="218" spans="21:40" ht="14.5" x14ac:dyDescent="0.35">
      <c r="U218" s="968"/>
      <c r="V218" s="970"/>
      <c r="W218" s="854"/>
      <c r="AB218" s="639"/>
      <c r="AJ218" s="834"/>
      <c r="AL218" s="834"/>
      <c r="AM218" s="834"/>
      <c r="AN218" s="834"/>
    </row>
    <row r="219" spans="21:40" ht="14.5" x14ac:dyDescent="0.35">
      <c r="U219" s="968"/>
      <c r="V219" s="970"/>
      <c r="W219" s="854"/>
      <c r="AB219" s="639"/>
      <c r="AJ219" s="834"/>
      <c r="AK219" s="834"/>
      <c r="AL219" s="834"/>
      <c r="AM219" s="834"/>
      <c r="AN219" s="834"/>
    </row>
    <row r="220" spans="21:40" ht="14.5" x14ac:dyDescent="0.35">
      <c r="U220" s="968"/>
      <c r="V220" s="970"/>
      <c r="W220" s="854"/>
      <c r="AB220" s="639"/>
      <c r="AJ220" s="834"/>
      <c r="AK220" s="834"/>
    </row>
    <row r="221" spans="21:40" ht="14.5" x14ac:dyDescent="0.35">
      <c r="U221" s="854"/>
      <c r="V221" s="854"/>
      <c r="W221" s="854"/>
      <c r="AB221" s="639"/>
    </row>
    <row r="222" spans="21:40" ht="14.5" x14ac:dyDescent="0.35">
      <c r="U222" s="1405"/>
      <c r="V222" s="1402"/>
      <c r="W222" s="967"/>
      <c r="AB222" s="639"/>
    </row>
    <row r="223" spans="21:40" ht="14.5" x14ac:dyDescent="0.35">
      <c r="U223" s="968"/>
      <c r="V223" s="970"/>
      <c r="W223" s="854"/>
      <c r="AB223" s="639"/>
    </row>
    <row r="224" spans="21:40" ht="14.5" x14ac:dyDescent="0.35">
      <c r="U224" s="968"/>
      <c r="V224" s="970"/>
      <c r="W224" s="854"/>
      <c r="AB224" s="639"/>
    </row>
    <row r="225" spans="21:28" ht="14.5" x14ac:dyDescent="0.35">
      <c r="U225" s="968"/>
      <c r="V225" s="970"/>
      <c r="W225" s="854"/>
      <c r="AB225" s="639"/>
    </row>
    <row r="226" spans="21:28" ht="14.5" x14ac:dyDescent="0.35">
      <c r="U226" s="854"/>
      <c r="V226" s="854"/>
      <c r="W226" s="854"/>
      <c r="AB226" s="639"/>
    </row>
    <row r="227" spans="21:28" ht="14.5" x14ac:dyDescent="0.35">
      <c r="U227" s="1405"/>
      <c r="V227" s="1402"/>
      <c r="W227" s="967"/>
    </row>
    <row r="228" spans="21:28" ht="14.5" x14ac:dyDescent="0.35">
      <c r="U228" s="968"/>
      <c r="V228" s="970"/>
      <c r="W228" s="854"/>
    </row>
    <row r="229" spans="21:28" ht="14.5" x14ac:dyDescent="0.35">
      <c r="U229" s="854"/>
      <c r="V229" s="854"/>
      <c r="W229" s="854"/>
    </row>
    <row r="230" spans="21:28" ht="14.5" x14ac:dyDescent="0.35">
      <c r="U230" s="1405"/>
      <c r="V230" s="1402"/>
      <c r="W230" s="967"/>
    </row>
    <row r="231" spans="21:28" ht="14.5" x14ac:dyDescent="0.35">
      <c r="U231" s="968"/>
      <c r="V231" s="970"/>
      <c r="W231" s="854"/>
    </row>
    <row r="234" spans="21:28" ht="14.5" x14ac:dyDescent="0.35">
      <c r="U234" s="1405"/>
      <c r="V234" s="1402"/>
      <c r="W234" s="967"/>
      <c r="AB234" s="639"/>
    </row>
    <row r="235" spans="21:28" ht="14.5" x14ac:dyDescent="0.35">
      <c r="U235" s="968"/>
      <c r="V235" s="970"/>
      <c r="W235" s="854"/>
      <c r="AA235" s="639"/>
      <c r="AB235" s="639"/>
    </row>
    <row r="236" spans="21:28" ht="14.5" x14ac:dyDescent="0.35">
      <c r="U236" s="968"/>
      <c r="V236" s="970"/>
      <c r="W236" s="854"/>
      <c r="AA236" s="639"/>
      <c r="AB236" s="639"/>
    </row>
    <row r="237" spans="21:28" ht="14.5" x14ac:dyDescent="0.35">
      <c r="U237" s="968"/>
      <c r="V237" s="970"/>
      <c r="W237" s="854"/>
      <c r="AA237" s="639"/>
      <c r="AB237" s="639"/>
    </row>
    <row r="238" spans="21:28" ht="14.5" x14ac:dyDescent="0.35">
      <c r="U238" s="968"/>
      <c r="V238" s="970"/>
      <c r="W238" s="854"/>
      <c r="AA238" s="639"/>
      <c r="AB238" s="639"/>
    </row>
    <row r="239" spans="21:28" ht="14.5" x14ac:dyDescent="0.35">
      <c r="U239" s="968"/>
      <c r="V239" s="970"/>
      <c r="W239" s="854"/>
      <c r="AA239" s="639"/>
      <c r="AB239" s="639"/>
    </row>
    <row r="240" spans="21:28" ht="14.5" x14ac:dyDescent="0.35">
      <c r="U240" s="968"/>
      <c r="V240" s="970"/>
      <c r="W240" s="854"/>
      <c r="AA240" s="639"/>
      <c r="AB240" s="639"/>
    </row>
    <row r="241" spans="21:31" ht="14.5" x14ac:dyDescent="0.35">
      <c r="U241" s="968"/>
      <c r="V241" s="969"/>
      <c r="W241" s="854"/>
      <c r="AA241" s="639"/>
      <c r="AB241" s="639"/>
    </row>
    <row r="242" spans="21:31" ht="14.5" x14ac:dyDescent="0.35">
      <c r="U242" s="854"/>
      <c r="V242" s="854"/>
      <c r="W242" s="854"/>
      <c r="AC242" s="639"/>
    </row>
    <row r="243" spans="21:31" ht="14.5" x14ac:dyDescent="0.35">
      <c r="U243" s="1405"/>
      <c r="V243" s="1402"/>
      <c r="W243" s="967"/>
      <c r="AC243" s="639"/>
    </row>
    <row r="244" spans="21:31" ht="14.5" x14ac:dyDescent="0.35">
      <c r="U244" s="968"/>
      <c r="V244" s="970"/>
      <c r="W244" s="854"/>
      <c r="AC244" s="639"/>
    </row>
    <row r="245" spans="21:31" ht="14.5" x14ac:dyDescent="0.35">
      <c r="U245" s="854"/>
      <c r="V245" s="854"/>
      <c r="W245" s="854"/>
      <c r="AC245" s="639"/>
    </row>
    <row r="246" spans="21:31" ht="14.5" x14ac:dyDescent="0.35">
      <c r="U246" s="1405"/>
      <c r="V246" s="1402"/>
      <c r="W246" s="967"/>
      <c r="AC246" s="639"/>
    </row>
    <row r="247" spans="21:31" ht="14.5" x14ac:dyDescent="0.35">
      <c r="U247" s="968"/>
      <c r="V247" s="970"/>
      <c r="W247" s="854"/>
    </row>
    <row r="248" spans="21:31" ht="14.5" x14ac:dyDescent="0.35">
      <c r="U248" s="968"/>
      <c r="V248" s="970"/>
      <c r="W248" s="854"/>
    </row>
    <row r="249" spans="21:31" ht="14.5" x14ac:dyDescent="0.35">
      <c r="U249" s="968"/>
      <c r="V249" s="970"/>
      <c r="W249" s="854"/>
    </row>
    <row r="252" spans="21:31" x14ac:dyDescent="0.3">
      <c r="U252" s="1407"/>
      <c r="V252" s="1407"/>
      <c r="W252" s="1"/>
    </row>
    <row r="253" spans="21:31" x14ac:dyDescent="0.3">
      <c r="U253" s="1"/>
      <c r="V253" s="970"/>
      <c r="W253" s="1"/>
      <c r="AA253" s="639"/>
    </row>
    <row r="254" spans="21:31" x14ac:dyDescent="0.3">
      <c r="U254" s="1"/>
      <c r="V254" s="970"/>
      <c r="W254" s="1"/>
      <c r="AA254" s="639"/>
      <c r="AC254" s="639"/>
      <c r="AE254" s="639"/>
    </row>
    <row r="255" spans="21:31" x14ac:dyDescent="0.3">
      <c r="U255" s="1"/>
      <c r="V255" s="970"/>
      <c r="W255" s="1"/>
      <c r="AA255" s="639"/>
      <c r="AB255" s="639"/>
      <c r="AC255" s="639"/>
      <c r="AE255" s="639"/>
    </row>
    <row r="256" spans="21:31" x14ac:dyDescent="0.3">
      <c r="U256" s="1"/>
      <c r="V256" s="970"/>
      <c r="W256" s="1"/>
      <c r="AA256" s="639"/>
      <c r="AE256" s="639"/>
    </row>
    <row r="257" spans="21:31" x14ac:dyDescent="0.3">
      <c r="U257" s="2"/>
      <c r="V257" s="2"/>
      <c r="W257" s="1"/>
      <c r="AA257" s="639"/>
      <c r="AE257" s="639"/>
    </row>
    <row r="258" spans="21:31" x14ac:dyDescent="0.3">
      <c r="U258" s="1"/>
      <c r="V258" s="970"/>
      <c r="W258" s="1"/>
      <c r="AA258" s="639"/>
      <c r="AE258" s="639"/>
    </row>
    <row r="259" spans="21:31" x14ac:dyDescent="0.3">
      <c r="U259" s="971"/>
      <c r="V259" s="2"/>
      <c r="W259" s="1"/>
      <c r="AA259" s="639"/>
      <c r="AE259" s="639"/>
    </row>
    <row r="260" spans="21:31" x14ac:dyDescent="0.3">
      <c r="U260" s="1"/>
      <c r="V260" s="970"/>
      <c r="W260" s="1"/>
      <c r="AA260" s="639"/>
      <c r="AE260" s="639"/>
    </row>
    <row r="261" spans="21:31" x14ac:dyDescent="0.3">
      <c r="U261" s="1"/>
      <c r="V261" s="970"/>
      <c r="W261" s="1"/>
      <c r="AA261" s="639"/>
      <c r="AE261" s="639"/>
    </row>
    <row r="262" spans="21:31" x14ac:dyDescent="0.3">
      <c r="U262" s="1"/>
      <c r="V262" s="970"/>
      <c r="W262" s="1"/>
      <c r="AA262" s="639"/>
      <c r="AE262" s="639"/>
    </row>
    <row r="263" spans="21:31" x14ac:dyDescent="0.3">
      <c r="U263" s="1"/>
      <c r="V263" s="970"/>
      <c r="W263" s="1"/>
      <c r="AA263" s="639"/>
      <c r="AE263" s="639"/>
    </row>
    <row r="264" spans="21:31" x14ac:dyDescent="0.3">
      <c r="U264" s="1"/>
      <c r="V264" s="970"/>
      <c r="W264" s="1"/>
      <c r="AE264" s="639"/>
    </row>
    <row r="265" spans="21:31" x14ac:dyDescent="0.3">
      <c r="U265" s="1407"/>
      <c r="V265" s="1407"/>
      <c r="W265" s="1"/>
    </row>
    <row r="266" spans="21:31" x14ac:dyDescent="0.3">
      <c r="U266" s="1"/>
      <c r="V266" s="970"/>
      <c r="W266" s="1"/>
    </row>
    <row r="271" spans="21:31" x14ac:dyDescent="0.3">
      <c r="U271" s="1405"/>
      <c r="V271" s="1406"/>
      <c r="W271" s="967"/>
      <c r="AB271" s="639"/>
    </row>
    <row r="272" spans="21:31" x14ac:dyDescent="0.3">
      <c r="U272" s="968"/>
      <c r="V272" s="970"/>
      <c r="W272" s="972"/>
      <c r="AB272" s="639"/>
      <c r="AC272" s="639"/>
    </row>
    <row r="273" spans="21:29" x14ac:dyDescent="0.3">
      <c r="U273" s="968"/>
      <c r="V273" s="970"/>
      <c r="W273" s="972"/>
      <c r="AB273" s="639"/>
      <c r="AC273" s="639"/>
    </row>
    <row r="274" spans="21:29" x14ac:dyDescent="0.3">
      <c r="U274" s="968"/>
      <c r="V274" s="970"/>
      <c r="W274" s="972"/>
      <c r="AB274" s="639"/>
      <c r="AC274" s="639"/>
    </row>
    <row r="275" spans="21:29" x14ac:dyDescent="0.3">
      <c r="U275" s="968"/>
      <c r="V275" s="970"/>
      <c r="W275" s="972"/>
      <c r="AB275" s="639"/>
      <c r="AC275" s="639"/>
    </row>
    <row r="276" spans="21:29" x14ac:dyDescent="0.3">
      <c r="U276" s="968"/>
      <c r="V276" s="970"/>
      <c r="W276" s="972"/>
      <c r="AB276" s="639"/>
      <c r="AC276" s="639"/>
    </row>
    <row r="277" spans="21:29" x14ac:dyDescent="0.3">
      <c r="U277" s="968"/>
      <c r="V277" s="969"/>
      <c r="W277" s="972"/>
      <c r="AB277" s="639"/>
      <c r="AC277" s="639"/>
    </row>
    <row r="278" spans="21:29" x14ac:dyDescent="0.3">
      <c r="U278" s="972"/>
      <c r="V278" s="972"/>
      <c r="W278" s="972"/>
      <c r="AB278" s="639"/>
      <c r="AC278" s="639"/>
    </row>
    <row r="279" spans="21:29" x14ac:dyDescent="0.3">
      <c r="U279" s="1405"/>
      <c r="V279" s="1406"/>
      <c r="W279" s="967"/>
      <c r="AB279" s="639"/>
      <c r="AC279" s="639"/>
    </row>
    <row r="280" spans="21:29" x14ac:dyDescent="0.3">
      <c r="U280" s="968"/>
      <c r="V280" s="970"/>
      <c r="W280" s="972"/>
      <c r="AC280" s="639"/>
    </row>
    <row r="281" spans="21:29" x14ac:dyDescent="0.3">
      <c r="U281" s="968"/>
      <c r="V281" s="970"/>
      <c r="W281" s="972"/>
    </row>
    <row r="282" spans="21:29" x14ac:dyDescent="0.3">
      <c r="U282" s="972"/>
      <c r="V282" s="972"/>
      <c r="W282" s="972"/>
    </row>
    <row r="283" spans="21:29" x14ac:dyDescent="0.3">
      <c r="U283" s="1405"/>
      <c r="V283" s="1406"/>
      <c r="W283" s="967"/>
    </row>
    <row r="284" spans="21:29" x14ac:dyDescent="0.3">
      <c r="U284" s="968"/>
      <c r="V284" s="970"/>
      <c r="W284" s="972"/>
    </row>
    <row r="285" spans="21:29" x14ac:dyDescent="0.3">
      <c r="U285" s="972"/>
      <c r="V285" s="972"/>
      <c r="W285" s="972"/>
    </row>
    <row r="286" spans="21:29" x14ac:dyDescent="0.3">
      <c r="U286" s="1405"/>
      <c r="V286" s="1406"/>
      <c r="W286" s="967"/>
    </row>
    <row r="287" spans="21:29" x14ac:dyDescent="0.3">
      <c r="U287" s="968"/>
      <c r="V287" s="970"/>
      <c r="W287" s="972"/>
    </row>
    <row r="294" spans="24:24" x14ac:dyDescent="0.3">
      <c r="X294" s="639"/>
    </row>
    <row r="295" spans="24:24" x14ac:dyDescent="0.3">
      <c r="X295" s="639"/>
    </row>
    <row r="296" spans="24:24" x14ac:dyDescent="0.3">
      <c r="X296" s="639"/>
    </row>
    <row r="297" spans="24:24" x14ac:dyDescent="0.3">
      <c r="X297" s="639"/>
    </row>
    <row r="298" spans="24:24" x14ac:dyDescent="0.3">
      <c r="X298" s="639"/>
    </row>
    <row r="299" spans="24:24" x14ac:dyDescent="0.3">
      <c r="X299" s="639"/>
    </row>
    <row r="300" spans="24:24" x14ac:dyDescent="0.3">
      <c r="X300" s="639"/>
    </row>
    <row r="301" spans="24:24" x14ac:dyDescent="0.3">
      <c r="X301" s="639"/>
    </row>
    <row r="302" spans="24:24" x14ac:dyDescent="0.3">
      <c r="X302" s="639"/>
    </row>
  </sheetData>
  <autoFilter ref="A1:O301" xr:uid="{00000000-0001-0000-0000-000000000000}"/>
  <mergeCells count="20">
    <mergeCell ref="U181:V181"/>
    <mergeCell ref="U203:V203"/>
    <mergeCell ref="U213:V213"/>
    <mergeCell ref="U210:V210"/>
    <mergeCell ref="U188:V188"/>
    <mergeCell ref="U197:V197"/>
    <mergeCell ref="U193:V193"/>
    <mergeCell ref="U207:V207"/>
    <mergeCell ref="U283:V283"/>
    <mergeCell ref="U286:V286"/>
    <mergeCell ref="U271:V271"/>
    <mergeCell ref="U227:V227"/>
    <mergeCell ref="U222:V222"/>
    <mergeCell ref="U230:V230"/>
    <mergeCell ref="U243:V243"/>
    <mergeCell ref="U246:V246"/>
    <mergeCell ref="U252:V252"/>
    <mergeCell ref="U265:V265"/>
    <mergeCell ref="U279:V279"/>
    <mergeCell ref="U234:V234"/>
  </mergeCells>
  <pageMargins left="0.7" right="0.7" top="0.75" bottom="0.75" header="0.511811023622047" footer="0.511811023622047"/>
  <pageSetup paperSize="9" orientation="portrait" horizontalDpi="300" verticalDpi="300"/>
  <ignoredErrors>
    <ignoredError sqref="AL5" formula="1"/>
  </ignoredErrors>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tabColor rgb="FF7030A0"/>
  </sheetPr>
  <dimension ref="A1:AK68"/>
  <sheetViews>
    <sheetView zoomScale="55" zoomScaleNormal="55" workbookViewId="0">
      <selection activeCell="L56" sqref="L56"/>
    </sheetView>
  </sheetViews>
  <sheetFormatPr defaultColWidth="8.58203125" defaultRowHeight="14" x14ac:dyDescent="0.3"/>
  <cols>
    <col min="1" max="1" width="39.4140625" bestFit="1" customWidth="1"/>
    <col min="2" max="2" width="14.83203125" bestFit="1" customWidth="1"/>
    <col min="3" max="3" width="10.08203125" customWidth="1"/>
    <col min="4" max="4" width="17.83203125" customWidth="1"/>
    <col min="5" max="5" width="13.75" customWidth="1"/>
    <col min="6" max="6" width="10.9140625" customWidth="1"/>
    <col min="7" max="7" width="25.08203125" customWidth="1"/>
    <col min="8" max="8" width="23.58203125" customWidth="1"/>
    <col min="9" max="9" width="22.33203125" customWidth="1"/>
    <col min="10" max="10" width="20.75" customWidth="1"/>
    <col min="11" max="11" width="18.83203125" customWidth="1"/>
    <col min="12" max="12" width="16.58203125" bestFit="1" customWidth="1"/>
    <col min="13" max="13" width="15.75" bestFit="1" customWidth="1"/>
    <col min="14" max="14" width="18.25" bestFit="1" customWidth="1"/>
    <col min="15" max="15" width="16.08203125" bestFit="1" customWidth="1"/>
    <col min="16" max="16" width="13.83203125" customWidth="1"/>
    <col min="17" max="17" width="6.4140625" bestFit="1" customWidth="1"/>
    <col min="18" max="18" width="6.58203125" customWidth="1"/>
    <col min="24" max="35" width="2" customWidth="1"/>
    <col min="36" max="36" width="4.1640625" bestFit="1" customWidth="1"/>
    <col min="37" max="37" width="27.58203125" bestFit="1" customWidth="1"/>
  </cols>
  <sheetData>
    <row r="1" spans="1:37" ht="39.75" customHeight="1" x14ac:dyDescent="0.3">
      <c r="A1" s="62" t="s">
        <v>0</v>
      </c>
      <c r="B1" s="62" t="s">
        <v>1</v>
      </c>
      <c r="C1" s="62" t="s">
        <v>2</v>
      </c>
      <c r="D1" s="62" t="s">
        <v>3</v>
      </c>
      <c r="E1" s="63" t="s">
        <v>5</v>
      </c>
      <c r="F1" s="62" t="s">
        <v>6</v>
      </c>
      <c r="G1" s="1015" t="s">
        <v>773</v>
      </c>
      <c r="H1" s="1016" t="s">
        <v>774</v>
      </c>
      <c r="I1" s="1015" t="s">
        <v>775</v>
      </c>
      <c r="J1" s="1015" t="s">
        <v>776</v>
      </c>
      <c r="K1" s="62" t="s">
        <v>8</v>
      </c>
      <c r="L1" s="62" t="s">
        <v>9</v>
      </c>
      <c r="M1" s="62" t="s">
        <v>7</v>
      </c>
      <c r="N1" s="62" t="s">
        <v>10</v>
      </c>
      <c r="O1" s="62" t="s">
        <v>11</v>
      </c>
      <c r="Q1" s="8" t="s">
        <v>4</v>
      </c>
      <c r="R1" s="8">
        <v>4</v>
      </c>
    </row>
    <row r="2" spans="1:37" ht="14.25" customHeight="1" x14ac:dyDescent="0.3">
      <c r="A2" s="1073"/>
      <c r="B2" s="1073"/>
      <c r="C2" s="1073"/>
      <c r="D2" s="1073"/>
      <c r="E2" s="1074"/>
      <c r="F2" s="1073"/>
      <c r="G2" s="1075"/>
      <c r="H2" s="1076"/>
      <c r="I2" s="1075"/>
      <c r="J2" s="1075"/>
      <c r="K2" s="1073"/>
      <c r="L2" s="1073"/>
      <c r="M2" s="1073"/>
      <c r="N2" s="1073"/>
      <c r="O2" s="1073"/>
      <c r="AJ2" s="974" t="s">
        <v>4</v>
      </c>
      <c r="AK2" s="974" t="s">
        <v>239</v>
      </c>
    </row>
    <row r="3" spans="1:37" ht="14.25" customHeight="1" x14ac:dyDescent="0.3">
      <c r="A3" s="1077" t="s">
        <v>157</v>
      </c>
      <c r="B3" s="1077" t="s">
        <v>158</v>
      </c>
      <c r="C3" s="1078" t="s">
        <v>14</v>
      </c>
      <c r="D3" s="1079">
        <v>1403.622718052738</v>
      </c>
      <c r="E3" s="1080">
        <v>1403.622718052738</v>
      </c>
      <c r="F3" s="1077">
        <v>1</v>
      </c>
      <c r="G3" s="1081">
        <v>25000</v>
      </c>
      <c r="H3" s="1081" t="s">
        <v>159</v>
      </c>
      <c r="I3" s="1081">
        <v>750</v>
      </c>
      <c r="J3" s="1082">
        <f>I3/(G3/1000)</f>
        <v>30</v>
      </c>
      <c r="K3" s="1083">
        <f t="shared" ref="K3:K10" si="0">(E3/F3)/G3</f>
        <v>5.6144908722109518E-2</v>
      </c>
      <c r="L3" s="1083">
        <f t="shared" ref="L3:L10" si="1">(D3/F3)/G3</f>
        <v>5.6144908722109518E-2</v>
      </c>
      <c r="M3" s="1077" t="s">
        <v>15</v>
      </c>
      <c r="N3" s="1077">
        <f t="shared" ref="N3:N10" si="2">K3*I3</f>
        <v>42.108681541582136</v>
      </c>
      <c r="O3" s="1077">
        <f t="shared" ref="O3:O10" si="3">L3*I3</f>
        <v>42.108681541582136</v>
      </c>
      <c r="AJ3" s="973">
        <v>1</v>
      </c>
      <c r="AK3" s="973" t="s">
        <v>16</v>
      </c>
    </row>
    <row r="4" spans="1:37" ht="14.25" hidden="1" customHeight="1" x14ac:dyDescent="0.3">
      <c r="A4" s="1077" t="s">
        <v>180</v>
      </c>
      <c r="B4" s="1077" t="s">
        <v>158</v>
      </c>
      <c r="C4" s="1078" t="s">
        <v>165</v>
      </c>
      <c r="D4" s="1079">
        <v>0</v>
      </c>
      <c r="E4" s="1080">
        <v>722.94654498044315</v>
      </c>
      <c r="F4" s="1077">
        <v>1</v>
      </c>
      <c r="G4" s="1081">
        <v>9600</v>
      </c>
      <c r="H4" s="1081" t="s">
        <v>181</v>
      </c>
      <c r="I4" s="1081">
        <v>95</v>
      </c>
      <c r="J4" s="1082">
        <f>I4/(G4/1000)</f>
        <v>9.8958333333333339</v>
      </c>
      <c r="K4" s="1083">
        <f t="shared" si="0"/>
        <v>7.5306931768796159E-2</v>
      </c>
      <c r="L4" s="1083">
        <f t="shared" si="1"/>
        <v>0</v>
      </c>
      <c r="M4" s="1077" t="s">
        <v>15</v>
      </c>
      <c r="N4" s="1077">
        <f t="shared" si="2"/>
        <v>7.1541585180356355</v>
      </c>
      <c r="O4" s="1077">
        <f t="shared" si="3"/>
        <v>0</v>
      </c>
      <c r="AJ4" s="973">
        <v>1</v>
      </c>
      <c r="AK4" s="973" t="s">
        <v>22</v>
      </c>
    </row>
    <row r="5" spans="1:37" ht="14.25" customHeight="1" x14ac:dyDescent="0.3">
      <c r="A5" s="1077" t="s">
        <v>171</v>
      </c>
      <c r="B5" s="1077" t="s">
        <v>158</v>
      </c>
      <c r="C5" s="1078" t="s">
        <v>165</v>
      </c>
      <c r="D5" s="1079">
        <v>1773.1034482758623</v>
      </c>
      <c r="E5" s="1080">
        <v>1773.1034482758623</v>
      </c>
      <c r="F5" s="1077">
        <v>1</v>
      </c>
      <c r="G5" s="1081">
        <v>12000</v>
      </c>
      <c r="H5" s="1081" t="s">
        <v>166</v>
      </c>
      <c r="I5" s="1081">
        <v>152</v>
      </c>
      <c r="J5" s="1082">
        <f>I5/(G5/1000)</f>
        <v>12.666666666666666</v>
      </c>
      <c r="K5" s="1083">
        <f t="shared" si="0"/>
        <v>0.1477586206896552</v>
      </c>
      <c r="L5" s="1083">
        <f t="shared" si="1"/>
        <v>0.1477586206896552</v>
      </c>
      <c r="M5" s="1077" t="s">
        <v>15</v>
      </c>
      <c r="N5" s="1077">
        <f t="shared" si="2"/>
        <v>22.459310344827589</v>
      </c>
      <c r="O5" s="1077">
        <f t="shared" si="3"/>
        <v>22.459310344827589</v>
      </c>
      <c r="AJ5" s="973">
        <v>1</v>
      </c>
      <c r="AK5" s="973" t="s">
        <v>27</v>
      </c>
    </row>
    <row r="6" spans="1:37" ht="14.25" hidden="1" customHeight="1" x14ac:dyDescent="0.3">
      <c r="A6" s="1084" t="s">
        <v>240</v>
      </c>
      <c r="B6" s="1084" t="s">
        <v>158</v>
      </c>
      <c r="C6" s="1085" t="s">
        <v>241</v>
      </c>
      <c r="D6" s="1086">
        <v>0</v>
      </c>
      <c r="E6" s="1087">
        <v>16.5</v>
      </c>
      <c r="F6" s="1088">
        <v>1</v>
      </c>
      <c r="G6" s="1081">
        <f>360</f>
        <v>360</v>
      </c>
      <c r="H6" s="1081" t="s">
        <v>817</v>
      </c>
      <c r="I6" s="1081">
        <v>156</v>
      </c>
      <c r="J6" s="1082">
        <f>I6/(G6)</f>
        <v>0.43333333333333335</v>
      </c>
      <c r="K6" s="1083">
        <f t="shared" si="0"/>
        <v>4.583333333333333E-2</v>
      </c>
      <c r="L6" s="1083">
        <f t="shared" si="1"/>
        <v>0</v>
      </c>
      <c r="M6" s="1088" t="s">
        <v>26</v>
      </c>
      <c r="N6" s="1077">
        <f t="shared" si="2"/>
        <v>7.1499999999999995</v>
      </c>
      <c r="O6" s="1077">
        <f t="shared" si="3"/>
        <v>0</v>
      </c>
      <c r="AJ6" s="973">
        <v>1</v>
      </c>
      <c r="AK6" s="973" t="s">
        <v>29</v>
      </c>
    </row>
    <row r="7" spans="1:37" ht="14.25" customHeight="1" x14ac:dyDescent="0.3">
      <c r="A7" s="1077" t="s">
        <v>584</v>
      </c>
      <c r="B7" s="1077" t="s">
        <v>158</v>
      </c>
      <c r="C7" s="1078" t="s">
        <v>14</v>
      </c>
      <c r="D7" s="1079">
        <v>901.35294117647061</v>
      </c>
      <c r="E7" s="1080">
        <v>901.35294117647061</v>
      </c>
      <c r="F7" s="1077">
        <v>1</v>
      </c>
      <c r="G7" s="1081">
        <v>5000</v>
      </c>
      <c r="H7" s="1081" t="s">
        <v>15</v>
      </c>
      <c r="I7" s="1081">
        <v>56.52</v>
      </c>
      <c r="J7" s="1082">
        <f>I7/(G7/1000)</f>
        <v>11.304</v>
      </c>
      <c r="K7" s="1083">
        <f t="shared" si="0"/>
        <v>0.18027058823529413</v>
      </c>
      <c r="L7" s="1083">
        <f t="shared" si="1"/>
        <v>0.18027058823529413</v>
      </c>
      <c r="M7" s="1077" t="s">
        <v>15</v>
      </c>
      <c r="N7" s="1077">
        <f t="shared" si="2"/>
        <v>10.188893647058824</v>
      </c>
      <c r="O7" s="1077">
        <f t="shared" si="3"/>
        <v>10.188893647058824</v>
      </c>
      <c r="AJ7" s="973">
        <v>2</v>
      </c>
      <c r="AK7" s="973" t="s">
        <v>43</v>
      </c>
    </row>
    <row r="8" spans="1:37" ht="14.25" customHeight="1" x14ac:dyDescent="0.3">
      <c r="A8" s="1077" t="s">
        <v>178</v>
      </c>
      <c r="B8" s="1077" t="s">
        <v>158</v>
      </c>
      <c r="C8" s="1078" t="s">
        <v>14</v>
      </c>
      <c r="D8" s="1079">
        <v>443.27586206896558</v>
      </c>
      <c r="E8" s="1080">
        <v>443.27586206896558</v>
      </c>
      <c r="F8" s="1077">
        <v>1</v>
      </c>
      <c r="G8" s="1081">
        <v>9200</v>
      </c>
      <c r="H8" s="1081" t="s">
        <v>179</v>
      </c>
      <c r="I8" s="1081">
        <v>165</v>
      </c>
      <c r="J8" s="1082">
        <f>I8/(G8/1000)</f>
        <v>17.934782608695652</v>
      </c>
      <c r="K8" s="1083">
        <f t="shared" si="0"/>
        <v>4.8182158920539737E-2</v>
      </c>
      <c r="L8" s="1083">
        <f t="shared" si="1"/>
        <v>4.8182158920539737E-2</v>
      </c>
      <c r="M8" s="1077" t="s">
        <v>15</v>
      </c>
      <c r="N8" s="1077">
        <f t="shared" si="2"/>
        <v>7.9500562218890565</v>
      </c>
      <c r="O8" s="1077">
        <f t="shared" si="3"/>
        <v>7.9500562218890565</v>
      </c>
      <c r="AJ8" s="973">
        <v>2</v>
      </c>
      <c r="AK8" s="973" t="s">
        <v>46</v>
      </c>
    </row>
    <row r="9" spans="1:37" ht="14.25" customHeight="1" x14ac:dyDescent="0.3">
      <c r="A9" s="1077" t="s">
        <v>791</v>
      </c>
      <c r="B9" s="1077" t="s">
        <v>158</v>
      </c>
      <c r="C9" s="1078" t="s">
        <v>14</v>
      </c>
      <c r="D9" s="1079">
        <v>257.52941176470586</v>
      </c>
      <c r="E9" s="1080">
        <v>257.52941176470586</v>
      </c>
      <c r="F9" s="1077">
        <v>1</v>
      </c>
      <c r="G9" s="1081">
        <v>2724</v>
      </c>
      <c r="H9" s="1081" t="s">
        <v>780</v>
      </c>
      <c r="I9" s="1081">
        <v>185</v>
      </c>
      <c r="J9" s="1082">
        <f>I9/(G9/1000)</f>
        <v>67.91483113069016</v>
      </c>
      <c r="K9" s="1083">
        <f t="shared" si="0"/>
        <v>9.45409000604647E-2</v>
      </c>
      <c r="L9" s="1083">
        <f t="shared" si="1"/>
        <v>9.45409000604647E-2</v>
      </c>
      <c r="M9" s="1077" t="s">
        <v>15</v>
      </c>
      <c r="N9" s="1077">
        <f t="shared" si="2"/>
        <v>17.490066511185969</v>
      </c>
      <c r="O9" s="1077">
        <f t="shared" si="3"/>
        <v>17.490066511185969</v>
      </c>
      <c r="AJ9" s="973">
        <v>2</v>
      </c>
      <c r="AK9" s="973" t="s">
        <v>48</v>
      </c>
    </row>
    <row r="10" spans="1:37" ht="14.25" customHeight="1" x14ac:dyDescent="0.3">
      <c r="A10" s="1077" t="s">
        <v>168</v>
      </c>
      <c r="B10" s="1077" t="s">
        <v>158</v>
      </c>
      <c r="C10" s="1078" t="s">
        <v>14</v>
      </c>
      <c r="D10" s="1079">
        <v>1202.0689655172414</v>
      </c>
      <c r="E10" s="1080">
        <v>7625.0344153216738</v>
      </c>
      <c r="F10" s="1077">
        <v>1</v>
      </c>
      <c r="G10" s="1081">
        <v>10000</v>
      </c>
      <c r="H10" s="1081" t="s">
        <v>169</v>
      </c>
      <c r="I10" s="1081">
        <v>66.959999999999994</v>
      </c>
      <c r="J10" s="1082">
        <f>I10/(G10/1000)</f>
        <v>6.6959999999999997</v>
      </c>
      <c r="K10" s="1083">
        <f t="shared" si="0"/>
        <v>0.76250344153216743</v>
      </c>
      <c r="L10" s="1083">
        <f t="shared" si="1"/>
        <v>0.12020689655172415</v>
      </c>
      <c r="M10" s="1077" t="s">
        <v>15</v>
      </c>
      <c r="N10" s="1077">
        <f t="shared" si="2"/>
        <v>51.057230444993927</v>
      </c>
      <c r="O10" s="1077">
        <f t="shared" si="3"/>
        <v>8.0490537931034485</v>
      </c>
      <c r="AJ10" s="973">
        <v>2</v>
      </c>
      <c r="AK10" s="973" t="s">
        <v>54</v>
      </c>
    </row>
    <row r="11" spans="1:37" ht="14.25" customHeight="1" x14ac:dyDescent="0.3">
      <c r="A11" s="1073"/>
      <c r="B11" s="1073"/>
      <c r="C11" s="1073"/>
      <c r="D11" s="1073"/>
      <c r="E11" s="1074"/>
      <c r="F11" s="1073"/>
      <c r="G11" s="1075"/>
      <c r="H11" s="1076"/>
      <c r="I11" s="1075"/>
      <c r="J11" s="1075"/>
      <c r="K11" s="1073"/>
      <c r="L11" s="1073"/>
      <c r="M11" s="1073"/>
      <c r="N11" s="1073"/>
      <c r="O11" s="1073"/>
      <c r="AJ11" s="973">
        <v>2</v>
      </c>
      <c r="AK11" s="973" t="s">
        <v>55</v>
      </c>
    </row>
    <row r="12" spans="1:37" ht="14.25" customHeight="1" x14ac:dyDescent="0.3">
      <c r="A12" s="74" t="s">
        <v>195</v>
      </c>
      <c r="B12" s="74" t="s">
        <v>196</v>
      </c>
      <c r="C12" s="75" t="s">
        <v>165</v>
      </c>
      <c r="D12" s="76">
        <v>179.15254237288136</v>
      </c>
      <c r="E12" s="77">
        <v>191.00391134289438</v>
      </c>
      <c r="F12" s="74">
        <v>1</v>
      </c>
      <c r="G12" s="16">
        <f>3790*4</f>
        <v>15160</v>
      </c>
      <c r="H12" s="16" t="s">
        <v>197</v>
      </c>
      <c r="I12" s="16">
        <v>265</v>
      </c>
      <c r="J12" s="1025">
        <f t="shared" ref="J12:J17" si="4">I12/(G12/1000)</f>
        <v>17.480211081794195</v>
      </c>
      <c r="K12" s="78">
        <f t="shared" ref="K12:K17" si="5">(E12/F12)/G12</f>
        <v>1.259920259517773E-2</v>
      </c>
      <c r="L12" s="78">
        <f t="shared" ref="L12:L17" si="6">(D12/F12)/G12</f>
        <v>1.1817450024596396E-2</v>
      </c>
      <c r="M12" s="74" t="s">
        <v>15</v>
      </c>
      <c r="N12" s="74">
        <f t="shared" ref="N12:N17" si="7">K12*I12</f>
        <v>3.3387886877220985</v>
      </c>
      <c r="O12" s="74">
        <f t="shared" ref="O12:O17" si="8">L12*I12</f>
        <v>3.131624256518045</v>
      </c>
      <c r="AJ12" s="973">
        <v>3</v>
      </c>
      <c r="AK12" s="973" t="s">
        <v>60</v>
      </c>
    </row>
    <row r="13" spans="1:37" ht="14.25" customHeight="1" x14ac:dyDescent="0.3">
      <c r="A13" s="74" t="s">
        <v>219</v>
      </c>
      <c r="B13" s="74" t="s">
        <v>196</v>
      </c>
      <c r="C13" s="75" t="s">
        <v>165</v>
      </c>
      <c r="D13" s="76">
        <v>5692.8591911163057</v>
      </c>
      <c r="E13" s="77">
        <v>39499.945799453781</v>
      </c>
      <c r="F13" s="74">
        <v>1</v>
      </c>
      <c r="G13" s="16">
        <v>12000</v>
      </c>
      <c r="H13" s="16" t="s">
        <v>797</v>
      </c>
      <c r="I13" s="16">
        <v>60</v>
      </c>
      <c r="J13" s="1025">
        <f t="shared" si="4"/>
        <v>5</v>
      </c>
      <c r="K13" s="78">
        <f t="shared" si="5"/>
        <v>3.2916621499544818</v>
      </c>
      <c r="L13" s="78">
        <f t="shared" si="6"/>
        <v>0.47440493259302546</v>
      </c>
      <c r="M13" s="74" t="s">
        <v>26</v>
      </c>
      <c r="N13" s="74">
        <f t="shared" si="7"/>
        <v>197.4997289972689</v>
      </c>
      <c r="O13" s="74">
        <f t="shared" si="8"/>
        <v>28.464295955581527</v>
      </c>
      <c r="AJ13" s="973">
        <v>3</v>
      </c>
      <c r="AK13" s="973" t="s">
        <v>61</v>
      </c>
    </row>
    <row r="14" spans="1:37" ht="14.25" hidden="1" customHeight="1" x14ac:dyDescent="0.3">
      <c r="A14" s="74" t="s">
        <v>208</v>
      </c>
      <c r="B14" s="74" t="s">
        <v>196</v>
      </c>
      <c r="C14" s="75" t="s">
        <v>14</v>
      </c>
      <c r="D14" s="76">
        <v>0</v>
      </c>
      <c r="E14" s="77">
        <v>9011.281443272168</v>
      </c>
      <c r="F14" s="74">
        <v>1</v>
      </c>
      <c r="G14" s="16">
        <f>3780*4</f>
        <v>15120</v>
      </c>
      <c r="H14" s="16" t="s">
        <v>806</v>
      </c>
      <c r="I14" s="16">
        <v>170</v>
      </c>
      <c r="J14" s="1025">
        <f t="shared" si="4"/>
        <v>11.243386243386244</v>
      </c>
      <c r="K14" s="78">
        <f t="shared" si="5"/>
        <v>0.59598422243863547</v>
      </c>
      <c r="L14" s="78">
        <f t="shared" si="6"/>
        <v>0</v>
      </c>
      <c r="M14" s="74" t="s">
        <v>15</v>
      </c>
      <c r="N14" s="74">
        <f t="shared" si="7"/>
        <v>101.31731781456803</v>
      </c>
      <c r="O14" s="74">
        <f t="shared" si="8"/>
        <v>0</v>
      </c>
      <c r="AJ14" s="973">
        <v>3</v>
      </c>
      <c r="AK14" s="973" t="s">
        <v>67</v>
      </c>
    </row>
    <row r="15" spans="1:37" ht="14.25" hidden="1" customHeight="1" x14ac:dyDescent="0.3">
      <c r="A15" s="74" t="s">
        <v>198</v>
      </c>
      <c r="B15" s="74" t="s">
        <v>196</v>
      </c>
      <c r="C15" s="75" t="s">
        <v>165</v>
      </c>
      <c r="D15" s="76">
        <v>0</v>
      </c>
      <c r="E15" s="77">
        <v>55.41389830508475</v>
      </c>
      <c r="F15" s="74">
        <v>1</v>
      </c>
      <c r="G15" s="16">
        <f>355*6</f>
        <v>2130</v>
      </c>
      <c r="H15" s="16" t="s">
        <v>804</v>
      </c>
      <c r="I15" s="16">
        <v>125</v>
      </c>
      <c r="J15" s="1025">
        <f t="shared" si="4"/>
        <v>58.685446009389672</v>
      </c>
      <c r="K15" s="78">
        <f t="shared" si="5"/>
        <v>2.6015914697222888E-2</v>
      </c>
      <c r="L15" s="78">
        <f t="shared" si="6"/>
        <v>0</v>
      </c>
      <c r="M15" s="74" t="s">
        <v>15</v>
      </c>
      <c r="N15" s="74">
        <f t="shared" si="7"/>
        <v>3.2519893371528612</v>
      </c>
      <c r="O15" s="74">
        <f t="shared" si="8"/>
        <v>0</v>
      </c>
      <c r="AJ15" s="973">
        <v>3</v>
      </c>
      <c r="AK15" s="973" t="s">
        <v>69</v>
      </c>
    </row>
    <row r="16" spans="1:37" ht="14.25" customHeight="1" x14ac:dyDescent="0.3">
      <c r="A16" s="74" t="s">
        <v>215</v>
      </c>
      <c r="B16" s="15" t="s">
        <v>196</v>
      </c>
      <c r="C16" s="75" t="s">
        <v>165</v>
      </c>
      <c r="D16" s="76">
        <v>1442.0767878433664</v>
      </c>
      <c r="E16" s="77">
        <v>9980.8325529874783</v>
      </c>
      <c r="F16" s="74">
        <v>1</v>
      </c>
      <c r="G16" s="16">
        <f>3700*4.5</f>
        <v>16650</v>
      </c>
      <c r="H16" s="16" t="s">
        <v>798</v>
      </c>
      <c r="I16" s="16">
        <v>36</v>
      </c>
      <c r="J16" s="1025">
        <f t="shared" si="4"/>
        <v>2.1621621621621623</v>
      </c>
      <c r="K16" s="78">
        <f t="shared" si="5"/>
        <v>0.59944940258183055</v>
      </c>
      <c r="L16" s="78">
        <f t="shared" si="6"/>
        <v>8.6611218489091077E-2</v>
      </c>
      <c r="M16" s="74" t="s">
        <v>15</v>
      </c>
      <c r="N16" s="74">
        <f t="shared" si="7"/>
        <v>21.580178492945901</v>
      </c>
      <c r="O16" s="74">
        <f t="shared" si="8"/>
        <v>3.1180038656072786</v>
      </c>
      <c r="AJ16" s="973">
        <v>3</v>
      </c>
      <c r="AK16" s="973" t="s">
        <v>72</v>
      </c>
    </row>
    <row r="17" spans="1:37" ht="14.25" hidden="1" customHeight="1" x14ac:dyDescent="0.3">
      <c r="A17" s="74" t="s">
        <v>524</v>
      </c>
      <c r="B17" s="74" t="s">
        <v>196</v>
      </c>
      <c r="C17" s="75" t="s">
        <v>14</v>
      </c>
      <c r="D17" s="76">
        <v>0</v>
      </c>
      <c r="E17" s="77">
        <v>660</v>
      </c>
      <c r="F17" s="74">
        <v>1</v>
      </c>
      <c r="G17" s="16">
        <f>295*12</f>
        <v>3540</v>
      </c>
      <c r="H17" s="16" t="s">
        <v>807</v>
      </c>
      <c r="I17" s="16">
        <v>125</v>
      </c>
      <c r="J17" s="1025">
        <f t="shared" si="4"/>
        <v>35.310734463276837</v>
      </c>
      <c r="K17" s="78">
        <f t="shared" si="5"/>
        <v>0.1864406779661017</v>
      </c>
      <c r="L17" s="78">
        <f t="shared" si="6"/>
        <v>0</v>
      </c>
      <c r="M17" s="74" t="s">
        <v>15</v>
      </c>
      <c r="N17" s="74">
        <f t="shared" si="7"/>
        <v>23.305084745762713</v>
      </c>
      <c r="O17" s="74">
        <f t="shared" si="8"/>
        <v>0</v>
      </c>
      <c r="AJ17" s="973">
        <v>3</v>
      </c>
      <c r="AK17" s="973" t="s">
        <v>81</v>
      </c>
    </row>
    <row r="18" spans="1:37" ht="14.25" customHeight="1" x14ac:dyDescent="0.3">
      <c r="A18" s="1"/>
      <c r="B18" s="1"/>
      <c r="C18" s="2"/>
      <c r="D18" s="64"/>
      <c r="E18" s="66"/>
      <c r="F18" s="67"/>
      <c r="G18" s="67"/>
      <c r="H18" s="67"/>
      <c r="I18" s="67"/>
      <c r="J18" s="67"/>
      <c r="K18" s="68"/>
      <c r="L18" s="68"/>
      <c r="M18" s="67"/>
      <c r="N18" s="67"/>
      <c r="O18" s="67"/>
      <c r="AJ18" s="973">
        <v>3</v>
      </c>
      <c r="AK18" s="973" t="s">
        <v>84</v>
      </c>
    </row>
    <row r="19" spans="1:37" ht="14.25" hidden="1" customHeight="1" x14ac:dyDescent="0.3">
      <c r="A19" s="1089" t="s">
        <v>790</v>
      </c>
      <c r="B19" s="1089" t="s">
        <v>97</v>
      </c>
      <c r="C19" s="1090" t="s">
        <v>14</v>
      </c>
      <c r="D19" s="1091">
        <v>0</v>
      </c>
      <c r="E19" s="1092">
        <v>2014.2175066312998</v>
      </c>
      <c r="F19" s="1089">
        <v>1</v>
      </c>
      <c r="G19" s="1093">
        <v>2400</v>
      </c>
      <c r="H19" s="1093" t="s">
        <v>45</v>
      </c>
      <c r="I19" s="1093">
        <v>104</v>
      </c>
      <c r="J19" s="1093">
        <f t="shared" ref="J19:J37" si="9">I19/(G19/1000)</f>
        <v>43.333333333333336</v>
      </c>
      <c r="K19" s="1094">
        <f t="shared" ref="K19:K37" si="10">(E19/F19)/G19</f>
        <v>0.8392572944297082</v>
      </c>
      <c r="L19" s="1094">
        <f t="shared" ref="L19:L37" si="11">(D19/F19)/G19</f>
        <v>0</v>
      </c>
      <c r="M19" s="1089" t="s">
        <v>15</v>
      </c>
      <c r="N19" s="1089">
        <f t="shared" ref="N19:N37" si="12">K19*I19</f>
        <v>87.282758620689648</v>
      </c>
      <c r="O19" s="1089">
        <f t="shared" ref="O19:O37" si="13">L19*I19</f>
        <v>0</v>
      </c>
      <c r="AJ19" s="973">
        <v>4</v>
      </c>
      <c r="AK19" s="973" t="s">
        <v>94</v>
      </c>
    </row>
    <row r="20" spans="1:37" ht="14.25" customHeight="1" x14ac:dyDescent="0.3">
      <c r="A20" s="1089" t="s">
        <v>102</v>
      </c>
      <c r="B20" s="1089" t="s">
        <v>97</v>
      </c>
      <c r="C20" s="1090" t="s">
        <v>14</v>
      </c>
      <c r="D20" s="1091">
        <v>114.74050869460584</v>
      </c>
      <c r="E20" s="1092">
        <v>824.24973063471907</v>
      </c>
      <c r="F20" s="1089">
        <v>1</v>
      </c>
      <c r="G20" s="1093">
        <v>1000</v>
      </c>
      <c r="H20" s="1093" t="s">
        <v>45</v>
      </c>
      <c r="I20" s="1093">
        <v>31</v>
      </c>
      <c r="J20" s="1093">
        <f t="shared" si="9"/>
        <v>31</v>
      </c>
      <c r="K20" s="1094">
        <f t="shared" si="10"/>
        <v>0.82424973063471907</v>
      </c>
      <c r="L20" s="1094">
        <f t="shared" si="11"/>
        <v>0.11474050869460584</v>
      </c>
      <c r="M20" s="1089" t="s">
        <v>15</v>
      </c>
      <c r="N20" s="1089">
        <f t="shared" si="12"/>
        <v>25.551741649676291</v>
      </c>
      <c r="O20" s="1089">
        <f t="shared" si="13"/>
        <v>3.5569557695327809</v>
      </c>
      <c r="AJ20" s="973">
        <v>4</v>
      </c>
      <c r="AK20" s="973" t="s">
        <v>99</v>
      </c>
    </row>
    <row r="21" spans="1:37" ht="14.25" hidden="1" customHeight="1" x14ac:dyDescent="0.3">
      <c r="A21" s="1089" t="s">
        <v>100</v>
      </c>
      <c r="B21" s="1089" t="s">
        <v>97</v>
      </c>
      <c r="C21" s="1090" t="s">
        <v>14</v>
      </c>
      <c r="D21" s="1091">
        <v>0</v>
      </c>
      <c r="E21" s="1092">
        <v>119.39655172413795</v>
      </c>
      <c r="F21" s="1089">
        <v>1</v>
      </c>
      <c r="G21" s="1093">
        <v>1000</v>
      </c>
      <c r="H21" s="1093" t="s">
        <v>45</v>
      </c>
      <c r="I21" s="1093">
        <v>38</v>
      </c>
      <c r="J21" s="1093">
        <f t="shared" si="9"/>
        <v>38</v>
      </c>
      <c r="K21" s="1094">
        <f t="shared" si="10"/>
        <v>0.11939655172413795</v>
      </c>
      <c r="L21" s="1094">
        <f t="shared" si="11"/>
        <v>0</v>
      </c>
      <c r="M21" s="1089" t="s">
        <v>15</v>
      </c>
      <c r="N21" s="1089">
        <f t="shared" si="12"/>
        <v>4.5370689655172418</v>
      </c>
      <c r="O21" s="1089">
        <f t="shared" si="13"/>
        <v>0</v>
      </c>
      <c r="AJ21" s="973">
        <v>4</v>
      </c>
      <c r="AK21" s="973" t="s">
        <v>107</v>
      </c>
    </row>
    <row r="22" spans="1:37" ht="14.25" customHeight="1" x14ac:dyDescent="0.3">
      <c r="A22" s="1089" t="s">
        <v>132</v>
      </c>
      <c r="B22" s="1089" t="s">
        <v>97</v>
      </c>
      <c r="C22" s="1090" t="s">
        <v>14</v>
      </c>
      <c r="D22" s="1091">
        <v>22.163793103448278</v>
      </c>
      <c r="E22" s="1092">
        <v>54.178134694061043</v>
      </c>
      <c r="F22" s="1089">
        <v>1</v>
      </c>
      <c r="G22" s="1093">
        <v>1000</v>
      </c>
      <c r="H22" s="1093" t="s">
        <v>45</v>
      </c>
      <c r="I22" s="1093">
        <v>107</v>
      </c>
      <c r="J22" s="1093">
        <f t="shared" si="9"/>
        <v>107</v>
      </c>
      <c r="K22" s="1094">
        <f t="shared" si="10"/>
        <v>5.4178134694061041E-2</v>
      </c>
      <c r="L22" s="1094">
        <f t="shared" si="11"/>
        <v>2.2163793103448279E-2</v>
      </c>
      <c r="M22" s="1089" t="s">
        <v>15</v>
      </c>
      <c r="N22" s="1089">
        <f t="shared" si="12"/>
        <v>5.7970604122645311</v>
      </c>
      <c r="O22" s="1089">
        <f t="shared" si="13"/>
        <v>2.3715258620689657</v>
      </c>
      <c r="AJ22" s="973">
        <v>4</v>
      </c>
      <c r="AK22" s="973" t="s">
        <v>512</v>
      </c>
    </row>
    <row r="23" spans="1:37" ht="14.25" hidden="1" customHeight="1" x14ac:dyDescent="0.3">
      <c r="A23" s="1089" t="s">
        <v>130</v>
      </c>
      <c r="B23" s="1089" t="s">
        <v>97</v>
      </c>
      <c r="C23" s="1090" t="s">
        <v>14</v>
      </c>
      <c r="D23" s="1091">
        <v>0</v>
      </c>
      <c r="E23" s="1092">
        <v>120.29112125162972</v>
      </c>
      <c r="F23" s="1089">
        <v>1</v>
      </c>
      <c r="G23" s="1093">
        <v>1000</v>
      </c>
      <c r="H23" s="1093" t="s">
        <v>45</v>
      </c>
      <c r="I23" s="1093">
        <v>125</v>
      </c>
      <c r="J23" s="1093">
        <f t="shared" si="9"/>
        <v>125</v>
      </c>
      <c r="K23" s="1094">
        <f t="shared" si="10"/>
        <v>0.12029112125162972</v>
      </c>
      <c r="L23" s="1094">
        <f t="shared" si="11"/>
        <v>0</v>
      </c>
      <c r="M23" s="1089" t="s">
        <v>15</v>
      </c>
      <c r="N23" s="1089">
        <f t="shared" si="12"/>
        <v>15.036390156453715</v>
      </c>
      <c r="O23" s="1089">
        <f t="shared" si="13"/>
        <v>0</v>
      </c>
      <c r="AJ23" s="973">
        <v>4</v>
      </c>
      <c r="AK23" s="973" t="s">
        <v>121</v>
      </c>
    </row>
    <row r="24" spans="1:37" ht="14.25" hidden="1" customHeight="1" x14ac:dyDescent="0.3">
      <c r="A24" s="1089" t="s">
        <v>126</v>
      </c>
      <c r="B24" s="1089" t="s">
        <v>97</v>
      </c>
      <c r="C24" s="1090" t="s">
        <v>14</v>
      </c>
      <c r="D24" s="1091">
        <v>0</v>
      </c>
      <c r="E24" s="1092">
        <v>86.409089555084734</v>
      </c>
      <c r="F24" s="1089">
        <v>1</v>
      </c>
      <c r="G24" s="1093">
        <v>1000</v>
      </c>
      <c r="H24" s="1093" t="s">
        <v>45</v>
      </c>
      <c r="I24" s="1093">
        <v>14</v>
      </c>
      <c r="J24" s="1093">
        <f t="shared" si="9"/>
        <v>14</v>
      </c>
      <c r="K24" s="1094">
        <f t="shared" si="10"/>
        <v>8.6409089555084737E-2</v>
      </c>
      <c r="L24" s="1094">
        <f t="shared" si="11"/>
        <v>0</v>
      </c>
      <c r="M24" s="1089" t="s">
        <v>15</v>
      </c>
      <c r="N24" s="1089">
        <f t="shared" si="12"/>
        <v>1.2097272537711863</v>
      </c>
      <c r="O24" s="1089">
        <f t="shared" si="13"/>
        <v>0</v>
      </c>
      <c r="AJ24" s="973">
        <v>5</v>
      </c>
      <c r="AK24" s="973" t="s">
        <v>127</v>
      </c>
    </row>
    <row r="25" spans="1:37" ht="14.25" hidden="1" customHeight="1" x14ac:dyDescent="0.3">
      <c r="A25" s="1089" t="s">
        <v>128</v>
      </c>
      <c r="B25" s="1089" t="s">
        <v>97</v>
      </c>
      <c r="C25" s="1090" t="s">
        <v>14</v>
      </c>
      <c r="D25" s="1091">
        <v>0</v>
      </c>
      <c r="E25" s="1092">
        <v>66.951760104302451</v>
      </c>
      <c r="F25" s="1089">
        <v>1</v>
      </c>
      <c r="G25" s="1093">
        <v>1000</v>
      </c>
      <c r="H25" s="1093" t="s">
        <v>45</v>
      </c>
      <c r="I25" s="1093">
        <v>37</v>
      </c>
      <c r="J25" s="1093">
        <f t="shared" si="9"/>
        <v>37</v>
      </c>
      <c r="K25" s="1094">
        <f t="shared" si="10"/>
        <v>6.6951760104302455E-2</v>
      </c>
      <c r="L25" s="1094">
        <f t="shared" si="11"/>
        <v>0</v>
      </c>
      <c r="M25" s="1089" t="s">
        <v>15</v>
      </c>
      <c r="N25" s="1089">
        <f t="shared" si="12"/>
        <v>2.4772151238591906</v>
      </c>
      <c r="O25" s="1089">
        <f t="shared" si="13"/>
        <v>0</v>
      </c>
      <c r="AJ25" s="973">
        <v>5</v>
      </c>
      <c r="AK25" s="973" t="s">
        <v>129</v>
      </c>
    </row>
    <row r="26" spans="1:37" ht="14.25" customHeight="1" x14ac:dyDescent="0.3">
      <c r="A26" s="1089" t="s">
        <v>110</v>
      </c>
      <c r="B26" s="1089" t="s">
        <v>97</v>
      </c>
      <c r="C26" s="1090" t="s">
        <v>14</v>
      </c>
      <c r="D26" s="1091">
        <v>990.87931034482733</v>
      </c>
      <c r="E26" s="1092">
        <v>2501.609900049004</v>
      </c>
      <c r="F26" s="1089">
        <v>1</v>
      </c>
      <c r="G26" s="1093">
        <v>1000</v>
      </c>
      <c r="H26" s="1093" t="s">
        <v>45</v>
      </c>
      <c r="I26" s="1093">
        <v>8</v>
      </c>
      <c r="J26" s="1093">
        <f t="shared" si="9"/>
        <v>8</v>
      </c>
      <c r="K26" s="1094">
        <f t="shared" si="10"/>
        <v>2.501609900049004</v>
      </c>
      <c r="L26" s="1094">
        <f t="shared" si="11"/>
        <v>0.99087931034482735</v>
      </c>
      <c r="M26" s="1089" t="s">
        <v>15</v>
      </c>
      <c r="N26" s="1089">
        <f t="shared" si="12"/>
        <v>20.012879200392032</v>
      </c>
      <c r="O26" s="1089">
        <f t="shared" si="13"/>
        <v>7.9270344827586188</v>
      </c>
      <c r="AJ26" s="973">
        <v>5</v>
      </c>
      <c r="AK26" s="973" t="s">
        <v>131</v>
      </c>
    </row>
    <row r="27" spans="1:37" ht="14.25" customHeight="1" x14ac:dyDescent="0.3">
      <c r="A27" s="1089" t="s">
        <v>108</v>
      </c>
      <c r="B27" s="1089" t="s">
        <v>97</v>
      </c>
      <c r="C27" s="1090" t="s">
        <v>14</v>
      </c>
      <c r="D27" s="1091">
        <v>107.43103448275861</v>
      </c>
      <c r="E27" s="1092">
        <v>2887.7981219144549</v>
      </c>
      <c r="F27" s="1089">
        <v>1</v>
      </c>
      <c r="G27" s="1093">
        <v>1000</v>
      </c>
      <c r="H27" s="1093" t="s">
        <v>45</v>
      </c>
      <c r="I27" s="1093">
        <v>15</v>
      </c>
      <c r="J27" s="1093">
        <f t="shared" si="9"/>
        <v>15</v>
      </c>
      <c r="K27" s="1094">
        <f t="shared" si="10"/>
        <v>2.8877981219144551</v>
      </c>
      <c r="L27" s="1094">
        <f t="shared" si="11"/>
        <v>0.10743103448275861</v>
      </c>
      <c r="M27" s="1089" t="s">
        <v>15</v>
      </c>
      <c r="N27" s="1089">
        <f t="shared" si="12"/>
        <v>43.316971828716824</v>
      </c>
      <c r="O27" s="1089">
        <f t="shared" si="13"/>
        <v>1.611465517241379</v>
      </c>
      <c r="AJ27" s="973">
        <v>5</v>
      </c>
      <c r="AK27" s="973" t="s">
        <v>135</v>
      </c>
    </row>
    <row r="28" spans="1:37" ht="14.25" hidden="1" customHeight="1" x14ac:dyDescent="0.3">
      <c r="A28" s="1089" t="s">
        <v>112</v>
      </c>
      <c r="B28" s="1089" t="s">
        <v>97</v>
      </c>
      <c r="C28" s="1090" t="s">
        <v>14</v>
      </c>
      <c r="D28" s="1091">
        <v>0</v>
      </c>
      <c r="E28" s="1092">
        <v>499.8044328552802</v>
      </c>
      <c r="F28" s="1089">
        <v>1</v>
      </c>
      <c r="G28" s="1093">
        <v>1000</v>
      </c>
      <c r="H28" s="1093" t="s">
        <v>45</v>
      </c>
      <c r="I28" s="1093">
        <v>26.5</v>
      </c>
      <c r="J28" s="1093">
        <f t="shared" si="9"/>
        <v>26.5</v>
      </c>
      <c r="K28" s="1094">
        <f t="shared" si="10"/>
        <v>0.4998044328552802</v>
      </c>
      <c r="L28" s="1094">
        <f t="shared" si="11"/>
        <v>0</v>
      </c>
      <c r="M28" s="1089" t="s">
        <v>15</v>
      </c>
      <c r="N28" s="1089">
        <f t="shared" si="12"/>
        <v>13.244817470664925</v>
      </c>
      <c r="O28" s="1089">
        <f t="shared" si="13"/>
        <v>0</v>
      </c>
      <c r="AJ28" s="973">
        <v>5</v>
      </c>
      <c r="AK28" s="973" t="s">
        <v>137</v>
      </c>
    </row>
    <row r="29" spans="1:37" ht="14.25" hidden="1" customHeight="1" x14ac:dyDescent="0.3">
      <c r="A29" s="1089" t="s">
        <v>154</v>
      </c>
      <c r="B29" s="1089" t="s">
        <v>97</v>
      </c>
      <c r="C29" s="1090" t="s">
        <v>14</v>
      </c>
      <c r="D29" s="1091">
        <v>0</v>
      </c>
      <c r="E29" s="1092">
        <v>842.10875331564989</v>
      </c>
      <c r="F29" s="1089">
        <v>1</v>
      </c>
      <c r="G29" s="1093">
        <v>1000</v>
      </c>
      <c r="H29" s="1093" t="s">
        <v>45</v>
      </c>
      <c r="I29" s="1093">
        <v>10</v>
      </c>
      <c r="J29" s="1093">
        <f t="shared" si="9"/>
        <v>10</v>
      </c>
      <c r="K29" s="1094">
        <f t="shared" si="10"/>
        <v>0.84210875331564994</v>
      </c>
      <c r="L29" s="1094">
        <f t="shared" si="11"/>
        <v>0</v>
      </c>
      <c r="M29" s="1089" t="s">
        <v>15</v>
      </c>
      <c r="N29" s="1089">
        <f t="shared" si="12"/>
        <v>8.4210875331564985</v>
      </c>
      <c r="O29" s="1089">
        <f t="shared" si="13"/>
        <v>0</v>
      </c>
      <c r="AJ29" s="973">
        <v>6</v>
      </c>
      <c r="AK29" s="973" t="s">
        <v>153</v>
      </c>
    </row>
    <row r="30" spans="1:37" ht="14.25" hidden="1" customHeight="1" x14ac:dyDescent="0.3">
      <c r="A30" s="1089" t="s">
        <v>149</v>
      </c>
      <c r="B30" s="1089" t="s">
        <v>97</v>
      </c>
      <c r="C30" s="1090" t="s">
        <v>14</v>
      </c>
      <c r="D30" s="1091">
        <v>0</v>
      </c>
      <c r="E30" s="1092">
        <v>924.60875331564989</v>
      </c>
      <c r="F30" s="1095">
        <v>1</v>
      </c>
      <c r="G30" s="1093">
        <v>1000</v>
      </c>
      <c r="H30" s="1093" t="s">
        <v>15</v>
      </c>
      <c r="I30" s="1093">
        <v>18</v>
      </c>
      <c r="J30" s="1093">
        <f t="shared" si="9"/>
        <v>18</v>
      </c>
      <c r="K30" s="1094">
        <f t="shared" si="10"/>
        <v>0.92460875331564985</v>
      </c>
      <c r="L30" s="1094">
        <f t="shared" si="11"/>
        <v>0</v>
      </c>
      <c r="M30" s="1089" t="s">
        <v>15</v>
      </c>
      <c r="N30" s="1089">
        <f t="shared" si="12"/>
        <v>16.642957559681697</v>
      </c>
      <c r="O30" s="1089">
        <f t="shared" si="13"/>
        <v>0</v>
      </c>
      <c r="AJ30" s="973">
        <v>6</v>
      </c>
      <c r="AK30" s="973" t="s">
        <v>155</v>
      </c>
    </row>
    <row r="31" spans="1:37" ht="14.25" customHeight="1" x14ac:dyDescent="0.3">
      <c r="A31" s="1089" t="s">
        <v>146</v>
      </c>
      <c r="B31" s="1089" t="s">
        <v>97</v>
      </c>
      <c r="C31" s="1090" t="s">
        <v>14</v>
      </c>
      <c r="D31" s="1091">
        <v>6.4382352941176464</v>
      </c>
      <c r="E31" s="1092">
        <v>6.4382352941176464</v>
      </c>
      <c r="F31" s="1095">
        <v>1</v>
      </c>
      <c r="G31" s="1093">
        <v>34</v>
      </c>
      <c r="H31" s="1093" t="s">
        <v>147</v>
      </c>
      <c r="I31" s="1093">
        <v>8.5</v>
      </c>
      <c r="J31" s="1093">
        <f t="shared" si="9"/>
        <v>249.99999999999997</v>
      </c>
      <c r="K31" s="1094">
        <f t="shared" si="10"/>
        <v>0.18935986159169549</v>
      </c>
      <c r="L31" s="1094">
        <f t="shared" si="11"/>
        <v>0.18935986159169549</v>
      </c>
      <c r="M31" s="1089" t="s">
        <v>15</v>
      </c>
      <c r="N31" s="1089">
        <f t="shared" si="12"/>
        <v>1.6095588235294116</v>
      </c>
      <c r="O31" s="1089">
        <f t="shared" si="13"/>
        <v>1.6095588235294116</v>
      </c>
      <c r="AJ31" s="973">
        <v>6</v>
      </c>
      <c r="AK31" s="973" t="s">
        <v>156</v>
      </c>
    </row>
    <row r="32" spans="1:37" ht="14.25" hidden="1" customHeight="1" x14ac:dyDescent="0.3">
      <c r="A32" s="1089" t="s">
        <v>789</v>
      </c>
      <c r="B32" s="1089" t="s">
        <v>97</v>
      </c>
      <c r="C32" s="1090" t="s">
        <v>14</v>
      </c>
      <c r="D32" s="1091">
        <v>0</v>
      </c>
      <c r="E32" s="1092">
        <v>83.991714471968692</v>
      </c>
      <c r="F32" s="1095">
        <v>1</v>
      </c>
      <c r="G32" s="1093">
        <v>50</v>
      </c>
      <c r="H32" s="1093" t="s">
        <v>138</v>
      </c>
      <c r="I32" s="1093">
        <v>2.6</v>
      </c>
      <c r="J32" s="1093">
        <f t="shared" si="9"/>
        <v>52</v>
      </c>
      <c r="K32" s="1094">
        <f t="shared" si="10"/>
        <v>1.6798342894393739</v>
      </c>
      <c r="L32" s="1094">
        <f t="shared" si="11"/>
        <v>0</v>
      </c>
      <c r="M32" s="1089" t="s">
        <v>15</v>
      </c>
      <c r="N32" s="1089">
        <f t="shared" si="12"/>
        <v>4.3675691525423721</v>
      </c>
      <c r="O32" s="1089">
        <f t="shared" si="13"/>
        <v>0</v>
      </c>
      <c r="AJ32" s="973">
        <v>6</v>
      </c>
      <c r="AK32" s="973" t="s">
        <v>160</v>
      </c>
    </row>
    <row r="33" spans="1:37" ht="14.25" hidden="1" customHeight="1" x14ac:dyDescent="0.3">
      <c r="A33" s="1089" t="s">
        <v>114</v>
      </c>
      <c r="B33" s="1089" t="s">
        <v>97</v>
      </c>
      <c r="C33" s="1090" t="s">
        <v>14</v>
      </c>
      <c r="D33" s="1091">
        <v>0</v>
      </c>
      <c r="E33" s="1092">
        <v>345.96368084179238</v>
      </c>
      <c r="F33" s="1089">
        <v>1</v>
      </c>
      <c r="G33" s="1093">
        <v>2724</v>
      </c>
      <c r="H33" s="1093" t="s">
        <v>115</v>
      </c>
      <c r="I33" s="1093">
        <v>175</v>
      </c>
      <c r="J33" s="1093">
        <f t="shared" si="9"/>
        <v>64.243759177679877</v>
      </c>
      <c r="K33" s="1094">
        <f t="shared" si="10"/>
        <v>0.12700575654985036</v>
      </c>
      <c r="L33" s="1094">
        <f t="shared" si="11"/>
        <v>0</v>
      </c>
      <c r="M33" s="1089" t="s">
        <v>15</v>
      </c>
      <c r="N33" s="1089">
        <f t="shared" si="12"/>
        <v>22.226007396223814</v>
      </c>
      <c r="O33" s="1089">
        <f t="shared" si="13"/>
        <v>0</v>
      </c>
      <c r="AJ33" s="973">
        <v>6</v>
      </c>
      <c r="AK33" s="973" t="s">
        <v>163</v>
      </c>
    </row>
    <row r="34" spans="1:37" ht="14.25" customHeight="1" x14ac:dyDescent="0.3">
      <c r="A34" s="1089" t="s">
        <v>117</v>
      </c>
      <c r="B34" s="1089" t="s">
        <v>97</v>
      </c>
      <c r="C34" s="1090" t="s">
        <v>14</v>
      </c>
      <c r="D34" s="1091">
        <v>157.75862068965515</v>
      </c>
      <c r="E34" s="1092">
        <v>400.65728880406186</v>
      </c>
      <c r="F34" s="1089">
        <v>1</v>
      </c>
      <c r="G34" s="1093">
        <v>1000</v>
      </c>
      <c r="H34" s="1093" t="s">
        <v>45</v>
      </c>
      <c r="I34" s="1093">
        <v>20</v>
      </c>
      <c r="J34" s="1093">
        <f t="shared" si="9"/>
        <v>20</v>
      </c>
      <c r="K34" s="1094">
        <f t="shared" si="10"/>
        <v>0.40065728880406187</v>
      </c>
      <c r="L34" s="1094">
        <f t="shared" si="11"/>
        <v>0.15775862068965515</v>
      </c>
      <c r="M34" s="1089" t="s">
        <v>15</v>
      </c>
      <c r="N34" s="1089">
        <f t="shared" si="12"/>
        <v>8.0131457760812381</v>
      </c>
      <c r="O34" s="1089">
        <f t="shared" si="13"/>
        <v>3.1551724137931032</v>
      </c>
    </row>
    <row r="35" spans="1:37" ht="14.25" customHeight="1" x14ac:dyDescent="0.3">
      <c r="A35" s="1089" t="s">
        <v>96</v>
      </c>
      <c r="B35" s="1089" t="s">
        <v>97</v>
      </c>
      <c r="C35" s="1090" t="s">
        <v>14</v>
      </c>
      <c r="D35" s="1091">
        <v>285.28108867879115</v>
      </c>
      <c r="E35" s="1092">
        <v>1576.8708752733364</v>
      </c>
      <c r="F35" s="1089">
        <v>1</v>
      </c>
      <c r="G35" s="1093">
        <v>50000</v>
      </c>
      <c r="H35" s="1093" t="s">
        <v>98</v>
      </c>
      <c r="I35" s="1093">
        <v>37</v>
      </c>
      <c r="J35" s="1093">
        <f t="shared" si="9"/>
        <v>0.74</v>
      </c>
      <c r="K35" s="1094">
        <f t="shared" si="10"/>
        <v>3.1537417505466729E-2</v>
      </c>
      <c r="L35" s="1094">
        <f t="shared" si="11"/>
        <v>5.7056217735758233E-3</v>
      </c>
      <c r="M35" s="1089" t="s">
        <v>15</v>
      </c>
      <c r="N35" s="1089">
        <f t="shared" si="12"/>
        <v>1.1668844477022691</v>
      </c>
      <c r="O35" s="1089">
        <f t="shared" si="13"/>
        <v>0.21110800562230547</v>
      </c>
    </row>
    <row r="36" spans="1:37" ht="14.25" hidden="1" customHeight="1" x14ac:dyDescent="0.3">
      <c r="A36" s="1089" t="s">
        <v>122</v>
      </c>
      <c r="B36" s="1089" t="s">
        <v>97</v>
      </c>
      <c r="C36" s="1090" t="s">
        <v>14</v>
      </c>
      <c r="D36" s="1091">
        <v>0</v>
      </c>
      <c r="E36" s="1092">
        <v>1110.0226190262106</v>
      </c>
      <c r="F36" s="1089">
        <v>1</v>
      </c>
      <c r="G36" s="1093">
        <v>1000</v>
      </c>
      <c r="H36" s="1093" t="s">
        <v>45</v>
      </c>
      <c r="I36" s="1093">
        <v>15</v>
      </c>
      <c r="J36" s="1093">
        <f t="shared" si="9"/>
        <v>15</v>
      </c>
      <c r="K36" s="1094">
        <f t="shared" si="10"/>
        <v>1.1100226190262106</v>
      </c>
      <c r="L36" s="1094">
        <f t="shared" si="11"/>
        <v>0</v>
      </c>
      <c r="M36" s="1089" t="s">
        <v>15</v>
      </c>
      <c r="N36" s="1089">
        <f t="shared" si="12"/>
        <v>16.650339285393159</v>
      </c>
      <c r="O36" s="1089">
        <f t="shared" si="13"/>
        <v>0</v>
      </c>
    </row>
    <row r="37" spans="1:37" ht="14.25" customHeight="1" x14ac:dyDescent="0.3">
      <c r="A37" s="1089" t="s">
        <v>104</v>
      </c>
      <c r="B37" s="1089" t="s">
        <v>97</v>
      </c>
      <c r="C37" s="1090" t="s">
        <v>14</v>
      </c>
      <c r="D37" s="1091">
        <v>47.916734279918863</v>
      </c>
      <c r="E37" s="1092">
        <v>195.86478622797082</v>
      </c>
      <c r="F37" s="1089">
        <v>1</v>
      </c>
      <c r="G37" s="1093">
        <v>1000</v>
      </c>
      <c r="H37" s="1093" t="s">
        <v>45</v>
      </c>
      <c r="I37" s="1093">
        <v>47</v>
      </c>
      <c r="J37" s="1093">
        <f t="shared" si="9"/>
        <v>47</v>
      </c>
      <c r="K37" s="1094">
        <f t="shared" si="10"/>
        <v>0.19586478622797082</v>
      </c>
      <c r="L37" s="1094">
        <f t="shared" si="11"/>
        <v>4.7916734279918861E-2</v>
      </c>
      <c r="M37" s="1089" t="s">
        <v>15</v>
      </c>
      <c r="N37" s="1089">
        <f t="shared" si="12"/>
        <v>9.2056449527146285</v>
      </c>
      <c r="O37" s="1089">
        <f t="shared" si="13"/>
        <v>2.2520865111561865</v>
      </c>
    </row>
    <row r="38" spans="1:37" ht="14.25" customHeight="1" x14ac:dyDescent="0.3">
      <c r="G38" s="1020"/>
      <c r="H38" s="1020"/>
      <c r="I38" s="1020"/>
      <c r="J38" s="1020"/>
    </row>
    <row r="39" spans="1:37" ht="14.25" customHeight="1" x14ac:dyDescent="0.3">
      <c r="A39" s="1096" t="s">
        <v>221</v>
      </c>
      <c r="B39" s="1097" t="s">
        <v>220</v>
      </c>
      <c r="C39" s="1098" t="s">
        <v>14</v>
      </c>
      <c r="D39" s="1099">
        <v>12.620689655172411</v>
      </c>
      <c r="E39" s="1100">
        <v>224.9015329766668</v>
      </c>
      <c r="F39" s="1096">
        <v>1</v>
      </c>
      <c r="G39" s="1101">
        <v>100</v>
      </c>
      <c r="H39" s="1101" t="s">
        <v>796</v>
      </c>
      <c r="I39" s="1101">
        <v>3.5</v>
      </c>
      <c r="J39" s="1101">
        <f>I39/(G39/1000)</f>
        <v>35</v>
      </c>
      <c r="K39" s="1102">
        <f>(E39/F39)/G39</f>
        <v>2.2490153297666682</v>
      </c>
      <c r="L39" s="1102">
        <f>(D39/F39)/G39</f>
        <v>0.12620689655172412</v>
      </c>
      <c r="M39" s="1096" t="s">
        <v>15</v>
      </c>
      <c r="N39" s="1096">
        <f>K39*I39</f>
        <v>7.8715536541833391</v>
      </c>
      <c r="O39" s="1096">
        <f>L39*I39</f>
        <v>0.44172413793103443</v>
      </c>
    </row>
    <row r="40" spans="1:37" ht="14.25" customHeight="1" x14ac:dyDescent="0.3">
      <c r="A40" s="1096" t="s">
        <v>815</v>
      </c>
      <c r="B40" s="1097" t="s">
        <v>220</v>
      </c>
      <c r="C40" s="1098" t="s">
        <v>14</v>
      </c>
      <c r="D40" s="1099">
        <v>28.011437288135596</v>
      </c>
      <c r="E40" s="1100">
        <v>154.46707746186436</v>
      </c>
      <c r="F40" s="1096">
        <v>1</v>
      </c>
      <c r="G40" s="1101">
        <v>100</v>
      </c>
      <c r="H40" s="1101" t="s">
        <v>796</v>
      </c>
      <c r="I40" s="1101">
        <v>2.25</v>
      </c>
      <c r="J40" s="1101">
        <f>I40/(G40/1000)</f>
        <v>22.5</v>
      </c>
      <c r="K40" s="1102">
        <f>(E40/F40)/G40</f>
        <v>1.5446707746186437</v>
      </c>
      <c r="L40" s="1102">
        <f>(D40/F40)/G40</f>
        <v>0.28011437288135599</v>
      </c>
      <c r="M40" s="1096" t="s">
        <v>15</v>
      </c>
      <c r="N40" s="1096">
        <f>K40*I40</f>
        <v>3.4755092428919481</v>
      </c>
      <c r="O40" s="1096">
        <f>L40*I40</f>
        <v>0.63025733898305103</v>
      </c>
    </row>
    <row r="41" spans="1:37" ht="14.25" customHeight="1" x14ac:dyDescent="0.3"/>
    <row r="42" spans="1:37" ht="14.25" hidden="1" customHeight="1" x14ac:dyDescent="0.3">
      <c r="A42" s="74" t="s">
        <v>194</v>
      </c>
      <c r="B42" s="15" t="s">
        <v>192</v>
      </c>
      <c r="C42" s="75" t="s">
        <v>14</v>
      </c>
      <c r="D42" s="76">
        <v>0</v>
      </c>
      <c r="E42" s="77">
        <v>330</v>
      </c>
      <c r="F42" s="74">
        <v>1</v>
      </c>
      <c r="G42" s="16">
        <v>12000</v>
      </c>
      <c r="H42" s="16" t="s">
        <v>811</v>
      </c>
      <c r="I42" s="16">
        <v>102</v>
      </c>
      <c r="J42" s="16">
        <f>I42/(G42/1000)</f>
        <v>8.5</v>
      </c>
      <c r="K42" s="78">
        <f>(E42/F42)/G42</f>
        <v>2.75E-2</v>
      </c>
      <c r="L42" s="78">
        <f>(D42/F42)/G42</f>
        <v>0</v>
      </c>
      <c r="M42" s="74" t="s">
        <v>15</v>
      </c>
      <c r="N42" s="74">
        <f>K42*I42</f>
        <v>2.8050000000000002</v>
      </c>
      <c r="O42" s="74">
        <f>L42*I42</f>
        <v>0</v>
      </c>
    </row>
    <row r="43" spans="1:37" ht="14.25" customHeight="1" x14ac:dyDescent="0.3"/>
    <row r="44" spans="1:37" ht="14.25" hidden="1" customHeight="1" x14ac:dyDescent="0.3">
      <c r="A44" s="36" t="s">
        <v>189</v>
      </c>
      <c r="B44" s="36" t="s">
        <v>186</v>
      </c>
      <c r="C44" s="69" t="s">
        <v>14</v>
      </c>
      <c r="D44" s="70">
        <v>0</v>
      </c>
      <c r="E44" s="71">
        <v>229.66101694915255</v>
      </c>
      <c r="F44" s="72">
        <v>1</v>
      </c>
      <c r="G44" s="70">
        <f>4*2000</f>
        <v>8000</v>
      </c>
      <c r="H44" s="70" t="s">
        <v>808</v>
      </c>
      <c r="I44" s="70">
        <v>136</v>
      </c>
      <c r="J44" s="70">
        <f>I44/(G44/1000)</f>
        <v>17</v>
      </c>
      <c r="K44" s="73">
        <f>(E44/F44)/G44</f>
        <v>2.870762711864407E-2</v>
      </c>
      <c r="L44" s="73">
        <f>(D44/F44)/G44</f>
        <v>0</v>
      </c>
      <c r="M44" s="72" t="s">
        <v>15</v>
      </c>
      <c r="N44" s="72">
        <f>K44*I44</f>
        <v>3.9042372881355933</v>
      </c>
      <c r="O44" s="72">
        <f>L44*I44</f>
        <v>0</v>
      </c>
    </row>
    <row r="45" spans="1:37" ht="14.25" customHeight="1" x14ac:dyDescent="0.3"/>
    <row r="46" spans="1:37" ht="14.25" hidden="1" customHeight="1" x14ac:dyDescent="0.3">
      <c r="A46" s="1109" t="s">
        <v>82</v>
      </c>
      <c r="B46" s="1109" t="s">
        <v>83</v>
      </c>
      <c r="C46" s="1110" t="s">
        <v>14</v>
      </c>
      <c r="D46" s="1111">
        <v>0</v>
      </c>
      <c r="E46" s="1112">
        <v>68.898305084745772</v>
      </c>
      <c r="F46" s="1109">
        <v>1</v>
      </c>
      <c r="G46" s="1110">
        <v>1000</v>
      </c>
      <c r="H46" s="1110" t="s">
        <v>45</v>
      </c>
      <c r="I46" s="1110">
        <v>7</v>
      </c>
      <c r="J46" s="1110">
        <f>I46*(G46/1000)</f>
        <v>7</v>
      </c>
      <c r="K46" s="1113">
        <f>(E46/F46)/G46</f>
        <v>6.8898305084745773E-2</v>
      </c>
      <c r="L46" s="1113">
        <f>(D46/F46)/G46</f>
        <v>0</v>
      </c>
      <c r="M46" s="1109" t="s">
        <v>15</v>
      </c>
      <c r="N46" s="1109">
        <f>K46*I46</f>
        <v>0.48228813559322042</v>
      </c>
      <c r="O46" s="1109">
        <f>L46*I46</f>
        <v>0</v>
      </c>
    </row>
    <row r="47" spans="1:37" ht="14.25" customHeight="1" x14ac:dyDescent="0.3"/>
    <row r="48" spans="1:37" x14ac:dyDescent="0.3">
      <c r="G48" s="1020"/>
      <c r="H48" s="1020"/>
      <c r="I48" s="1020"/>
      <c r="J48" s="1020"/>
    </row>
    <row r="49" spans="1:15" ht="14.25" hidden="1" customHeight="1" x14ac:dyDescent="0.3">
      <c r="A49" s="1103" t="s">
        <v>795</v>
      </c>
      <c r="B49" s="1103" t="s">
        <v>13</v>
      </c>
      <c r="C49" s="1104" t="s">
        <v>14</v>
      </c>
      <c r="D49" s="1105">
        <v>0</v>
      </c>
      <c r="E49" s="1106">
        <v>22.966101694915256</v>
      </c>
      <c r="F49" s="1103">
        <v>0.52</v>
      </c>
      <c r="G49" s="1107">
        <v>100</v>
      </c>
      <c r="H49" s="1107" t="s">
        <v>68</v>
      </c>
      <c r="I49" s="1107">
        <v>10</v>
      </c>
      <c r="J49" s="1107">
        <f t="shared" ref="J49:J61" si="14">I49/(G49/1000)</f>
        <v>100</v>
      </c>
      <c r="K49" s="1108">
        <f>(E49/F49)/G49</f>
        <v>0.4416558018252934</v>
      </c>
      <c r="L49" s="1126">
        <f>(D49/F49)/G49</f>
        <v>0</v>
      </c>
      <c r="M49" s="1103" t="s">
        <v>42</v>
      </c>
      <c r="N49" s="1103">
        <f>K49*I49</f>
        <v>4.4165580182529336</v>
      </c>
      <c r="O49" s="1103">
        <v>0</v>
      </c>
    </row>
    <row r="50" spans="1:15" ht="14.25" customHeight="1" x14ac:dyDescent="0.3">
      <c r="A50" s="1103" t="s">
        <v>62</v>
      </c>
      <c r="B50" s="1103" t="s">
        <v>13</v>
      </c>
      <c r="C50" s="1104" t="s">
        <v>14</v>
      </c>
      <c r="D50" s="1105">
        <v>44.327586206896555</v>
      </c>
      <c r="E50" s="1106">
        <v>44.327586206896555</v>
      </c>
      <c r="F50" s="1103">
        <v>0.94</v>
      </c>
      <c r="G50" s="1107">
        <v>825</v>
      </c>
      <c r="H50" s="1107" t="s">
        <v>64</v>
      </c>
      <c r="I50" s="1107">
        <v>3</v>
      </c>
      <c r="J50" s="1107">
        <v>3.6363636363636367</v>
      </c>
      <c r="K50" s="1108">
        <f>(E50/F50)/G50</f>
        <v>5.716000800373508E-2</v>
      </c>
      <c r="L50" s="1126">
        <f t="shared" ref="L50:L61" si="15">(D50/F50)/G50</f>
        <v>5.716000800373508E-2</v>
      </c>
      <c r="M50" s="1103" t="s">
        <v>42</v>
      </c>
      <c r="N50" s="1103">
        <f>K50*I50</f>
        <v>0.17148002401120524</v>
      </c>
      <c r="O50" s="1103">
        <f>L50*I50</f>
        <v>0.17148002401120524</v>
      </c>
    </row>
    <row r="51" spans="1:15" ht="14.25" hidden="1" customHeight="1" x14ac:dyDescent="0.3">
      <c r="A51" s="1103" t="s">
        <v>78</v>
      </c>
      <c r="B51" s="1103" t="s">
        <v>13</v>
      </c>
      <c r="C51" s="1104" t="s">
        <v>14</v>
      </c>
      <c r="D51" s="1105">
        <v>0</v>
      </c>
      <c r="E51" s="1106">
        <v>32.014341590612766</v>
      </c>
      <c r="F51" s="1103">
        <v>1</v>
      </c>
      <c r="G51" s="1107">
        <v>100</v>
      </c>
      <c r="H51" s="1107" t="s">
        <v>68</v>
      </c>
      <c r="I51" s="1107">
        <v>9</v>
      </c>
      <c r="J51" s="1107">
        <f t="shared" si="14"/>
        <v>90</v>
      </c>
      <c r="K51" s="1108">
        <v>2.2718383311603644E-2</v>
      </c>
      <c r="L51" s="1126">
        <f t="shared" si="15"/>
        <v>0</v>
      </c>
      <c r="M51" s="1103" t="s">
        <v>42</v>
      </c>
      <c r="N51" s="1103">
        <f t="shared" ref="N51:N61" si="16">K51*I51</f>
        <v>0.20446544980443279</v>
      </c>
      <c r="O51" s="1103">
        <v>0</v>
      </c>
    </row>
    <row r="52" spans="1:15" ht="14" customHeight="1" x14ac:dyDescent="0.3">
      <c r="A52" s="1103" t="s">
        <v>793</v>
      </c>
      <c r="B52" s="1103" t="s">
        <v>13</v>
      </c>
      <c r="C52" s="1104" t="s">
        <v>14</v>
      </c>
      <c r="D52" s="1105">
        <v>221.63793103448279</v>
      </c>
      <c r="E52" s="1106">
        <v>221.63793103448279</v>
      </c>
      <c r="F52" s="1103">
        <v>1</v>
      </c>
      <c r="G52" s="1107">
        <v>135</v>
      </c>
      <c r="H52" s="1107" t="s">
        <v>53</v>
      </c>
      <c r="I52" s="1107">
        <v>5.5</v>
      </c>
      <c r="J52" s="1107">
        <f t="shared" si="14"/>
        <v>40.74074074074074</v>
      </c>
      <c r="K52" s="1108">
        <f t="shared" ref="K52:K61" si="17">(E52/F52)/G52</f>
        <v>1.64176245210728</v>
      </c>
      <c r="L52" s="1126">
        <f t="shared" si="15"/>
        <v>1.64176245210728</v>
      </c>
      <c r="M52" s="1103" t="s">
        <v>37</v>
      </c>
      <c r="N52" s="1103">
        <f t="shared" si="16"/>
        <v>9.0296934865900393</v>
      </c>
      <c r="O52" s="1103">
        <f>L52*I52</f>
        <v>9.0296934865900393</v>
      </c>
    </row>
    <row r="53" spans="1:15" ht="14.25" hidden="1" customHeight="1" x14ac:dyDescent="0.3">
      <c r="A53" s="1103" t="s">
        <v>823</v>
      </c>
      <c r="B53" s="1103" t="s">
        <v>13</v>
      </c>
      <c r="C53" s="1104" t="s">
        <v>14</v>
      </c>
      <c r="D53" s="1105">
        <v>0</v>
      </c>
      <c r="E53" s="1106">
        <v>22.966101694915256</v>
      </c>
      <c r="F53" s="1103">
        <v>0.7</v>
      </c>
      <c r="G53" s="1107">
        <v>100</v>
      </c>
      <c r="H53" s="1107" t="s">
        <v>68</v>
      </c>
      <c r="I53" s="1107">
        <v>9</v>
      </c>
      <c r="J53" s="1107">
        <f t="shared" si="14"/>
        <v>90</v>
      </c>
      <c r="K53" s="1108">
        <f t="shared" si="17"/>
        <v>0.32808716707021796</v>
      </c>
      <c r="L53" s="1126">
        <f t="shared" si="15"/>
        <v>0</v>
      </c>
      <c r="M53" s="1103" t="s">
        <v>42</v>
      </c>
      <c r="N53" s="1103">
        <f t="shared" si="16"/>
        <v>2.9527845036319618</v>
      </c>
      <c r="O53" s="1103">
        <v>0</v>
      </c>
    </row>
    <row r="54" spans="1:15" ht="14.25" customHeight="1" x14ac:dyDescent="0.3">
      <c r="A54" s="1103" t="s">
        <v>794</v>
      </c>
      <c r="B54" s="1103" t="s">
        <v>13</v>
      </c>
      <c r="C54" s="1104" t="s">
        <v>14</v>
      </c>
      <c r="D54" s="1105">
        <v>25.752941176470586</v>
      </c>
      <c r="E54" s="1106">
        <v>71.685144566301091</v>
      </c>
      <c r="F54" s="1103">
        <v>0.5</v>
      </c>
      <c r="G54" s="1107">
        <v>100</v>
      </c>
      <c r="H54" s="1107" t="s">
        <v>68</v>
      </c>
      <c r="I54" s="1107">
        <v>9</v>
      </c>
      <c r="J54" s="1107">
        <f t="shared" si="14"/>
        <v>90</v>
      </c>
      <c r="K54" s="1108">
        <f t="shared" si="17"/>
        <v>1.4337028913260219</v>
      </c>
      <c r="L54" s="1126">
        <f t="shared" si="15"/>
        <v>0.51505882352941168</v>
      </c>
      <c r="M54" s="1103" t="s">
        <v>42</v>
      </c>
      <c r="N54" s="1103">
        <f t="shared" si="16"/>
        <v>12.903326021934197</v>
      </c>
      <c r="O54" s="1103">
        <v>0</v>
      </c>
    </row>
    <row r="55" spans="1:15" ht="14.25" customHeight="1" x14ac:dyDescent="0.3">
      <c r="A55" s="1103" t="s">
        <v>792</v>
      </c>
      <c r="B55" s="1103" t="s">
        <v>13</v>
      </c>
      <c r="C55" s="1104" t="s">
        <v>14</v>
      </c>
      <c r="D55" s="1105">
        <v>4178.8510431464219</v>
      </c>
      <c r="E55" s="1106">
        <v>19536.601079178505</v>
      </c>
      <c r="F55" s="1103">
        <v>1</v>
      </c>
      <c r="G55" s="1107">
        <v>1000</v>
      </c>
      <c r="H55" s="1107" t="s">
        <v>45</v>
      </c>
      <c r="I55" s="1107">
        <v>10.5</v>
      </c>
      <c r="J55" s="1107">
        <f t="shared" si="14"/>
        <v>10.5</v>
      </c>
      <c r="K55" s="1108">
        <f t="shared" si="17"/>
        <v>19.536601079178503</v>
      </c>
      <c r="L55" s="1126">
        <f>(D55/F55)/G55</f>
        <v>4.1788510431464223</v>
      </c>
      <c r="M55" s="1103" t="s">
        <v>45</v>
      </c>
      <c r="N55" s="1103">
        <f t="shared" si="16"/>
        <v>205.13431133137428</v>
      </c>
      <c r="O55" s="1103">
        <v>0</v>
      </c>
    </row>
    <row r="56" spans="1:15" ht="14.25" customHeight="1" x14ac:dyDescent="0.3">
      <c r="A56" s="1103" t="s">
        <v>56</v>
      </c>
      <c r="B56" s="1103" t="s">
        <v>13</v>
      </c>
      <c r="C56" s="1104" t="s">
        <v>14</v>
      </c>
      <c r="D56" s="1105">
        <v>4696.1346487434248</v>
      </c>
      <c r="E56" s="1106">
        <v>17904.98860988062</v>
      </c>
      <c r="F56" s="1103">
        <v>0.87</v>
      </c>
      <c r="G56" s="1107">
        <v>1000</v>
      </c>
      <c r="H56" s="1107" t="s">
        <v>15</v>
      </c>
      <c r="I56" s="1107">
        <v>3.2</v>
      </c>
      <c r="J56" s="1107">
        <f t="shared" si="14"/>
        <v>3.2</v>
      </c>
      <c r="K56" s="1108">
        <f t="shared" si="17"/>
        <v>20.580446678023701</v>
      </c>
      <c r="L56" s="1126">
        <f>(D56/F56)/G56</f>
        <v>5.3978559180958907</v>
      </c>
      <c r="M56" s="1103" t="s">
        <v>15</v>
      </c>
      <c r="N56" s="1103">
        <f t="shared" si="16"/>
        <v>65.857429369675842</v>
      </c>
      <c r="O56" s="1103">
        <v>0</v>
      </c>
    </row>
    <row r="57" spans="1:15" ht="14.25" customHeight="1" x14ac:dyDescent="0.3">
      <c r="A57" s="1103" t="s">
        <v>34</v>
      </c>
      <c r="B57" s="1103" t="s">
        <v>13</v>
      </c>
      <c r="C57" s="1104" t="s">
        <v>14</v>
      </c>
      <c r="D57" s="1105">
        <v>155.14655172413796</v>
      </c>
      <c r="E57" s="1106">
        <v>155.14655172413796</v>
      </c>
      <c r="F57" s="1103">
        <v>0.86</v>
      </c>
      <c r="G57" s="1107">
        <v>1000</v>
      </c>
      <c r="H57" s="1107" t="s">
        <v>15</v>
      </c>
      <c r="I57" s="1107">
        <v>14</v>
      </c>
      <c r="J57" s="1107">
        <f t="shared" si="14"/>
        <v>14</v>
      </c>
      <c r="K57" s="1108">
        <f t="shared" si="17"/>
        <v>0.18040296712109066</v>
      </c>
      <c r="L57" s="1126">
        <f t="shared" si="15"/>
        <v>0.18040296712109066</v>
      </c>
      <c r="M57" s="1103" t="s">
        <v>15</v>
      </c>
      <c r="N57" s="1103">
        <f t="shared" si="16"/>
        <v>2.5256415396952692</v>
      </c>
      <c r="O57" s="1103">
        <f>L57*I57</f>
        <v>2.5256415396952692</v>
      </c>
    </row>
    <row r="58" spans="1:15" ht="14.25" customHeight="1" x14ac:dyDescent="0.3">
      <c r="A58" s="1103" t="s">
        <v>820</v>
      </c>
      <c r="B58" s="1103" t="s">
        <v>13</v>
      </c>
      <c r="C58" s="1104" t="s">
        <v>14</v>
      </c>
      <c r="D58" s="1105">
        <v>7725.8823529411766</v>
      </c>
      <c r="E58" s="1106">
        <v>7725.8823529411766</v>
      </c>
      <c r="F58" s="1103">
        <v>1</v>
      </c>
      <c r="G58" s="1107">
        <v>250</v>
      </c>
      <c r="H58" s="1107" t="s">
        <v>36</v>
      </c>
      <c r="I58" s="1107">
        <v>5.5</v>
      </c>
      <c r="J58" s="1107">
        <f t="shared" si="14"/>
        <v>22</v>
      </c>
      <c r="K58" s="1108">
        <f t="shared" si="17"/>
        <v>30.903529411764705</v>
      </c>
      <c r="L58" s="1126">
        <f>(D58/F58)/G58</f>
        <v>30.903529411764705</v>
      </c>
      <c r="M58" s="1103" t="s">
        <v>37</v>
      </c>
      <c r="N58" s="1103">
        <f t="shared" si="16"/>
        <v>169.96941176470588</v>
      </c>
      <c r="O58" s="1103">
        <f>L58*I58</f>
        <v>169.96941176470588</v>
      </c>
    </row>
    <row r="59" spans="1:15" ht="14.25" customHeight="1" x14ac:dyDescent="0.3">
      <c r="A59" s="1103" t="s">
        <v>12</v>
      </c>
      <c r="B59" s="1103" t="s">
        <v>13</v>
      </c>
      <c r="C59" s="1104" t="s">
        <v>14</v>
      </c>
      <c r="D59" s="1105">
        <v>2575.2941176470586</v>
      </c>
      <c r="E59" s="1106">
        <v>2575.2941176470586</v>
      </c>
      <c r="F59" s="1103">
        <v>0.9</v>
      </c>
      <c r="G59" s="1107">
        <v>1000</v>
      </c>
      <c r="H59" s="1107" t="s">
        <v>15</v>
      </c>
      <c r="I59" s="1107">
        <v>3</v>
      </c>
      <c r="J59" s="1107">
        <f t="shared" si="14"/>
        <v>3</v>
      </c>
      <c r="K59" s="1108">
        <f t="shared" si="17"/>
        <v>2.8614379084967316</v>
      </c>
      <c r="L59" s="1126">
        <f t="shared" si="15"/>
        <v>2.8614379084967316</v>
      </c>
      <c r="M59" s="1103" t="s">
        <v>15</v>
      </c>
      <c r="N59" s="1103">
        <f t="shared" si="16"/>
        <v>8.584313725490194</v>
      </c>
      <c r="O59" s="1103">
        <f>L59*I59</f>
        <v>8.584313725490194</v>
      </c>
    </row>
    <row r="60" spans="1:15" ht="14.25" customHeight="1" x14ac:dyDescent="0.3">
      <c r="A60" s="1103" t="s">
        <v>66</v>
      </c>
      <c r="B60" s="1103" t="s">
        <v>13</v>
      </c>
      <c r="C60" s="1104" t="s">
        <v>14</v>
      </c>
      <c r="D60" s="1105">
        <v>128.76470588235293</v>
      </c>
      <c r="E60" s="1106">
        <v>804.62173955586832</v>
      </c>
      <c r="F60" s="1103">
        <v>0.65</v>
      </c>
      <c r="G60" s="1107">
        <v>905</v>
      </c>
      <c r="H60" s="1107" t="s">
        <v>816</v>
      </c>
      <c r="I60" s="1107">
        <v>3.5</v>
      </c>
      <c r="J60" s="1107">
        <v>3.5</v>
      </c>
      <c r="K60" s="1108">
        <f>(E60/F60)/G60</f>
        <v>1.3678227616759342</v>
      </c>
      <c r="L60" s="1126">
        <f t="shared" si="15"/>
        <v>0.21889452763680903</v>
      </c>
      <c r="M60" s="1103" t="s">
        <v>42</v>
      </c>
      <c r="N60" s="1103">
        <f t="shared" si="16"/>
        <v>4.7873796658657692</v>
      </c>
      <c r="O60" s="1103">
        <f>L60*I60</f>
        <v>0.76613084672883158</v>
      </c>
    </row>
    <row r="61" spans="1:15" hidden="1" x14ac:dyDescent="0.3">
      <c r="A61" s="1103" t="s">
        <v>822</v>
      </c>
      <c r="B61" s="1103" t="s">
        <v>13</v>
      </c>
      <c r="C61" s="1104" t="s">
        <v>14</v>
      </c>
      <c r="D61" s="1105">
        <v>0</v>
      </c>
      <c r="E61" s="1106">
        <v>45.932203389830512</v>
      </c>
      <c r="F61" s="1103">
        <v>0.74</v>
      </c>
      <c r="G61" s="1107">
        <v>100</v>
      </c>
      <c r="H61" s="1107" t="s">
        <v>821</v>
      </c>
      <c r="I61" s="1107">
        <v>10</v>
      </c>
      <c r="J61" s="1107">
        <f t="shared" si="14"/>
        <v>100</v>
      </c>
      <c r="K61" s="1108">
        <f t="shared" si="17"/>
        <v>0.62070545121392584</v>
      </c>
      <c r="L61" s="1126">
        <f t="shared" si="15"/>
        <v>0</v>
      </c>
      <c r="M61" s="1103" t="s">
        <v>42</v>
      </c>
      <c r="N61" s="1103">
        <f t="shared" si="16"/>
        <v>6.2070545121392584</v>
      </c>
      <c r="O61" s="1103">
        <v>0</v>
      </c>
    </row>
    <row r="63" spans="1:15" ht="14.25" customHeight="1" x14ac:dyDescent="0.3"/>
    <row r="64" spans="1:15" ht="14.25" customHeight="1" x14ac:dyDescent="0.3"/>
    <row r="65" spans="1:15" ht="14.25" customHeight="1" x14ac:dyDescent="0.3">
      <c r="A65" s="67"/>
      <c r="B65" s="67"/>
      <c r="C65" s="65"/>
      <c r="D65" s="64"/>
      <c r="E65" s="66"/>
      <c r="F65" s="67"/>
      <c r="G65" s="1021"/>
      <c r="H65" s="1021"/>
      <c r="I65" s="1021"/>
      <c r="J65" s="1021"/>
      <c r="K65" s="68"/>
      <c r="L65" s="68"/>
      <c r="M65" s="67"/>
      <c r="N65" s="67"/>
      <c r="O65" s="67"/>
    </row>
    <row r="66" spans="1:15" ht="14.25" customHeight="1" x14ac:dyDescent="0.3"/>
    <row r="67" spans="1:15" ht="14.25" customHeight="1" x14ac:dyDescent="0.3"/>
    <row r="68" spans="1:15" ht="14.25" customHeight="1" x14ac:dyDescent="0.3"/>
  </sheetData>
  <autoFilter ref="A1:O68" xr:uid="{00000000-0001-0000-0100-000000000000}">
    <filterColumn colId="3">
      <filters blank="1">
        <filter val="107"/>
        <filter val="115"/>
        <filter val="1202"/>
        <filter val="129"/>
        <filter val="13"/>
        <filter val="1404"/>
        <filter val="1442"/>
        <filter val="155"/>
        <filter val="158"/>
        <filter val="1773"/>
        <filter val="179"/>
        <filter val="22"/>
        <filter val="222"/>
        <filter val="2575"/>
        <filter val="258"/>
        <filter val="26"/>
        <filter val="28"/>
        <filter val="285"/>
        <filter val="4179"/>
        <filter val="44"/>
        <filter val="443"/>
        <filter val="4696"/>
        <filter val="48"/>
        <filter val="5693"/>
        <filter val="6"/>
        <filter val="7726"/>
        <filter val="901"/>
        <filter val="991"/>
      </filters>
    </filterColumn>
  </autoFilter>
  <pageMargins left="0.7" right="0.7" top="0.75" bottom="0.75" header="0.511811023622047" footer="0.511811023622047"/>
  <pageSetup paperSize="9" orientation="portrait" horizontalDpi="300" verticalDpi="30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B050"/>
    <pageSetUpPr fitToPage="1"/>
  </sheetPr>
  <dimension ref="A1:AT136"/>
  <sheetViews>
    <sheetView zoomScale="70" zoomScaleNormal="70" workbookViewId="0">
      <selection activeCell="B22" sqref="B22"/>
    </sheetView>
  </sheetViews>
  <sheetFormatPr defaultColWidth="12.5" defaultRowHeight="14" x14ac:dyDescent="0.3"/>
  <cols>
    <col min="1" max="1" width="12.5" style="79" customWidth="1"/>
    <col min="2" max="2" width="41.082031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9" width="15.9140625" style="14" customWidth="1"/>
    <col min="10" max="10" width="20.75" style="14" customWidth="1"/>
    <col min="11" max="11" width="12.5" style="14" customWidth="1"/>
    <col min="12" max="12" width="8.33203125" style="14" customWidth="1"/>
    <col min="13" max="14" width="4.83203125" style="14" customWidth="1"/>
    <col min="15" max="17" width="12.5" style="14" customWidth="1"/>
    <col min="18" max="18" width="30.4140625" style="14" customWidth="1"/>
    <col min="19" max="22" width="12.5" style="14" customWidth="1"/>
    <col min="23" max="23" width="12" style="14" customWidth="1"/>
    <col min="24" max="24" width="10.58203125" style="14" bestFit="1" customWidth="1"/>
    <col min="25" max="25" width="15.33203125" style="14" customWidth="1"/>
    <col min="26" max="26" width="13" style="14" bestFit="1" customWidth="1"/>
    <col min="27" max="27" width="12.5" style="14" customWidth="1"/>
    <col min="28" max="28" width="13.4140625" style="14" bestFit="1" customWidth="1"/>
    <col min="29" max="29" width="13.33203125" style="14" bestFit="1" customWidth="1"/>
    <col min="30" max="30" width="10" style="14" bestFit="1" customWidth="1"/>
    <col min="31" max="31" width="11.58203125" style="14" bestFit="1" customWidth="1"/>
    <col min="32" max="32" width="13" style="14" customWidth="1"/>
    <col min="33" max="34" width="4.08203125" style="14" customWidth="1"/>
    <col min="35" max="35" width="17.83203125" style="14" customWidth="1"/>
    <col min="36" max="36" width="30.5" style="14" customWidth="1"/>
    <col min="37" max="37" width="12.5" style="14" customWidth="1"/>
    <col min="38" max="38" width="15.08203125" style="14" customWidth="1"/>
    <col min="39" max="41" width="12.5" style="14"/>
    <col min="42" max="42" width="18.08203125" style="14" customWidth="1"/>
    <col min="43" max="43" width="14.58203125" style="14" bestFit="1" customWidth="1"/>
    <col min="44" max="44" width="21.4140625" style="14" bestFit="1" customWidth="1"/>
    <col min="45" max="16384" width="12.5" style="14"/>
  </cols>
  <sheetData>
    <row r="1" spans="1:46" ht="35.25" customHeight="1" x14ac:dyDescent="0.3">
      <c r="B1" s="80" t="s">
        <v>243</v>
      </c>
      <c r="C1" s="81">
        <v>1000</v>
      </c>
      <c r="D1" s="82" t="s">
        <v>244</v>
      </c>
      <c r="E1" s="83">
        <f>T32</f>
        <v>25649.743589743601</v>
      </c>
      <c r="F1" s="80" t="s">
        <v>245</v>
      </c>
      <c r="G1" s="84">
        <f>E1/1000</f>
        <v>25.649743589743601</v>
      </c>
      <c r="H1" s="80" t="s">
        <v>246</v>
      </c>
      <c r="I1" s="85">
        <f>(G1/K1)</f>
        <v>30.176168929110119</v>
      </c>
      <c r="J1" s="86" t="s">
        <v>247</v>
      </c>
      <c r="K1" s="87">
        <v>0.85</v>
      </c>
      <c r="L1" s="88"/>
      <c r="M1" s="89"/>
      <c r="N1" s="90"/>
      <c r="O1" s="91" t="s">
        <v>248</v>
      </c>
      <c r="P1" s="92" t="s">
        <v>249</v>
      </c>
      <c r="Q1" s="93" t="s">
        <v>250</v>
      </c>
      <c r="R1" s="92">
        <v>0.59</v>
      </c>
      <c r="Y1" s="91" t="s">
        <v>479</v>
      </c>
      <c r="Z1" s="847">
        <v>45470</v>
      </c>
      <c r="AA1" s="91" t="s">
        <v>600</v>
      </c>
      <c r="AB1" s="847">
        <v>0</v>
      </c>
      <c r="AC1" s="91" t="s">
        <v>587</v>
      </c>
      <c r="AD1" s="847">
        <v>310</v>
      </c>
      <c r="AI1" s="79"/>
      <c r="AJ1" s="94" t="s">
        <v>262</v>
      </c>
      <c r="AK1" s="94">
        <v>10000</v>
      </c>
      <c r="AL1" s="628" t="s">
        <v>520</v>
      </c>
      <c r="AM1" s="629">
        <f>$S$32/R1</f>
        <v>59282.920469361139</v>
      </c>
      <c r="AN1" s="94" t="s">
        <v>251</v>
      </c>
      <c r="AO1" s="329">
        <f>((AM1))/$AK$1</f>
        <v>5.9282920469361136</v>
      </c>
      <c r="AP1" s="95"/>
    </row>
    <row r="2" spans="1:46" ht="12.75" customHeight="1" x14ac:dyDescent="0.3">
      <c r="A2" s="97"/>
      <c r="B2" s="98"/>
      <c r="C2" s="98"/>
      <c r="D2" s="98"/>
      <c r="E2" s="98"/>
      <c r="F2" s="1408" t="s">
        <v>252</v>
      </c>
      <c r="G2" s="98"/>
      <c r="H2" s="98"/>
      <c r="I2" s="98"/>
      <c r="J2" s="98"/>
      <c r="K2" s="98"/>
      <c r="L2" s="98"/>
      <c r="M2" s="99"/>
      <c r="N2" s="99"/>
      <c r="O2" s="100"/>
      <c r="P2" s="100"/>
      <c r="Q2" s="100"/>
      <c r="R2" s="100"/>
      <c r="AI2" s="79"/>
      <c r="AJ2" s="101"/>
      <c r="AK2" s="1386" t="s">
        <v>263</v>
      </c>
      <c r="AL2" s="1386"/>
      <c r="AM2" s="1386"/>
      <c r="AN2" s="102"/>
      <c r="AO2" s="101"/>
      <c r="AP2" s="101"/>
    </row>
    <row r="3" spans="1:46" ht="12.75" customHeight="1" x14ac:dyDescent="0.3">
      <c r="A3" s="97"/>
      <c r="B3" s="103"/>
      <c r="C3" s="103"/>
      <c r="D3" s="103"/>
      <c r="E3" s="103"/>
      <c r="F3" s="1388"/>
      <c r="G3" s="103"/>
      <c r="H3" s="103"/>
      <c r="I3" s="103"/>
      <c r="J3" s="103"/>
      <c r="K3" s="103"/>
      <c r="L3" s="103"/>
      <c r="M3" s="100"/>
      <c r="N3" s="100"/>
      <c r="O3" s="100"/>
      <c r="P3" s="100"/>
      <c r="Q3" s="100"/>
      <c r="R3" s="100"/>
      <c r="AI3" s="79"/>
      <c r="AJ3" s="104"/>
      <c r="AK3" s="104"/>
      <c r="AL3" s="105"/>
      <c r="AM3" s="105"/>
      <c r="AN3" s="105"/>
      <c r="AO3" s="104"/>
      <c r="AP3" s="104"/>
    </row>
    <row r="4" spans="1:46" ht="78" customHeight="1" x14ac:dyDescent="0.3">
      <c r="A4" s="106" t="s">
        <v>1</v>
      </c>
      <c r="B4" s="91" t="s">
        <v>253</v>
      </c>
      <c r="C4" s="107" t="s">
        <v>254</v>
      </c>
      <c r="D4" s="91" t="s">
        <v>243</v>
      </c>
      <c r="E4" s="108" t="s">
        <v>246</v>
      </c>
      <c r="F4" s="108" t="s">
        <v>255</v>
      </c>
      <c r="G4" s="91" t="s">
        <v>256</v>
      </c>
      <c r="H4" s="109" t="s">
        <v>257</v>
      </c>
      <c r="I4" s="91" t="s">
        <v>258</v>
      </c>
      <c r="J4" s="91" t="s">
        <v>259</v>
      </c>
      <c r="K4" s="91" t="s">
        <v>260</v>
      </c>
      <c r="L4" s="91" t="s">
        <v>261</v>
      </c>
      <c r="M4" s="100"/>
      <c r="N4" s="100"/>
      <c r="O4" s="100"/>
      <c r="P4" s="100"/>
      <c r="AI4" s="79"/>
      <c r="AJ4" s="110" t="s">
        <v>253</v>
      </c>
      <c r="AK4" s="111" t="s">
        <v>254</v>
      </c>
      <c r="AL4" s="110" t="s">
        <v>262</v>
      </c>
      <c r="AM4" s="110" t="s">
        <v>246</v>
      </c>
      <c r="AN4" s="110" t="s">
        <v>255</v>
      </c>
      <c r="AO4" s="110" t="s">
        <v>256</v>
      </c>
      <c r="AP4" s="112" t="s">
        <v>257</v>
      </c>
      <c r="AQ4" s="91" t="s">
        <v>258</v>
      </c>
      <c r="AR4" s="91" t="s">
        <v>259</v>
      </c>
      <c r="AS4" s="91" t="s">
        <v>260</v>
      </c>
      <c r="AT4" s="91" t="s">
        <v>261</v>
      </c>
    </row>
    <row r="5" spans="1:46" ht="14.25" customHeight="1" x14ac:dyDescent="0.3">
      <c r="A5" s="113" t="s">
        <v>230</v>
      </c>
      <c r="B5" s="114" t="s">
        <v>229</v>
      </c>
      <c r="C5" s="115" t="s">
        <v>14</v>
      </c>
      <c r="D5" s="116">
        <f>I51/10</f>
        <v>2456.4701694915252</v>
      </c>
      <c r="E5" s="117">
        <f>H52</f>
        <v>24.133376910346261</v>
      </c>
      <c r="F5" s="118">
        <v>1</v>
      </c>
      <c r="G5" s="119">
        <f t="shared" ref="G5:G22" si="0">D5*E5</f>
        <v>59282.920469361139</v>
      </c>
      <c r="H5" s="120">
        <f t="shared" ref="H5:H22" si="1">G5*F5</f>
        <v>59282.920469361139</v>
      </c>
      <c r="I5" s="81">
        <f>VLOOKUP(B5,All_Ingredients!$A$1:$F$151,6,FALSE())</f>
        <v>0.86</v>
      </c>
      <c r="J5" s="121">
        <f>VLOOKUP(B5,All_Ingredients!$A$1:$J$151,10,FALSE())</f>
        <v>17.100000000000001</v>
      </c>
      <c r="K5" s="122">
        <f>(H5/I5)/1000</f>
        <v>68.933628452745509</v>
      </c>
      <c r="L5" s="122">
        <f t="shared" ref="L5" si="2">K5*J5</f>
        <v>1178.7650465419483</v>
      </c>
      <c r="M5" s="100"/>
      <c r="N5" s="100"/>
      <c r="O5" s="100"/>
      <c r="P5" s="100"/>
      <c r="AI5" s="79"/>
      <c r="AJ5" s="123" t="s">
        <v>229</v>
      </c>
      <c r="AK5" s="124" t="s">
        <v>238</v>
      </c>
      <c r="AL5" s="125">
        <v>10</v>
      </c>
      <c r="AM5" s="126">
        <f>$AO$1</f>
        <v>5.9282920469361136</v>
      </c>
      <c r="AN5" s="127">
        <v>1</v>
      </c>
      <c r="AO5" s="119">
        <f>AL5*AM5</f>
        <v>59.282920469361137</v>
      </c>
      <c r="AP5" s="120">
        <f>AN5*AO5</f>
        <v>59.282920469361137</v>
      </c>
      <c r="AQ5" s="295"/>
      <c r="AR5" s="1171"/>
      <c r="AS5" s="175"/>
      <c r="AT5" s="1172"/>
    </row>
    <row r="6" spans="1:46" ht="14.25" customHeight="1" x14ac:dyDescent="0.3">
      <c r="A6" s="128" t="s">
        <v>13</v>
      </c>
      <c r="B6" s="114" t="s">
        <v>12</v>
      </c>
      <c r="C6" s="124" t="s">
        <v>14</v>
      </c>
      <c r="D6" s="125">
        <v>150</v>
      </c>
      <c r="E6" s="126">
        <f t="shared" ref="E6:E22" si="3">$I$1</f>
        <v>30.176168929110119</v>
      </c>
      <c r="F6" s="127">
        <v>0.95</v>
      </c>
      <c r="G6" s="119">
        <f t="shared" si="0"/>
        <v>4526.4253393665176</v>
      </c>
      <c r="H6" s="120">
        <f t="shared" si="1"/>
        <v>4300.1040723981914</v>
      </c>
      <c r="I6" s="81">
        <f>VLOOKUP(B6,All_Ingredients!$A$1:$F$151,6,FALSE())</f>
        <v>0.9</v>
      </c>
      <c r="J6" s="121">
        <f>VLOOKUP(B6,All_Ingredients!$A$1:$J$151,10,FALSE())</f>
        <v>3</v>
      </c>
      <c r="K6" s="122">
        <f t="shared" ref="K6:K22" si="4">(H6/I6)/1000</f>
        <v>4.777893413775768</v>
      </c>
      <c r="L6" s="122">
        <f t="shared" ref="L6:L22" si="5">K6*J6</f>
        <v>14.333680241327304</v>
      </c>
      <c r="AI6" s="79" t="s">
        <v>57</v>
      </c>
      <c r="AJ6" s="123" t="s">
        <v>56</v>
      </c>
      <c r="AK6" s="124" t="s">
        <v>14</v>
      </c>
      <c r="AL6" s="125">
        <v>100</v>
      </c>
      <c r="AM6" s="126">
        <f t="shared" ref="AM6:AM13" si="6">$AO$1</f>
        <v>5.9282920469361136</v>
      </c>
      <c r="AN6" s="127">
        <v>1</v>
      </c>
      <c r="AO6" s="119">
        <f t="shared" ref="AO6:AO13" si="7">AL6*AM6</f>
        <v>592.82920469361136</v>
      </c>
      <c r="AP6" s="120">
        <f t="shared" ref="AP6:AP13" si="8">AN6*AO6</f>
        <v>592.82920469361136</v>
      </c>
      <c r="AQ6" s="1172">
        <f>VLOOKUP(AJ6,Marination_Ordering!$A:$J,6,FALSE)</f>
        <v>0.87</v>
      </c>
      <c r="AR6" s="1172">
        <f>VLOOKUP(AJ6,Marination_Ordering!$A:$J,10,FALSE)</f>
        <v>3.2</v>
      </c>
      <c r="AS6" s="175">
        <f>AP6/AQ6</f>
        <v>681.41287895817402</v>
      </c>
      <c r="AT6" s="1172">
        <f>AR6*(AS6/1000)</f>
        <v>2.1805212126661568</v>
      </c>
    </row>
    <row r="7" spans="1:46" ht="14.25" customHeight="1" x14ac:dyDescent="0.3">
      <c r="A7" s="128" t="s">
        <v>13</v>
      </c>
      <c r="B7" s="114" t="s">
        <v>17</v>
      </c>
      <c r="C7" s="124" t="s">
        <v>14</v>
      </c>
      <c r="D7" s="125">
        <v>250</v>
      </c>
      <c r="E7" s="126">
        <f t="shared" si="3"/>
        <v>30.176168929110119</v>
      </c>
      <c r="F7" s="127">
        <v>1</v>
      </c>
      <c r="G7" s="119">
        <f t="shared" si="0"/>
        <v>7544.0422322775294</v>
      </c>
      <c r="H7" s="120">
        <f t="shared" si="1"/>
        <v>7544.0422322775294</v>
      </c>
      <c r="I7" s="81">
        <f>VLOOKUP(B7,All_Ingredients!$A$1:$F$151,6,FALSE())</f>
        <v>0.98</v>
      </c>
      <c r="J7" s="121">
        <f>VLOOKUP(B7,All_Ingredients!$A$1:$J$151,10,FALSE())</f>
        <v>3.5</v>
      </c>
      <c r="K7" s="122">
        <f t="shared" si="4"/>
        <v>7.6980022778342132</v>
      </c>
      <c r="L7" s="122">
        <f t="shared" si="5"/>
        <v>26.943007972419746</v>
      </c>
      <c r="AI7" s="79" t="s">
        <v>13</v>
      </c>
      <c r="AJ7" s="123" t="s">
        <v>792</v>
      </c>
      <c r="AK7" s="124" t="s">
        <v>14</v>
      </c>
      <c r="AL7" s="125">
        <v>100</v>
      </c>
      <c r="AM7" s="126">
        <f t="shared" si="6"/>
        <v>5.9282920469361136</v>
      </c>
      <c r="AN7" s="127">
        <v>1</v>
      </c>
      <c r="AO7" s="119">
        <f t="shared" si="7"/>
        <v>592.82920469361136</v>
      </c>
      <c r="AP7" s="120">
        <f t="shared" si="8"/>
        <v>592.82920469361136</v>
      </c>
      <c r="AQ7" s="1172">
        <f>VLOOKUP(AJ7,Marination_Ordering!$A:$J,6,FALSE)</f>
        <v>1</v>
      </c>
      <c r="AR7" s="1172">
        <f>VLOOKUP(AJ7,Marination_Ordering!$A:$J,10,FALSE)</f>
        <v>10.5</v>
      </c>
      <c r="AS7" s="175">
        <f t="shared" ref="AS7:AS13" si="9">AP7/AQ7</f>
        <v>592.82920469361136</v>
      </c>
      <c r="AT7" s="1172">
        <f t="shared" ref="AT7:AT13" si="10">AR7*(AS7/1000)</f>
        <v>6.2247066492829193</v>
      </c>
    </row>
    <row r="8" spans="1:46" ht="14.25" customHeight="1" x14ac:dyDescent="0.3">
      <c r="A8" s="128" t="s">
        <v>57</v>
      </c>
      <c r="B8" s="114" t="s">
        <v>56</v>
      </c>
      <c r="C8" s="124" t="s">
        <v>14</v>
      </c>
      <c r="D8" s="125">
        <v>15</v>
      </c>
      <c r="E8" s="126">
        <f t="shared" si="3"/>
        <v>30.176168929110119</v>
      </c>
      <c r="F8" s="127">
        <v>0.9</v>
      </c>
      <c r="G8" s="119">
        <f t="shared" si="0"/>
        <v>452.64253393665177</v>
      </c>
      <c r="H8" s="120">
        <f t="shared" si="1"/>
        <v>407.3782805429866</v>
      </c>
      <c r="I8" s="81">
        <f>VLOOKUP(B8,All_Ingredients!$A$1:$F$151,6,FALSE())</f>
        <v>0.87</v>
      </c>
      <c r="J8" s="121">
        <f>VLOOKUP(B8,All_Ingredients!$A$1:$J$151,10,FALSE())</f>
        <v>7</v>
      </c>
      <c r="K8" s="122">
        <f t="shared" si="4"/>
        <v>0.46825089717584667</v>
      </c>
      <c r="L8" s="122">
        <f t="shared" si="5"/>
        <v>3.2777562802309266</v>
      </c>
      <c r="AI8" s="79" t="s">
        <v>210</v>
      </c>
      <c r="AJ8" s="123" t="s">
        <v>219</v>
      </c>
      <c r="AK8" s="124" t="s">
        <v>165</v>
      </c>
      <c r="AL8" s="125">
        <v>200</v>
      </c>
      <c r="AM8" s="126">
        <f t="shared" si="6"/>
        <v>5.9282920469361136</v>
      </c>
      <c r="AN8" s="127">
        <v>1</v>
      </c>
      <c r="AO8" s="119">
        <f t="shared" si="7"/>
        <v>1185.6584093872227</v>
      </c>
      <c r="AP8" s="120">
        <f t="shared" si="8"/>
        <v>1185.6584093872227</v>
      </c>
      <c r="AQ8" s="1172">
        <f>VLOOKUP(AJ8,Marination_Ordering!$A:$J,6,FALSE)</f>
        <v>1</v>
      </c>
      <c r="AR8" s="1172">
        <f>VLOOKUP(AJ8,Marination_Ordering!$A:$J,10,FALSE)</f>
        <v>5</v>
      </c>
      <c r="AS8" s="175">
        <f t="shared" si="9"/>
        <v>1185.6584093872227</v>
      </c>
      <c r="AT8" s="1172">
        <f t="shared" si="10"/>
        <v>5.9282920469361136</v>
      </c>
    </row>
    <row r="9" spans="1:46" ht="14.25" customHeight="1" x14ac:dyDescent="0.3">
      <c r="A9" s="128" t="s">
        <v>13</v>
      </c>
      <c r="B9" s="114" t="s">
        <v>792</v>
      </c>
      <c r="C9" s="124" t="s">
        <v>14</v>
      </c>
      <c r="D9" s="125">
        <v>25</v>
      </c>
      <c r="E9" s="126">
        <f t="shared" si="3"/>
        <v>30.176168929110119</v>
      </c>
      <c r="F9" s="127">
        <v>0.9</v>
      </c>
      <c r="G9" s="119">
        <f t="shared" si="0"/>
        <v>754.40422322775294</v>
      </c>
      <c r="H9" s="120">
        <f t="shared" si="1"/>
        <v>678.96380090497769</v>
      </c>
      <c r="I9" s="81">
        <f>VLOOKUP(B9,All_Ingredients!$A$1:$F$151,6,FALSE())</f>
        <v>1</v>
      </c>
      <c r="J9" s="121">
        <f>VLOOKUP(B9,All_Ingredients!$A$1:$J$151,10,FALSE())</f>
        <v>10.5</v>
      </c>
      <c r="K9" s="122">
        <f t="shared" si="4"/>
        <v>0.67896380090497765</v>
      </c>
      <c r="L9" s="122">
        <f t="shared" si="5"/>
        <v>7.1291199095022657</v>
      </c>
      <c r="AI9" s="79" t="s">
        <v>210</v>
      </c>
      <c r="AJ9" s="123" t="s">
        <v>215</v>
      </c>
      <c r="AK9" s="124" t="s">
        <v>165</v>
      </c>
      <c r="AL9" s="125">
        <v>100</v>
      </c>
      <c r="AM9" s="126">
        <f t="shared" si="6"/>
        <v>5.9282920469361136</v>
      </c>
      <c r="AN9" s="127">
        <v>1</v>
      </c>
      <c r="AO9" s="119">
        <f t="shared" si="7"/>
        <v>592.82920469361136</v>
      </c>
      <c r="AP9" s="120">
        <f t="shared" si="8"/>
        <v>592.82920469361136</v>
      </c>
      <c r="AQ9" s="1172">
        <f>VLOOKUP(AJ9,Marination_Ordering!$A:$J,6,FALSE)</f>
        <v>1</v>
      </c>
      <c r="AR9" s="1172">
        <f>VLOOKUP(AJ9,Marination_Ordering!$A:$J,10,FALSE)</f>
        <v>2.1621621621621623</v>
      </c>
      <c r="AS9" s="175">
        <f t="shared" si="9"/>
        <v>592.82920469361136</v>
      </c>
      <c r="AT9" s="1172">
        <f t="shared" si="10"/>
        <v>1.2817928750132137</v>
      </c>
    </row>
    <row r="10" spans="1:46" ht="14.25" customHeight="1" x14ac:dyDescent="0.3">
      <c r="A10" s="128" t="s">
        <v>13</v>
      </c>
      <c r="B10" s="114" t="s">
        <v>34</v>
      </c>
      <c r="C10" s="124" t="s">
        <v>14</v>
      </c>
      <c r="D10" s="125">
        <v>5</v>
      </c>
      <c r="E10" s="126">
        <f t="shared" si="3"/>
        <v>30.176168929110119</v>
      </c>
      <c r="F10" s="127">
        <v>0.75</v>
      </c>
      <c r="G10" s="119">
        <f t="shared" si="0"/>
        <v>150.88084464555061</v>
      </c>
      <c r="H10" s="120">
        <f t="shared" si="1"/>
        <v>113.16063348416296</v>
      </c>
      <c r="I10" s="81">
        <f>VLOOKUP(B10,All_Ingredients!$A$1:$F$151,6,FALSE())</f>
        <v>0.86</v>
      </c>
      <c r="J10" s="121">
        <f>VLOOKUP(B10,All_Ingredients!$A$1:$J$151,10,FALSE())</f>
        <v>14</v>
      </c>
      <c r="K10" s="122">
        <f t="shared" si="4"/>
        <v>0.13158213195832902</v>
      </c>
      <c r="L10" s="122">
        <f t="shared" si="5"/>
        <v>1.8421498474166063</v>
      </c>
      <c r="AI10" s="79" t="s">
        <v>97</v>
      </c>
      <c r="AJ10" s="123" t="s">
        <v>96</v>
      </c>
      <c r="AK10" s="124" t="s">
        <v>14</v>
      </c>
      <c r="AL10" s="125">
        <v>30</v>
      </c>
      <c r="AM10" s="126">
        <f t="shared" si="6"/>
        <v>5.9282920469361136</v>
      </c>
      <c r="AN10" s="127">
        <v>1</v>
      </c>
      <c r="AO10" s="119">
        <f t="shared" si="7"/>
        <v>177.84876140808342</v>
      </c>
      <c r="AP10" s="120">
        <f t="shared" si="8"/>
        <v>177.84876140808342</v>
      </c>
      <c r="AQ10" s="1172">
        <f>VLOOKUP(AJ10,Marination_Ordering!$A:$J,6,FALSE)</f>
        <v>1</v>
      </c>
      <c r="AR10" s="1172">
        <f>VLOOKUP(AJ10,Marination_Ordering!$A:$J,10,FALSE)</f>
        <v>0.74</v>
      </c>
      <c r="AS10" s="175">
        <f t="shared" si="9"/>
        <v>177.84876140808342</v>
      </c>
      <c r="AT10" s="1172">
        <f t="shared" si="10"/>
        <v>0.13160808344198174</v>
      </c>
    </row>
    <row r="11" spans="1:46" ht="19.5" customHeight="1" x14ac:dyDescent="0.3">
      <c r="A11" s="128" t="s">
        <v>97</v>
      </c>
      <c r="B11" s="114" t="s">
        <v>108</v>
      </c>
      <c r="C11" s="124" t="s">
        <v>14</v>
      </c>
      <c r="D11" s="125">
        <v>5</v>
      </c>
      <c r="E11" s="126">
        <f t="shared" si="3"/>
        <v>30.176168929110119</v>
      </c>
      <c r="F11" s="127">
        <v>0.9</v>
      </c>
      <c r="G11" s="119">
        <f t="shared" si="0"/>
        <v>150.88084464555061</v>
      </c>
      <c r="H11" s="120">
        <f t="shared" si="1"/>
        <v>135.79276018099554</v>
      </c>
      <c r="I11" s="81">
        <f>VLOOKUP(B11,All_Ingredients!$A$1:$F$151,6,FALSE())</f>
        <v>1</v>
      </c>
      <c r="J11" s="121">
        <f>VLOOKUP(B11,All_Ingredients!$A$1:$J$151,10,FALSE())</f>
        <v>15</v>
      </c>
      <c r="K11" s="122">
        <f t="shared" si="4"/>
        <v>0.13579276018099554</v>
      </c>
      <c r="L11" s="122">
        <f t="shared" si="5"/>
        <v>2.0368914027149332</v>
      </c>
      <c r="AI11" s="79" t="s">
        <v>97</v>
      </c>
      <c r="AJ11" s="123" t="s">
        <v>102</v>
      </c>
      <c r="AK11" s="124" t="s">
        <v>14</v>
      </c>
      <c r="AL11" s="125">
        <v>5</v>
      </c>
      <c r="AM11" s="126">
        <f t="shared" si="6"/>
        <v>5.9282920469361136</v>
      </c>
      <c r="AN11" s="127">
        <v>1</v>
      </c>
      <c r="AO11" s="119">
        <f t="shared" si="7"/>
        <v>29.641460234680569</v>
      </c>
      <c r="AP11" s="120">
        <f t="shared" si="8"/>
        <v>29.641460234680569</v>
      </c>
      <c r="AQ11" s="1172">
        <f>VLOOKUP(AJ11,Marination_Ordering!$A:$J,6,FALSE)</f>
        <v>1</v>
      </c>
      <c r="AR11" s="1172">
        <f>VLOOKUP(AJ11,Marination_Ordering!$A:$J,10,FALSE)</f>
        <v>31</v>
      </c>
      <c r="AS11" s="175">
        <f t="shared" si="9"/>
        <v>29.641460234680569</v>
      </c>
      <c r="AT11" s="1172">
        <f t="shared" si="10"/>
        <v>0.91888526727509756</v>
      </c>
    </row>
    <row r="12" spans="1:46" x14ac:dyDescent="0.3">
      <c r="A12" s="128" t="s">
        <v>97</v>
      </c>
      <c r="B12" s="114" t="s">
        <v>110</v>
      </c>
      <c r="C12" s="124" t="s">
        <v>14</v>
      </c>
      <c r="D12" s="125">
        <v>5</v>
      </c>
      <c r="E12" s="126">
        <f t="shared" si="3"/>
        <v>30.176168929110119</v>
      </c>
      <c r="F12" s="127">
        <v>0.9</v>
      </c>
      <c r="G12" s="119">
        <f t="shared" si="0"/>
        <v>150.88084464555061</v>
      </c>
      <c r="H12" s="120">
        <f t="shared" si="1"/>
        <v>135.79276018099554</v>
      </c>
      <c r="I12" s="81">
        <f>VLOOKUP(B12,All_Ingredients!$A$1:$F$151,6,FALSE())</f>
        <v>1</v>
      </c>
      <c r="J12" s="121">
        <f>VLOOKUP(B12,All_Ingredients!$A$1:$J$151,10,FALSE())</f>
        <v>8</v>
      </c>
      <c r="K12" s="122">
        <f t="shared" si="4"/>
        <v>0.13579276018099554</v>
      </c>
      <c r="L12" s="122">
        <f t="shared" si="5"/>
        <v>1.0863420814479643</v>
      </c>
      <c r="AI12" s="79" t="s">
        <v>97</v>
      </c>
      <c r="AJ12" s="123" t="s">
        <v>108</v>
      </c>
      <c r="AK12" s="124" t="s">
        <v>14</v>
      </c>
      <c r="AL12" s="125">
        <v>25</v>
      </c>
      <c r="AM12" s="126">
        <f t="shared" si="6"/>
        <v>5.9282920469361136</v>
      </c>
      <c r="AN12" s="127">
        <v>1</v>
      </c>
      <c r="AO12" s="119">
        <f t="shared" si="7"/>
        <v>148.20730117340284</v>
      </c>
      <c r="AP12" s="120">
        <f t="shared" si="8"/>
        <v>148.20730117340284</v>
      </c>
      <c r="AQ12" s="1172">
        <f>VLOOKUP(AJ12,Marination_Ordering!$A:$J,6,FALSE)</f>
        <v>1</v>
      </c>
      <c r="AR12" s="1172">
        <f>VLOOKUP(AJ12,Marination_Ordering!$A:$J,10,FALSE)</f>
        <v>15</v>
      </c>
      <c r="AS12" s="175">
        <f t="shared" si="9"/>
        <v>148.20730117340284</v>
      </c>
      <c r="AT12" s="1172">
        <f t="shared" si="10"/>
        <v>2.2231095176010425</v>
      </c>
    </row>
    <row r="13" spans="1:46" x14ac:dyDescent="0.3">
      <c r="A13" s="128" t="s">
        <v>97</v>
      </c>
      <c r="B13" s="114" t="s">
        <v>112</v>
      </c>
      <c r="C13" s="124" t="s">
        <v>14</v>
      </c>
      <c r="D13" s="125">
        <v>10</v>
      </c>
      <c r="E13" s="126">
        <f t="shared" si="3"/>
        <v>30.176168929110119</v>
      </c>
      <c r="F13" s="127">
        <v>0.75</v>
      </c>
      <c r="G13" s="119">
        <f t="shared" si="0"/>
        <v>301.76168929110122</v>
      </c>
      <c r="H13" s="120">
        <f t="shared" si="1"/>
        <v>226.32126696832592</v>
      </c>
      <c r="I13" s="81">
        <f>VLOOKUP(B13,All_Ingredients!$A$1:$F$151,6,FALSE())</f>
        <v>1</v>
      </c>
      <c r="J13" s="121">
        <f>VLOOKUP(B13,All_Ingredients!$A$1:$J$151,10,FALSE())</f>
        <v>26.5</v>
      </c>
      <c r="K13" s="122">
        <f t="shared" si="4"/>
        <v>0.22632126696832591</v>
      </c>
      <c r="L13" s="122">
        <f t="shared" si="5"/>
        <v>5.9975135746606369</v>
      </c>
      <c r="AI13" s="79" t="s">
        <v>97</v>
      </c>
      <c r="AJ13" s="123" t="s">
        <v>112</v>
      </c>
      <c r="AK13" s="124" t="s">
        <v>14</v>
      </c>
      <c r="AL13" s="125">
        <v>50</v>
      </c>
      <c r="AM13" s="126">
        <f t="shared" si="6"/>
        <v>5.9282920469361136</v>
      </c>
      <c r="AN13" s="127">
        <v>1</v>
      </c>
      <c r="AO13" s="119">
        <f t="shared" si="7"/>
        <v>296.41460234680568</v>
      </c>
      <c r="AP13" s="120">
        <f t="shared" si="8"/>
        <v>296.41460234680568</v>
      </c>
      <c r="AQ13" s="1172">
        <f>VLOOKUP(AJ13,Marination_Ordering!$A:$J,6,FALSE)</f>
        <v>1</v>
      </c>
      <c r="AR13" s="1172">
        <f>VLOOKUP(AJ13,Marination_Ordering!$A:$J,10,FALSE)</f>
        <v>26.5</v>
      </c>
      <c r="AS13" s="175">
        <f t="shared" si="9"/>
        <v>296.41460234680568</v>
      </c>
      <c r="AT13" s="1172">
        <f t="shared" si="10"/>
        <v>7.8549869621903499</v>
      </c>
    </row>
    <row r="14" spans="1:46" ht="14.25" customHeight="1" x14ac:dyDescent="0.3">
      <c r="A14" s="128" t="s">
        <v>220</v>
      </c>
      <c r="B14" s="114" t="s">
        <v>815</v>
      </c>
      <c r="C14" s="124" t="s">
        <v>14</v>
      </c>
      <c r="D14" s="125">
        <v>2</v>
      </c>
      <c r="E14" s="126">
        <f t="shared" si="3"/>
        <v>30.176168929110119</v>
      </c>
      <c r="F14" s="127">
        <v>0.75</v>
      </c>
      <c r="G14" s="119">
        <f t="shared" si="0"/>
        <v>60.352337858220238</v>
      </c>
      <c r="H14" s="120">
        <f t="shared" si="1"/>
        <v>45.264253393665179</v>
      </c>
      <c r="I14" s="81">
        <f>VLOOKUP(B14,All_Ingredients!$A$1:$F$151,6,FALSE())</f>
        <v>1</v>
      </c>
      <c r="J14" s="121">
        <f>VLOOKUP(B14,All_Ingredients!$A$1:$J$151,10,FALSE())</f>
        <v>22.5</v>
      </c>
      <c r="K14" s="122">
        <f t="shared" si="4"/>
        <v>4.5264253393665181E-2</v>
      </c>
      <c r="L14" s="122">
        <f t="shared" si="5"/>
        <v>1.0184457013574666</v>
      </c>
      <c r="AR14" s="1146"/>
    </row>
    <row r="15" spans="1:46" ht="14.25" customHeight="1" x14ac:dyDescent="0.3">
      <c r="A15" s="128" t="s">
        <v>97</v>
      </c>
      <c r="B15" s="114" t="s">
        <v>144</v>
      </c>
      <c r="C15" s="124" t="s">
        <v>14</v>
      </c>
      <c r="D15" s="125">
        <v>5</v>
      </c>
      <c r="E15" s="126">
        <f t="shared" si="3"/>
        <v>30.176168929110119</v>
      </c>
      <c r="F15" s="127">
        <v>0.6</v>
      </c>
      <c r="G15" s="119">
        <f t="shared" si="0"/>
        <v>150.88084464555061</v>
      </c>
      <c r="H15" s="120">
        <f t="shared" si="1"/>
        <v>90.528506787330357</v>
      </c>
      <c r="I15" s="81">
        <f>VLOOKUP(B15,All_Ingredients!$A$1:$F$151,6,FALSE())</f>
        <v>1</v>
      </c>
      <c r="J15" s="121">
        <f>VLOOKUP(B15,All_Ingredients!$A$1:$J$151,10,FALSE())</f>
        <v>15.277777777777779</v>
      </c>
      <c r="K15" s="122">
        <f t="shared" si="4"/>
        <v>9.0528506787330362E-2</v>
      </c>
      <c r="L15" s="122">
        <f t="shared" si="5"/>
        <v>1.3830744092508807</v>
      </c>
    </row>
    <row r="16" spans="1:46" ht="14.25" customHeight="1" x14ac:dyDescent="0.3">
      <c r="A16" s="128" t="s">
        <v>97</v>
      </c>
      <c r="B16" s="114" t="s">
        <v>96</v>
      </c>
      <c r="C16" s="124" t="s">
        <v>14</v>
      </c>
      <c r="D16" s="125">
        <v>5</v>
      </c>
      <c r="E16" s="126">
        <f t="shared" si="3"/>
        <v>30.176168929110119</v>
      </c>
      <c r="F16" s="127">
        <v>0.75</v>
      </c>
      <c r="G16" s="119">
        <f t="shared" si="0"/>
        <v>150.88084464555061</v>
      </c>
      <c r="H16" s="120">
        <f t="shared" si="1"/>
        <v>113.16063348416296</v>
      </c>
      <c r="I16" s="81">
        <f>VLOOKUP(B16,All_Ingredients!$A$1:$F$151,6,FALSE())</f>
        <v>1</v>
      </c>
      <c r="J16" s="121">
        <f>VLOOKUP(B16,All_Ingredients!$A$1:$J$151,10,FALSE())</f>
        <v>0.74</v>
      </c>
      <c r="K16" s="122">
        <f t="shared" si="4"/>
        <v>0.11316063348416296</v>
      </c>
      <c r="L16" s="122">
        <f t="shared" si="5"/>
        <v>8.3738868778280587E-2</v>
      </c>
    </row>
    <row r="17" spans="1:32" ht="14.25" customHeight="1" x14ac:dyDescent="0.3">
      <c r="A17" s="128" t="s">
        <v>158</v>
      </c>
      <c r="B17" s="114" t="s">
        <v>157</v>
      </c>
      <c r="C17" s="124" t="s">
        <v>14</v>
      </c>
      <c r="D17" s="125">
        <v>20</v>
      </c>
      <c r="E17" s="126">
        <f t="shared" si="3"/>
        <v>30.176168929110119</v>
      </c>
      <c r="F17" s="127">
        <v>1</v>
      </c>
      <c r="G17" s="119">
        <f t="shared" si="0"/>
        <v>603.52337858220244</v>
      </c>
      <c r="H17" s="120">
        <f t="shared" si="1"/>
        <v>603.52337858220244</v>
      </c>
      <c r="I17" s="81">
        <f>VLOOKUP(B17,All_Ingredients!$A$1:$F$151,6,FALSE())</f>
        <v>1</v>
      </c>
      <c r="J17" s="121">
        <f>VLOOKUP(B17,All_Ingredients!$A$1:$J$151,10,FALSE())</f>
        <v>30</v>
      </c>
      <c r="K17" s="122">
        <f t="shared" si="4"/>
        <v>0.6035233785822024</v>
      </c>
      <c r="L17" s="122">
        <f t="shared" si="5"/>
        <v>18.105701357466071</v>
      </c>
    </row>
    <row r="18" spans="1:32" ht="14.25" customHeight="1" x14ac:dyDescent="0.3">
      <c r="A18" s="128" t="s">
        <v>158</v>
      </c>
      <c r="B18" s="114" t="s">
        <v>168</v>
      </c>
      <c r="C18" s="124" t="s">
        <v>14</v>
      </c>
      <c r="D18" s="125">
        <v>200</v>
      </c>
      <c r="E18" s="126">
        <f t="shared" si="3"/>
        <v>30.176168929110119</v>
      </c>
      <c r="F18" s="127">
        <v>1</v>
      </c>
      <c r="G18" s="119">
        <f t="shared" si="0"/>
        <v>6035.2337858220235</v>
      </c>
      <c r="H18" s="120">
        <f t="shared" si="1"/>
        <v>6035.2337858220235</v>
      </c>
      <c r="I18" s="81">
        <f>VLOOKUP(B18,All_Ingredients!$A$1:$F$151,6,FALSE())</f>
        <v>1</v>
      </c>
      <c r="J18" s="121">
        <f>VLOOKUP(B18,All_Ingredients!$A$1:$J$151,10,FALSE())</f>
        <v>6.6959999999999997</v>
      </c>
      <c r="K18" s="122">
        <f t="shared" si="4"/>
        <v>6.0352337858220233</v>
      </c>
      <c r="L18" s="122">
        <f t="shared" si="5"/>
        <v>40.411925429864269</v>
      </c>
    </row>
    <row r="19" spans="1:32" ht="14.25" customHeight="1" x14ac:dyDescent="0.3">
      <c r="A19" s="128" t="s">
        <v>158</v>
      </c>
      <c r="B19" s="114" t="s">
        <v>171</v>
      </c>
      <c r="C19" s="124" t="s">
        <v>165</v>
      </c>
      <c r="D19" s="125">
        <v>300</v>
      </c>
      <c r="E19" s="126">
        <f t="shared" si="3"/>
        <v>30.176168929110119</v>
      </c>
      <c r="F19" s="127">
        <v>1</v>
      </c>
      <c r="G19" s="119">
        <f t="shared" si="0"/>
        <v>9052.8506787330352</v>
      </c>
      <c r="H19" s="120">
        <f t="shared" si="1"/>
        <v>9052.8506787330352</v>
      </c>
      <c r="I19" s="81">
        <f>VLOOKUP(B19,All_Ingredients!$A$1:$F$151,6,FALSE())</f>
        <v>1</v>
      </c>
      <c r="J19" s="121">
        <f>VLOOKUP(B19,All_Ingredients!$A$1:$J$151,10,FALSE())</f>
        <v>12.666666666666666</v>
      </c>
      <c r="K19" s="122">
        <f t="shared" si="4"/>
        <v>9.0528506787330354</v>
      </c>
      <c r="L19" s="122">
        <f t="shared" si="5"/>
        <v>114.66944193061845</v>
      </c>
    </row>
    <row r="20" spans="1:32" ht="14.25" customHeight="1" x14ac:dyDescent="0.3">
      <c r="A20" s="128" t="s">
        <v>210</v>
      </c>
      <c r="B20" s="114" t="s">
        <v>209</v>
      </c>
      <c r="C20" s="124" t="s">
        <v>165</v>
      </c>
      <c r="D20" s="125">
        <v>170</v>
      </c>
      <c r="E20" s="126">
        <f t="shared" si="3"/>
        <v>30.176168929110119</v>
      </c>
      <c r="F20" s="127">
        <v>1</v>
      </c>
      <c r="G20" s="119">
        <f t="shared" si="0"/>
        <v>5129.9487179487205</v>
      </c>
      <c r="H20" s="120">
        <f t="shared" si="1"/>
        <v>5129.9487179487205</v>
      </c>
      <c r="I20" s="81">
        <f>VLOOKUP(B20,All_Ingredients!$A$1:$F$151,6,FALSE())</f>
        <v>1</v>
      </c>
      <c r="J20" s="121">
        <f>VLOOKUP(B20,All_Ingredients!$A$1:$J$151,10,FALSE())</f>
        <v>0</v>
      </c>
      <c r="K20" s="122">
        <f t="shared" si="4"/>
        <v>5.1299487179487206</v>
      </c>
      <c r="L20" s="122">
        <f t="shared" si="5"/>
        <v>0</v>
      </c>
    </row>
    <row r="21" spans="1:32" ht="14.25" customHeight="1" x14ac:dyDescent="0.3">
      <c r="A21" s="128" t="s">
        <v>63</v>
      </c>
      <c r="B21" s="114" t="s">
        <v>62</v>
      </c>
      <c r="C21" s="124" t="s">
        <v>14</v>
      </c>
      <c r="D21" s="130">
        <v>5</v>
      </c>
      <c r="E21" s="126">
        <f t="shared" si="3"/>
        <v>30.176168929110119</v>
      </c>
      <c r="F21" s="127">
        <v>0.75</v>
      </c>
      <c r="G21" s="119">
        <f t="shared" si="0"/>
        <v>150.88084464555061</v>
      </c>
      <c r="H21" s="120">
        <f t="shared" si="1"/>
        <v>113.16063348416296</v>
      </c>
      <c r="I21" s="81">
        <f>VLOOKUP(B21,All_Ingredients!$A$1:$F$151,6,FALSE())</f>
        <v>0.94</v>
      </c>
      <c r="J21" s="121">
        <f>VLOOKUP(B21,All_Ingredients!$A$1:$J$151,10,FALSE())</f>
        <v>3.6363636363636367</v>
      </c>
      <c r="K21" s="122">
        <f t="shared" si="4"/>
        <v>0.12038365264272656</v>
      </c>
      <c r="L21" s="122">
        <f t="shared" si="5"/>
        <v>0.43775873688264205</v>
      </c>
    </row>
    <row r="22" spans="1:32" ht="14.25" customHeight="1" x14ac:dyDescent="0.3">
      <c r="A22" s="128"/>
      <c r="B22" s="123" t="s">
        <v>193</v>
      </c>
      <c r="C22" s="124" t="s">
        <v>14</v>
      </c>
      <c r="D22" s="130">
        <v>10</v>
      </c>
      <c r="E22" s="126">
        <f t="shared" si="3"/>
        <v>30.176168929110119</v>
      </c>
      <c r="F22" s="127">
        <v>1</v>
      </c>
      <c r="G22" s="119">
        <f t="shared" si="0"/>
        <v>301.76168929110122</v>
      </c>
      <c r="H22" s="120">
        <f t="shared" si="1"/>
        <v>301.76168929110122</v>
      </c>
      <c r="I22" s="81">
        <f>VLOOKUP(B22,All_Ingredients!$A$1:$F$151,6,FALSE())</f>
        <v>0.9</v>
      </c>
      <c r="J22" s="121">
        <f>VLOOKUP(B22,All_Ingredients!$A$1:$J$151,10,FALSE())</f>
        <v>2.3199999999999998</v>
      </c>
      <c r="K22" s="122">
        <f t="shared" si="4"/>
        <v>0.33529076587900136</v>
      </c>
      <c r="L22" s="122">
        <f t="shared" si="5"/>
        <v>0.77787457683928307</v>
      </c>
      <c r="M22" s="131"/>
      <c r="N22" s="131"/>
    </row>
    <row r="23" spans="1:32" ht="14.25" customHeight="1" x14ac:dyDescent="0.3">
      <c r="C23" s="133"/>
      <c r="D23" s="134"/>
      <c r="E23" s="135"/>
      <c r="F23" s="136"/>
      <c r="G23" s="137"/>
      <c r="H23" s="138"/>
      <c r="I23" s="92"/>
      <c r="J23" s="139"/>
      <c r="K23" s="92"/>
      <c r="L23" s="140"/>
      <c r="M23" s="131"/>
      <c r="N23" s="131"/>
    </row>
    <row r="24" spans="1:32" ht="14.25" customHeight="1" x14ac:dyDescent="0.3">
      <c r="I24" s="92"/>
      <c r="J24" s="139"/>
      <c r="K24" s="92"/>
      <c r="L24" s="140"/>
      <c r="M24" s="131"/>
      <c r="N24" s="131"/>
      <c r="S24" s="413"/>
      <c r="Z24" s="1234"/>
    </row>
    <row r="25" spans="1:32" ht="14.25" customHeight="1" x14ac:dyDescent="0.35">
      <c r="I25" s="92"/>
      <c r="J25" s="139"/>
      <c r="K25" s="92"/>
      <c r="L25" s="140"/>
      <c r="M25" s="131"/>
      <c r="N25" s="131"/>
      <c r="R25" s="1411" t="s">
        <v>263</v>
      </c>
      <c r="S25" s="1411"/>
      <c r="T25" s="1411"/>
      <c r="U25" s="1411"/>
      <c r="V25" s="1151"/>
      <c r="W25" s="1151"/>
      <c r="Z25" s="141" t="s">
        <v>264</v>
      </c>
      <c r="AA25" s="1184">
        <v>42850</v>
      </c>
      <c r="AB25" s="1183" t="s">
        <v>261</v>
      </c>
      <c r="AC25" s="143">
        <f>(AA25*(4/3))*AF30+(AA30*(AB28/R1))</f>
        <v>1363.1951254103922</v>
      </c>
      <c r="AD25" s="212"/>
      <c r="AE25" s="212"/>
      <c r="AF25" s="212"/>
    </row>
    <row r="26" spans="1:32" ht="14.25" customHeight="1" x14ac:dyDescent="0.3">
      <c r="I26" s="92"/>
      <c r="J26" s="139"/>
      <c r="K26" s="92"/>
      <c r="L26" s="140"/>
      <c r="M26" s="131"/>
      <c r="N26" s="131"/>
      <c r="R26" s="1409" t="s">
        <v>265</v>
      </c>
      <c r="S26" s="1410"/>
      <c r="T26" s="1410"/>
      <c r="U26" s="1410"/>
      <c r="V26" s="1182"/>
      <c r="W26" s="1182"/>
      <c r="Z26" s="212"/>
      <c r="AA26" s="212"/>
      <c r="AB26" s="212"/>
      <c r="AC26" s="1235"/>
      <c r="AD26" s="212"/>
      <c r="AE26" s="212"/>
      <c r="AF26" s="212"/>
    </row>
    <row r="27" spans="1:32" ht="14.25" customHeight="1" thickBot="1" x14ac:dyDescent="0.35">
      <c r="B27" s="100"/>
      <c r="C27" s="861"/>
      <c r="D27" s="861"/>
      <c r="E27" s="861"/>
      <c r="F27" s="861"/>
      <c r="G27" s="861"/>
      <c r="H27"/>
      <c r="I27" s="92"/>
      <c r="J27" s="139"/>
      <c r="K27" s="92"/>
      <c r="L27" s="140"/>
      <c r="M27" s="131"/>
      <c r="N27" s="131"/>
      <c r="R27" s="145" t="s">
        <v>266</v>
      </c>
      <c r="S27" s="146" t="s">
        <v>267</v>
      </c>
      <c r="T27" s="146" t="s">
        <v>268</v>
      </c>
      <c r="U27" s="146" t="s">
        <v>269</v>
      </c>
      <c r="V27" s="146" t="s">
        <v>839</v>
      </c>
      <c r="W27" s="146" t="s">
        <v>848</v>
      </c>
      <c r="Z27" s="1183" t="s">
        <v>270</v>
      </c>
      <c r="AA27" s="1185" t="s">
        <v>324</v>
      </c>
      <c r="AB27" s="1186" t="s">
        <v>271</v>
      </c>
      <c r="AC27" s="1186" t="s">
        <v>272</v>
      </c>
      <c r="AD27" s="1186" t="s">
        <v>273</v>
      </c>
      <c r="AE27" s="1186" t="s">
        <v>848</v>
      </c>
      <c r="AF27" s="1186" t="s">
        <v>274</v>
      </c>
    </row>
    <row r="28" spans="1:32" ht="14.25" customHeight="1" thickBot="1" x14ac:dyDescent="0.35">
      <c r="B28" s="371"/>
      <c r="C28" s="348"/>
      <c r="D28" s="264"/>
      <c r="E28" s="371"/>
      <c r="F28" s="371"/>
      <c r="G28" s="264"/>
      <c r="H28" s="55"/>
      <c r="I28" s="92"/>
      <c r="J28" s="139"/>
      <c r="K28" s="92"/>
      <c r="L28" s="140"/>
      <c r="M28" s="131"/>
      <c r="N28" s="131"/>
      <c r="R28" s="148" t="s">
        <v>275</v>
      </c>
      <c r="S28" s="149">
        <f>U28*S40</f>
        <v>34976.923076923071</v>
      </c>
      <c r="T28" s="149">
        <f>U28*U40</f>
        <v>10493.076923076933</v>
      </c>
      <c r="U28" s="150">
        <f>$Z$1</f>
        <v>45470</v>
      </c>
      <c r="V28" s="149">
        <f>SUM(AP5:AP13)</f>
        <v>3675.5410691003899</v>
      </c>
      <c r="W28" s="149">
        <f>H37</f>
        <v>21.700000000000003</v>
      </c>
      <c r="Z28" s="1187"/>
      <c r="AA28" s="1188"/>
      <c r="AB28" s="1189">
        <f>AA25*$S$40</f>
        <v>32961.538461538454</v>
      </c>
      <c r="AC28" s="1190">
        <f>AA25*U40</f>
        <v>9888.4615384615481</v>
      </c>
      <c r="AD28" s="153">
        <f>AA25*(1/3)</f>
        <v>14283.333333333332</v>
      </c>
      <c r="AE28" s="1188"/>
      <c r="AF28" s="1191">
        <f>SUM(AB28:AD28)</f>
        <v>57133.333333333328</v>
      </c>
    </row>
    <row r="29" spans="1:32" ht="14.25" customHeight="1" thickBot="1" x14ac:dyDescent="0.35">
      <c r="I29" s="92"/>
      <c r="J29" s="139"/>
      <c r="K29" s="92"/>
      <c r="L29" s="140"/>
      <c r="M29" s="131"/>
      <c r="N29" s="131"/>
      <c r="R29" s="148" t="s">
        <v>276</v>
      </c>
      <c r="S29" s="155"/>
      <c r="T29" s="149">
        <f>U28*(1/3)</f>
        <v>15156.666666666666</v>
      </c>
      <c r="U29" s="149">
        <f>T29</f>
        <v>15156.666666666666</v>
      </c>
      <c r="V29" s="149"/>
      <c r="W29" s="149"/>
      <c r="Z29" s="1187"/>
      <c r="AA29" s="1192"/>
      <c r="AB29" s="1193">
        <f>AB28/$AF$28</f>
        <v>0.57692307692307687</v>
      </c>
      <c r="AC29" s="1194">
        <f>AC28/$AF$28</f>
        <v>0.17307692307692327</v>
      </c>
      <c r="AD29" s="1194">
        <f>AD28/AF28</f>
        <v>0.25</v>
      </c>
      <c r="AE29" s="1192"/>
      <c r="AF29" s="1195">
        <f>AF28/$AF$28</f>
        <v>1</v>
      </c>
    </row>
    <row r="30" spans="1:32" ht="14.25" customHeight="1" thickBot="1" x14ac:dyDescent="0.35">
      <c r="I30" s="92"/>
      <c r="J30" s="139"/>
      <c r="K30" s="92"/>
      <c r="L30" s="140"/>
      <c r="M30" s="131"/>
      <c r="N30" s="131"/>
      <c r="R30" s="148" t="s">
        <v>277</v>
      </c>
      <c r="S30" s="1143">
        <f>U30*S40</f>
        <v>0</v>
      </c>
      <c r="T30" s="149">
        <f>(U30*U40)+(U30*0.3)</f>
        <v>0</v>
      </c>
      <c r="U30" s="1233">
        <f>$AB$1</f>
        <v>0</v>
      </c>
      <c r="V30" s="1143"/>
      <c r="W30" s="1143"/>
      <c r="Z30" s="1183" t="s">
        <v>278</v>
      </c>
      <c r="AA30" s="1196">
        <f>V35/(S32/R1)</f>
        <v>4.5112323081702386E-4</v>
      </c>
      <c r="AB30" s="1191">
        <f>S35/(S32)</f>
        <v>3.3701221915648408E-2</v>
      </c>
      <c r="AC30" s="1191">
        <f>T35/T32</f>
        <v>9.3386673236202956E-3</v>
      </c>
      <c r="AD30" s="1191">
        <f>T35/T32</f>
        <v>9.3386673236202956E-3</v>
      </c>
      <c r="AE30" s="1199">
        <f>W35/U32</f>
        <v>2.4779651841450833E-5</v>
      </c>
      <c r="AF30" s="1197">
        <f>(SUMPRODUCT(AB30:AD30,AB29:AD29))+AE30</f>
        <v>2.3418766932401042E-2</v>
      </c>
    </row>
    <row r="31" spans="1:32" ht="48.5" customHeight="1" thickBot="1" x14ac:dyDescent="0.35">
      <c r="I31" s="92"/>
      <c r="J31" s="139"/>
      <c r="K31" s="92"/>
      <c r="L31" s="140"/>
      <c r="M31" s="131"/>
      <c r="N31" s="131"/>
      <c r="R31" s="148" t="s">
        <v>279</v>
      </c>
      <c r="S31" s="155"/>
      <c r="T31" s="149"/>
      <c r="U31" s="149"/>
      <c r="V31" s="149"/>
      <c r="W31" s="149"/>
      <c r="AA31" s="1242">
        <f>AA30*(AB28/R1)</f>
        <v>25.202908005879362</v>
      </c>
      <c r="AB31" s="1234">
        <f>AB28*AB30</f>
        <v>1110.8441223734876</v>
      </c>
      <c r="AC31" s="1234">
        <f>AC28*AC30</f>
        <v>92.345052650106936</v>
      </c>
      <c r="AD31" s="1234">
        <f>AD28*AD30</f>
        <v>133.38729827237654</v>
      </c>
      <c r="AE31" s="1243">
        <f>AF28*AE30</f>
        <v>1.4157441085415574</v>
      </c>
      <c r="AF31" s="14">
        <f>AF28*AF30</f>
        <v>1337.9922174045128</v>
      </c>
    </row>
    <row r="32" spans="1:32" ht="14.25" customHeight="1" thickBot="1" x14ac:dyDescent="0.35">
      <c r="I32" s="92"/>
      <c r="J32" s="139"/>
      <c r="K32" s="92"/>
      <c r="L32" s="140"/>
      <c r="M32" s="131"/>
      <c r="N32" s="131"/>
      <c r="R32" s="160" t="s">
        <v>269</v>
      </c>
      <c r="S32" s="149">
        <f>S28+S30</f>
        <v>34976.923076923071</v>
      </c>
      <c r="T32" s="149">
        <f>SUM(T28:T30)</f>
        <v>25649.743589743601</v>
      </c>
      <c r="U32" s="149">
        <f>SUM(U28:U30)</f>
        <v>60626.666666666664</v>
      </c>
      <c r="V32" s="149">
        <f>SUM(V28:V30)</f>
        <v>3675.5410691003899</v>
      </c>
      <c r="W32" s="149">
        <f>SUM(W28:W30)</f>
        <v>21.700000000000003</v>
      </c>
      <c r="AC32" s="14">
        <f>AC31+AD31</f>
        <v>225.73235092248348</v>
      </c>
    </row>
    <row r="33" spans="2:25" ht="14.25" customHeight="1" thickBot="1" x14ac:dyDescent="0.35">
      <c r="I33" s="92"/>
      <c r="J33" s="139"/>
      <c r="K33" s="92"/>
      <c r="L33" s="140"/>
      <c r="M33" s="131"/>
      <c r="N33" s="131"/>
      <c r="R33" s="161" t="s">
        <v>280</v>
      </c>
      <c r="S33" s="155"/>
      <c r="T33" s="155"/>
      <c r="U33" s="155"/>
      <c r="V33" s="155"/>
      <c r="W33" s="155"/>
    </row>
    <row r="34" spans="2:25" ht="14.25" customHeight="1" thickBot="1" x14ac:dyDescent="0.35">
      <c r="I34" s="92"/>
      <c r="J34" s="139"/>
      <c r="K34" s="92"/>
      <c r="L34" s="140"/>
      <c r="M34" s="131"/>
      <c r="N34" s="131"/>
      <c r="R34" s="162" t="s">
        <v>281</v>
      </c>
      <c r="S34" s="155"/>
      <c r="T34" s="149"/>
      <c r="U34" s="155"/>
      <c r="V34" s="155"/>
      <c r="W34" s="155"/>
    </row>
    <row r="35" spans="2:25" ht="14.25" customHeight="1" thickBot="1" x14ac:dyDescent="0.35">
      <c r="B35" s="1412" t="s">
        <v>679</v>
      </c>
      <c r="C35" s="1412"/>
      <c r="D35" s="1412"/>
      <c r="E35" s="1412"/>
      <c r="F35" s="1412"/>
      <c r="G35" s="889"/>
      <c r="H35" s="889"/>
      <c r="I35" s="889"/>
      <c r="J35" s="889"/>
      <c r="K35" s="889"/>
      <c r="L35" s="889"/>
      <c r="M35" s="131"/>
      <c r="N35" s="131"/>
      <c r="R35" s="163" t="s">
        <v>261</v>
      </c>
      <c r="S35" s="1144">
        <f>$L$5</f>
        <v>1178.7650465419483</v>
      </c>
      <c r="T35" s="1144">
        <f>SUM(L6:L22)</f>
        <v>239.53442232077771</v>
      </c>
      <c r="U35" s="1241">
        <f>T35+S35+V35+W35</f>
        <v>1446.5456791694405</v>
      </c>
      <c r="V35" s="1240">
        <f>SUM(AT6:AT13)</f>
        <v>26.743902614406874</v>
      </c>
      <c r="W35" s="1144">
        <f>L37</f>
        <v>1.5023076923076923</v>
      </c>
    </row>
    <row r="36" spans="2:25" ht="14.25" customHeight="1" x14ac:dyDescent="0.3">
      <c r="B36" s="860" t="s">
        <v>253</v>
      </c>
      <c r="C36" s="860" t="s">
        <v>329</v>
      </c>
      <c r="D36" s="862" t="s">
        <v>671</v>
      </c>
      <c r="E36" s="859" t="s">
        <v>672</v>
      </c>
      <c r="F36" s="862" t="s">
        <v>673</v>
      </c>
      <c r="G36" s="882"/>
      <c r="H36" s="862" t="s">
        <v>673</v>
      </c>
      <c r="I36" s="862" t="s">
        <v>258</v>
      </c>
      <c r="J36" s="862" t="s">
        <v>259</v>
      </c>
      <c r="K36" s="862" t="s">
        <v>260</v>
      </c>
      <c r="L36" s="862" t="s">
        <v>261</v>
      </c>
      <c r="M36" s="131"/>
      <c r="N36" s="131"/>
    </row>
    <row r="37" spans="2:25" ht="14.25" customHeight="1" x14ac:dyDescent="0.3">
      <c r="B37" s="855" t="s">
        <v>746</v>
      </c>
      <c r="C37" s="856" t="s">
        <v>14</v>
      </c>
      <c r="D37" s="857">
        <v>7.0000000000000007E-2</v>
      </c>
      <c r="E37" s="855">
        <f>$AD$1</f>
        <v>310</v>
      </c>
      <c r="F37" s="855">
        <f>D37*E37</f>
        <v>21.700000000000003</v>
      </c>
      <c r="G37" s="881"/>
      <c r="H37" s="855">
        <f>F37</f>
        <v>21.700000000000003</v>
      </c>
      <c r="I37" s="855">
        <f>VLOOKUP(B37,All_Ingredients!$A$1:$F$151,6,FALSE())</f>
        <v>0.65</v>
      </c>
      <c r="J37" s="855">
        <f>VLOOKUP(B37,All_Ingredients!$A$1:$J$151,10,FALSE())</f>
        <v>45</v>
      </c>
      <c r="K37" s="855">
        <f>(H37/I37)/1000</f>
        <v>3.3384615384615388E-2</v>
      </c>
      <c r="L37" s="855">
        <f>K37*J37</f>
        <v>1.5023076923076923</v>
      </c>
      <c r="M37" s="131"/>
      <c r="N37" s="131"/>
    </row>
    <row r="38" spans="2:25" ht="14.25" customHeight="1" x14ac:dyDescent="0.3">
      <c r="B38" s="133"/>
      <c r="C38" s="133"/>
      <c r="D38" s="134"/>
      <c r="E38" s="135"/>
      <c r="F38" s="136"/>
      <c r="G38" s="137"/>
      <c r="H38" s="138"/>
      <c r="I38" s="92"/>
      <c r="J38" s="139"/>
      <c r="K38" s="92"/>
      <c r="L38" s="140"/>
      <c r="M38" s="131"/>
      <c r="N38" s="131"/>
    </row>
    <row r="39" spans="2:25" ht="17.75" customHeight="1" x14ac:dyDescent="0.3">
      <c r="B39" s="133"/>
      <c r="C39" s="133"/>
      <c r="D39" s="134"/>
      <c r="E39" s="135"/>
      <c r="F39" s="136"/>
      <c r="G39" s="137"/>
      <c r="H39" s="138"/>
      <c r="I39" s="92"/>
      <c r="J39" s="139"/>
      <c r="K39" s="92"/>
      <c r="L39" s="140"/>
      <c r="M39" s="131"/>
      <c r="N39" s="131"/>
    </row>
    <row r="40" spans="2:25" ht="17.25" customHeight="1" x14ac:dyDescent="0.3">
      <c r="B40" s="133"/>
      <c r="C40" s="133"/>
      <c r="D40" s="134"/>
      <c r="E40" s="135"/>
      <c r="F40" s="136"/>
      <c r="G40" s="137"/>
      <c r="H40" s="138"/>
      <c r="I40" s="92"/>
      <c r="J40" s="139"/>
      <c r="K40" s="92"/>
      <c r="L40" s="140"/>
      <c r="M40" s="131"/>
      <c r="N40" s="131"/>
      <c r="R40" s="165" t="s">
        <v>282</v>
      </c>
      <c r="S40" s="166">
        <v>0.76923076923076905</v>
      </c>
      <c r="T40" s="165" t="s">
        <v>283</v>
      </c>
      <c r="U40" s="167">
        <v>0.230769230769231</v>
      </c>
      <c r="V40" s="168">
        <f>S40+U40</f>
        <v>1</v>
      </c>
    </row>
    <row r="41" spans="2:25" ht="14.25" customHeight="1" x14ac:dyDescent="0.3">
      <c r="B41" s="133"/>
      <c r="C41" s="133"/>
      <c r="D41" s="134"/>
      <c r="E41" s="135"/>
      <c r="F41" s="136"/>
      <c r="G41" s="137"/>
      <c r="H41" s="138"/>
      <c r="I41" s="92"/>
      <c r="J41" s="139"/>
      <c r="K41" s="92"/>
      <c r="L41" s="140"/>
      <c r="M41" s="131"/>
      <c r="N41" s="131"/>
      <c r="U41" s="169"/>
    </row>
    <row r="42" spans="2:25" ht="14.25" customHeight="1" x14ac:dyDescent="0.3">
      <c r="B42" s="133"/>
      <c r="C42" s="133"/>
      <c r="D42" s="134"/>
      <c r="E42" s="135"/>
      <c r="F42" s="136"/>
      <c r="G42" s="137"/>
      <c r="H42" s="138"/>
      <c r="I42" s="92"/>
      <c r="J42" s="139"/>
      <c r="K42" s="92"/>
      <c r="L42" s="140"/>
      <c r="M42" s="131"/>
      <c r="N42" s="131"/>
    </row>
    <row r="43" spans="2:25" ht="14.25" customHeight="1" x14ac:dyDescent="0.3">
      <c r="B43" s="133"/>
      <c r="C43" s="133"/>
      <c r="D43" s="134"/>
      <c r="E43" s="135"/>
      <c r="F43" s="136"/>
      <c r="G43" s="137"/>
      <c r="H43" s="138"/>
      <c r="I43" s="92"/>
      <c r="J43" s="139"/>
      <c r="K43" s="92"/>
      <c r="L43" s="140"/>
      <c r="M43" s="131"/>
      <c r="N43" s="131"/>
      <c r="Q43" s="170" t="s">
        <v>284</v>
      </c>
      <c r="R43" s="170" t="s">
        <v>285</v>
      </c>
      <c r="S43" s="170" t="s">
        <v>286</v>
      </c>
      <c r="T43" s="170" t="s">
        <v>287</v>
      </c>
      <c r="U43" s="170" t="s">
        <v>288</v>
      </c>
      <c r="V43" s="170" t="s">
        <v>289</v>
      </c>
      <c r="W43" s="170" t="s">
        <v>290</v>
      </c>
    </row>
    <row r="44" spans="2:25" ht="14.25" customHeight="1" x14ac:dyDescent="0.3">
      <c r="B44" s="132"/>
      <c r="C44" s="133"/>
      <c r="D44" s="171"/>
      <c r="E44" s="100"/>
      <c r="F44" s="136"/>
      <c r="G44" s="171"/>
      <c r="Q44" s="172">
        <v>18841</v>
      </c>
      <c r="R44" s="173">
        <f>D51</f>
        <v>10000</v>
      </c>
      <c r="S44" s="174">
        <v>0.43478260000000002</v>
      </c>
      <c r="T44" s="174">
        <v>0.56521739999999998</v>
      </c>
      <c r="U44" s="175">
        <f>R44*S44</f>
        <v>4347.826</v>
      </c>
      <c r="V44" s="176">
        <f>R44*T44</f>
        <v>5652.174</v>
      </c>
      <c r="W44" s="177">
        <f>Q44-U44</f>
        <v>14493.173999999999</v>
      </c>
    </row>
    <row r="45" spans="2:25" ht="14.25" customHeight="1" x14ac:dyDescent="0.3"/>
    <row r="46" spans="2:25" ht="14.25" customHeight="1" x14ac:dyDescent="0.3"/>
    <row r="47" spans="2:25" ht="14.25" customHeight="1" x14ac:dyDescent="0.3">
      <c r="Q47" s="170" t="s">
        <v>284</v>
      </c>
      <c r="R47" s="170" t="s">
        <v>285</v>
      </c>
      <c r="S47" s="170" t="s">
        <v>846</v>
      </c>
      <c r="T47" s="170" t="s">
        <v>286</v>
      </c>
      <c r="U47" s="170" t="s">
        <v>287</v>
      </c>
      <c r="V47" s="170" t="s">
        <v>288</v>
      </c>
      <c r="W47" s="170" t="s">
        <v>289</v>
      </c>
      <c r="X47" s="170" t="s">
        <v>847</v>
      </c>
      <c r="Y47" s="170" t="s">
        <v>290</v>
      </c>
    </row>
    <row r="48" spans="2:25" ht="14.25" customHeight="1" x14ac:dyDescent="0.3">
      <c r="Q48" s="172">
        <v>18841</v>
      </c>
      <c r="R48" s="173">
        <f>D55</f>
        <v>5649.7435897435998</v>
      </c>
      <c r="S48" s="174">
        <v>0.05</v>
      </c>
      <c r="T48" s="174">
        <f>43.47826%-(S48/2)</f>
        <v>0.40978259999999994</v>
      </c>
      <c r="U48" s="174">
        <f>56.52174%-(S48/2)</f>
        <v>0.54021739999999996</v>
      </c>
      <c r="V48" s="175">
        <f>R48*T48</f>
        <v>2315.1666175384653</v>
      </c>
      <c r="W48" s="176">
        <f>R48*U48</f>
        <v>3052.089792717954</v>
      </c>
      <c r="X48" s="176"/>
      <c r="Y48" s="177">
        <f>Q48-V48</f>
        <v>16525.833382461533</v>
      </c>
    </row>
    <row r="49" spans="1:10" ht="14.25" customHeight="1" x14ac:dyDescent="0.3"/>
    <row r="50" spans="1:10" ht="14.25" customHeight="1" x14ac:dyDescent="0.3">
      <c r="B50" s="178"/>
      <c r="C50" s="178" t="s">
        <v>245</v>
      </c>
      <c r="D50" s="162" t="s">
        <v>291</v>
      </c>
      <c r="E50" s="179"/>
      <c r="F50" s="179"/>
      <c r="G50" s="145" t="s">
        <v>292</v>
      </c>
      <c r="H50" s="145" t="s">
        <v>245</v>
      </c>
      <c r="I50" s="145" t="s">
        <v>293</v>
      </c>
      <c r="J50" s="145" t="s">
        <v>294</v>
      </c>
    </row>
    <row r="51" spans="1:10" ht="14.25" customHeight="1" x14ac:dyDescent="0.3">
      <c r="B51" s="180" t="s">
        <v>295</v>
      </c>
      <c r="C51" s="181">
        <f>10/K1</f>
        <v>11.764705882352942</v>
      </c>
      <c r="D51" s="182">
        <f>C1*10</f>
        <v>10000</v>
      </c>
      <c r="E51" s="183"/>
      <c r="F51" s="131"/>
      <c r="G51" s="180" t="s">
        <v>295</v>
      </c>
      <c r="H51" s="181">
        <f>I51/$D$5</f>
        <v>10</v>
      </c>
      <c r="I51" s="181">
        <f>J51/$R$1</f>
        <v>24564.701694915253</v>
      </c>
      <c r="J51" s="181">
        <f>$W$44</f>
        <v>14493.173999999999</v>
      </c>
    </row>
    <row r="52" spans="1:10" ht="14.25" customHeight="1" x14ac:dyDescent="0.3">
      <c r="B52" s="145" t="s">
        <v>274</v>
      </c>
      <c r="C52" s="184">
        <f>I1</f>
        <v>30.176168929110119</v>
      </c>
      <c r="D52" s="185">
        <f>E1</f>
        <v>25649.743589743601</v>
      </c>
      <c r="E52" s="100"/>
      <c r="F52" s="131"/>
      <c r="G52" s="148" t="s">
        <v>274</v>
      </c>
      <c r="H52" s="176">
        <f>I52/$D$5</f>
        <v>24.133376910346261</v>
      </c>
      <c r="I52" s="176">
        <f>J52/$R$1</f>
        <v>59282.920469361139</v>
      </c>
      <c r="J52" s="184">
        <f>$S$32</f>
        <v>34976.923076923071</v>
      </c>
    </row>
    <row r="53" spans="1:10" ht="14.25" customHeight="1" x14ac:dyDescent="0.3">
      <c r="B53" s="145" t="s">
        <v>296</v>
      </c>
      <c r="C53" s="186">
        <f>MIN($C$52,C51)</f>
        <v>11.764705882352942</v>
      </c>
      <c r="D53" s="185">
        <f>(C53*$K$1)*$C$1</f>
        <v>10000</v>
      </c>
      <c r="E53" s="100"/>
      <c r="F53" s="131"/>
      <c r="G53" s="148" t="s">
        <v>296</v>
      </c>
      <c r="H53" s="187">
        <f>MIN(H52,H51)</f>
        <v>10</v>
      </c>
      <c r="I53" s="176">
        <f>J53/$R$1</f>
        <v>24564.701694915253</v>
      </c>
      <c r="J53" s="176">
        <f>MIN(J52,J51)</f>
        <v>14493.173999999999</v>
      </c>
    </row>
    <row r="54" spans="1:10" ht="14.25" customHeight="1" x14ac:dyDescent="0.3">
      <c r="B54" s="145" t="s">
        <v>297</v>
      </c>
      <c r="C54" s="186">
        <f>MIN(MAX($C$52-C53,0),C51)</f>
        <v>11.764705882352942</v>
      </c>
      <c r="D54" s="185">
        <f>(C54*$K$1)*$C$1</f>
        <v>10000</v>
      </c>
      <c r="E54" s="100"/>
      <c r="F54" s="131"/>
      <c r="G54" s="148" t="s">
        <v>297</v>
      </c>
      <c r="H54" s="187">
        <f>MIN(MAX(H52-H53),H51)</f>
        <v>10</v>
      </c>
      <c r="I54" s="176">
        <f>J54/$R$1</f>
        <v>24564.701694915253</v>
      </c>
      <c r="J54" s="176">
        <f>MIN(MAX(J52-J53),J51)</f>
        <v>14493.173999999999</v>
      </c>
    </row>
    <row r="55" spans="1:10" ht="14.25" customHeight="1" x14ac:dyDescent="0.3">
      <c r="B55" s="145" t="s">
        <v>298</v>
      </c>
      <c r="C55" s="186">
        <f>MIN(MAX($C$52-C53-C54,0),C51)</f>
        <v>6.6467571644042351</v>
      </c>
      <c r="D55" s="185">
        <f>(C55*$K$1)*$C$1</f>
        <v>5649.7435897435998</v>
      </c>
      <c r="E55" s="100"/>
      <c r="F55" s="100"/>
      <c r="G55" s="145" t="s">
        <v>298</v>
      </c>
      <c r="H55" s="187">
        <f>MIN(MAX(H52-H53-H54),H51)</f>
        <v>4.1333769103462608</v>
      </c>
      <c r="I55" s="176">
        <f>J55/$R$1</f>
        <v>10153.517079530631</v>
      </c>
      <c r="J55" s="176">
        <f>MIN(MAX(J52-J53-J54),J51)</f>
        <v>5990.5750769230726</v>
      </c>
    </row>
    <row r="56" spans="1:10" ht="14.25" customHeight="1" x14ac:dyDescent="0.3"/>
    <row r="57" spans="1:10" ht="14.25" customHeight="1" x14ac:dyDescent="0.3">
      <c r="B57" s="100"/>
      <c r="E57" s="100"/>
      <c r="F57" s="100"/>
    </row>
    <row r="58" spans="1:10" ht="14.25" customHeight="1" x14ac:dyDescent="0.3">
      <c r="B58" s="100"/>
      <c r="E58" s="100"/>
      <c r="F58" s="100"/>
    </row>
    <row r="59" spans="1:10" ht="14.25" customHeight="1" x14ac:dyDescent="0.3">
      <c r="B59" s="100"/>
      <c r="E59" s="100"/>
      <c r="F59" s="100"/>
    </row>
    <row r="60" spans="1:10" ht="14.25" customHeight="1" x14ac:dyDescent="0.3">
      <c r="B60" s="100"/>
      <c r="E60" s="100"/>
      <c r="F60" s="100"/>
    </row>
    <row r="61" spans="1:10" ht="14.25" customHeight="1" x14ac:dyDescent="0.3">
      <c r="B61" s="100"/>
      <c r="E61" s="100"/>
      <c r="F61" s="100"/>
    </row>
    <row r="62" spans="1:10" ht="17.75" customHeight="1" x14ac:dyDescent="0.3">
      <c r="A62" s="937"/>
      <c r="B62" s="1382" t="str">
        <f>" دجاج بالكاري 1 / " &amp; COUNTIF($C$53:$C$55, "&gt;0")</f>
        <v xml:space="preserve"> دجاج بالكاري 1 / 3</v>
      </c>
      <c r="C62" s="1383"/>
      <c r="D62" s="1383"/>
      <c r="E62" s="1383"/>
      <c r="F62" s="1383"/>
      <c r="G62" s="1383"/>
      <c r="H62" s="1383"/>
    </row>
    <row r="63" spans="1:10" ht="17.75" customHeight="1" x14ac:dyDescent="0.3">
      <c r="A63" s="937"/>
      <c r="B63" s="1384" t="str">
        <f>" Curry Chicken  1 / " &amp; COUNTIF($C$53:$C$55, "&gt;0")</f>
        <v xml:space="preserve"> Curry Chicken  1 / 3</v>
      </c>
      <c r="C63" s="1385"/>
      <c r="D63" s="1385"/>
      <c r="E63" s="1385"/>
      <c r="F63" s="1385"/>
      <c r="G63" s="1385"/>
      <c r="H63" s="1385"/>
    </row>
    <row r="64" spans="1:10" ht="25.5" customHeight="1" x14ac:dyDescent="0.25">
      <c r="A64" s="106"/>
      <c r="B64" s="188" t="s">
        <v>253</v>
      </c>
      <c r="C64" s="189" t="s">
        <v>254</v>
      </c>
      <c r="D64" s="188" t="s">
        <v>243</v>
      </c>
      <c r="E64" s="190" t="s">
        <v>246</v>
      </c>
      <c r="F64" s="190" t="s">
        <v>255</v>
      </c>
      <c r="G64" s="188" t="s">
        <v>256</v>
      </c>
      <c r="H64" s="191" t="s">
        <v>257</v>
      </c>
    </row>
    <row r="65" spans="1:8" ht="14.25" customHeight="1" x14ac:dyDescent="0.25">
      <c r="A65" s="192" t="s">
        <v>230</v>
      </c>
      <c r="B65" s="193" t="str">
        <f>$B$5</f>
        <v>Chicken - دجاج</v>
      </c>
      <c r="C65" s="194" t="str">
        <f t="shared" ref="C65:D82" si="11">C5</f>
        <v>gm</v>
      </c>
      <c r="D65" s="195">
        <f t="shared" si="11"/>
        <v>2456.4701694915252</v>
      </c>
      <c r="E65" s="195">
        <f>H53</f>
        <v>10</v>
      </c>
      <c r="F65" s="127">
        <f>F5</f>
        <v>1</v>
      </c>
      <c r="G65" s="196">
        <f>G5</f>
        <v>59282.920469361139</v>
      </c>
      <c r="H65" s="196">
        <f>H5</f>
        <v>59282.920469361139</v>
      </c>
    </row>
    <row r="66" spans="1:8" ht="14.25" customHeight="1" x14ac:dyDescent="0.3">
      <c r="A66" s="128" t="s">
        <v>13</v>
      </c>
      <c r="B66" s="123" t="str">
        <f t="shared" ref="B66:B82" si="12">B6</f>
        <v>Onion - بصل</v>
      </c>
      <c r="C66" s="123" t="str">
        <f t="shared" si="11"/>
        <v>gm</v>
      </c>
      <c r="D66" s="123">
        <f t="shared" si="11"/>
        <v>150</v>
      </c>
      <c r="E66" s="197">
        <f t="shared" ref="E66:E82" si="13">$C$53</f>
        <v>11.764705882352942</v>
      </c>
      <c r="F66" s="127">
        <f t="shared" ref="F66:F82" si="14">F6</f>
        <v>0.95</v>
      </c>
      <c r="G66" s="119">
        <f t="shared" ref="G66:G81" si="15">D66*E66</f>
        <v>1764.7058823529412</v>
      </c>
      <c r="H66" s="120">
        <f t="shared" ref="H66:H81" si="16">G66*F66</f>
        <v>1676.4705882352941</v>
      </c>
    </row>
    <row r="67" spans="1:8" ht="14.25" customHeight="1" x14ac:dyDescent="0.3">
      <c r="A67" s="128" t="s">
        <v>13</v>
      </c>
      <c r="B67" s="123" t="str">
        <f t="shared" si="12"/>
        <v>Tomato - طماطم</v>
      </c>
      <c r="C67" s="123" t="str">
        <f t="shared" si="11"/>
        <v>gm</v>
      </c>
      <c r="D67" s="123">
        <f t="shared" si="11"/>
        <v>250</v>
      </c>
      <c r="E67" s="197">
        <f t="shared" si="13"/>
        <v>11.764705882352942</v>
      </c>
      <c r="F67" s="127">
        <f t="shared" si="14"/>
        <v>1</v>
      </c>
      <c r="G67" s="119">
        <f t="shared" si="15"/>
        <v>2941.1764705882356</v>
      </c>
      <c r="H67" s="120">
        <f t="shared" si="16"/>
        <v>2941.1764705882356</v>
      </c>
    </row>
    <row r="68" spans="1:8" ht="14.25" customHeight="1" x14ac:dyDescent="0.3">
      <c r="A68" s="128" t="s">
        <v>57</v>
      </c>
      <c r="B68" s="123" t="str">
        <f t="shared" si="12"/>
        <v>Ginger - زنجبيل</v>
      </c>
      <c r="C68" s="123" t="str">
        <f t="shared" si="11"/>
        <v>gm</v>
      </c>
      <c r="D68" s="123">
        <f t="shared" si="11"/>
        <v>15</v>
      </c>
      <c r="E68" s="197">
        <f t="shared" si="13"/>
        <v>11.764705882352942</v>
      </c>
      <c r="F68" s="127">
        <f t="shared" si="14"/>
        <v>0.9</v>
      </c>
      <c r="G68" s="119">
        <f t="shared" si="15"/>
        <v>176.47058823529414</v>
      </c>
      <c r="H68" s="120">
        <f t="shared" si="16"/>
        <v>158.82352941176472</v>
      </c>
    </row>
    <row r="69" spans="1:8" ht="14.25" customHeight="1" x14ac:dyDescent="0.3">
      <c r="A69" s="128" t="s">
        <v>13</v>
      </c>
      <c r="B69" s="123" t="str">
        <f t="shared" si="12"/>
        <v>Garlic - ثوم مقشر</v>
      </c>
      <c r="C69" s="123" t="str">
        <f t="shared" si="11"/>
        <v>gm</v>
      </c>
      <c r="D69" s="123">
        <f t="shared" si="11"/>
        <v>25</v>
      </c>
      <c r="E69" s="197">
        <f t="shared" si="13"/>
        <v>11.764705882352942</v>
      </c>
      <c r="F69" s="127">
        <f t="shared" si="14"/>
        <v>0.9</v>
      </c>
      <c r="G69" s="119">
        <f t="shared" si="15"/>
        <v>294.11764705882354</v>
      </c>
      <c r="H69" s="120">
        <f t="shared" si="16"/>
        <v>264.70588235294122</v>
      </c>
    </row>
    <row r="70" spans="1:8" ht="14.25" customHeight="1" x14ac:dyDescent="0.3">
      <c r="A70" s="128" t="s">
        <v>13</v>
      </c>
      <c r="B70" s="123" t="str">
        <f t="shared" si="12"/>
        <v>Green Chilli Pepper - فلفل أخضر حار</v>
      </c>
      <c r="C70" s="123" t="str">
        <f t="shared" si="11"/>
        <v>gm</v>
      </c>
      <c r="D70" s="123">
        <f t="shared" si="11"/>
        <v>5</v>
      </c>
      <c r="E70" s="197">
        <f t="shared" si="13"/>
        <v>11.764705882352942</v>
      </c>
      <c r="F70" s="127">
        <f t="shared" si="14"/>
        <v>0.75</v>
      </c>
      <c r="G70" s="119">
        <f t="shared" si="15"/>
        <v>58.82352941176471</v>
      </c>
      <c r="H70" s="120">
        <f t="shared" si="16"/>
        <v>44.117647058823536</v>
      </c>
    </row>
    <row r="71" spans="1:8" ht="14.25" customHeight="1" x14ac:dyDescent="0.3">
      <c r="A71" s="128" t="s">
        <v>97</v>
      </c>
      <c r="B71" s="123" t="str">
        <f t="shared" si="12"/>
        <v>Cumin Powder - كمون مطحون</v>
      </c>
      <c r="C71" s="123" t="str">
        <f t="shared" si="11"/>
        <v>gm</v>
      </c>
      <c r="D71" s="123">
        <f t="shared" si="11"/>
        <v>5</v>
      </c>
      <c r="E71" s="197">
        <f t="shared" si="13"/>
        <v>11.764705882352942</v>
      </c>
      <c r="F71" s="127">
        <f t="shared" si="14"/>
        <v>0.9</v>
      </c>
      <c r="G71" s="119">
        <f t="shared" si="15"/>
        <v>58.82352941176471</v>
      </c>
      <c r="H71" s="120">
        <f t="shared" si="16"/>
        <v>52.941176470588239</v>
      </c>
    </row>
    <row r="72" spans="1:8" ht="14.25" customHeight="1" x14ac:dyDescent="0.3">
      <c r="A72" s="128" t="s">
        <v>97</v>
      </c>
      <c r="B72" s="123" t="str">
        <f t="shared" si="12"/>
        <v>Coriander Powder - كزبرة مطحونة</v>
      </c>
      <c r="C72" s="123" t="str">
        <f t="shared" si="11"/>
        <v>gm</v>
      </c>
      <c r="D72" s="123">
        <f t="shared" si="11"/>
        <v>5</v>
      </c>
      <c r="E72" s="197">
        <f t="shared" si="13"/>
        <v>11.764705882352942</v>
      </c>
      <c r="F72" s="127">
        <f t="shared" si="14"/>
        <v>0.9</v>
      </c>
      <c r="G72" s="119">
        <f t="shared" si="15"/>
        <v>58.82352941176471</v>
      </c>
      <c r="H72" s="120">
        <f t="shared" si="16"/>
        <v>52.941176470588239</v>
      </c>
    </row>
    <row r="73" spans="1:8" ht="14.25" customHeight="1" x14ac:dyDescent="0.3">
      <c r="A73" s="128" t="s">
        <v>97</v>
      </c>
      <c r="B73" s="123" t="str">
        <f t="shared" si="12"/>
        <v>Curry Powder - كاري بودرة</v>
      </c>
      <c r="C73" s="123" t="str">
        <f t="shared" si="11"/>
        <v>gm</v>
      </c>
      <c r="D73" s="123">
        <f t="shared" si="11"/>
        <v>10</v>
      </c>
      <c r="E73" s="197">
        <f t="shared" si="13"/>
        <v>11.764705882352942</v>
      </c>
      <c r="F73" s="127">
        <f t="shared" si="14"/>
        <v>0.75</v>
      </c>
      <c r="G73" s="119">
        <f t="shared" si="15"/>
        <v>117.64705882352942</v>
      </c>
      <c r="H73" s="120">
        <f t="shared" si="16"/>
        <v>88.235294117647072</v>
      </c>
    </row>
    <row r="74" spans="1:8" ht="14.25" customHeight="1" x14ac:dyDescent="0.3">
      <c r="A74" s="128" t="s">
        <v>220</v>
      </c>
      <c r="B74" s="123" t="str">
        <f t="shared" si="12"/>
        <v>لون صفار زعفران بودر - Saffron yellow color powder</v>
      </c>
      <c r="C74" s="123" t="str">
        <f t="shared" si="11"/>
        <v>gm</v>
      </c>
      <c r="D74" s="123">
        <f t="shared" si="11"/>
        <v>2</v>
      </c>
      <c r="E74" s="197">
        <f t="shared" si="13"/>
        <v>11.764705882352942</v>
      </c>
      <c r="F74" s="127">
        <f t="shared" si="14"/>
        <v>0.75</v>
      </c>
      <c r="G74" s="119">
        <f t="shared" si="15"/>
        <v>23.529411764705884</v>
      </c>
      <c r="H74" s="120">
        <f t="shared" si="16"/>
        <v>17.647058823529413</v>
      </c>
    </row>
    <row r="75" spans="1:8" ht="14.25" customHeight="1" x14ac:dyDescent="0.3">
      <c r="A75" s="128" t="s">
        <v>97</v>
      </c>
      <c r="B75" s="123" t="str">
        <f t="shared" si="12"/>
        <v>Maggi Cubes - مكعبات ماجي</v>
      </c>
      <c r="C75" s="123" t="str">
        <f t="shared" si="11"/>
        <v>gm</v>
      </c>
      <c r="D75" s="123">
        <f t="shared" si="11"/>
        <v>5</v>
      </c>
      <c r="E75" s="197">
        <f t="shared" si="13"/>
        <v>11.764705882352942</v>
      </c>
      <c r="F75" s="127">
        <f t="shared" si="14"/>
        <v>0.6</v>
      </c>
      <c r="G75" s="119">
        <f t="shared" si="15"/>
        <v>58.82352941176471</v>
      </c>
      <c r="H75" s="120">
        <f t="shared" si="16"/>
        <v>35.294117647058826</v>
      </c>
    </row>
    <row r="76" spans="1:8" ht="14.25" customHeight="1" x14ac:dyDescent="0.3">
      <c r="A76" s="128" t="s">
        <v>97</v>
      </c>
      <c r="B76" s="123" t="str">
        <f t="shared" si="12"/>
        <v>Salt - ملح</v>
      </c>
      <c r="C76" s="123" t="str">
        <f t="shared" si="11"/>
        <v>gm</v>
      </c>
      <c r="D76" s="123">
        <f t="shared" si="11"/>
        <v>5</v>
      </c>
      <c r="E76" s="197">
        <f t="shared" si="13"/>
        <v>11.764705882352942</v>
      </c>
      <c r="F76" s="127">
        <f t="shared" si="14"/>
        <v>0.75</v>
      </c>
      <c r="G76" s="119">
        <f t="shared" si="15"/>
        <v>58.82352941176471</v>
      </c>
      <c r="H76" s="120">
        <f t="shared" si="16"/>
        <v>44.117647058823536</v>
      </c>
    </row>
    <row r="77" spans="1:8" ht="14.25" customHeight="1" x14ac:dyDescent="0.3">
      <c r="A77" s="128" t="s">
        <v>158</v>
      </c>
      <c r="B77" s="123" t="str">
        <f t="shared" si="12"/>
        <v>Butter - زبدة</v>
      </c>
      <c r="C77" s="123" t="str">
        <f t="shared" si="11"/>
        <v>gm</v>
      </c>
      <c r="D77" s="123">
        <f t="shared" si="11"/>
        <v>20</v>
      </c>
      <c r="E77" s="197">
        <f t="shared" si="13"/>
        <v>11.764705882352942</v>
      </c>
      <c r="F77" s="127">
        <f t="shared" si="14"/>
        <v>1</v>
      </c>
      <c r="G77" s="119">
        <f t="shared" si="15"/>
        <v>235.29411764705884</v>
      </c>
      <c r="H77" s="120">
        <f t="shared" si="16"/>
        <v>235.29411764705884</v>
      </c>
    </row>
    <row r="78" spans="1:8" ht="17.75" customHeight="1" x14ac:dyDescent="0.3">
      <c r="A78" s="128" t="s">
        <v>158</v>
      </c>
      <c r="B78" s="123" t="str">
        <f t="shared" si="12"/>
        <v>Yogurt - زبادي</v>
      </c>
      <c r="C78" s="123" t="str">
        <f t="shared" si="11"/>
        <v>gm</v>
      </c>
      <c r="D78" s="123">
        <f t="shared" si="11"/>
        <v>200</v>
      </c>
      <c r="E78" s="197">
        <f t="shared" si="13"/>
        <v>11.764705882352942</v>
      </c>
      <c r="F78" s="127">
        <f t="shared" si="14"/>
        <v>1</v>
      </c>
      <c r="G78" s="119">
        <f t="shared" si="15"/>
        <v>2352.9411764705883</v>
      </c>
      <c r="H78" s="120">
        <f t="shared" si="16"/>
        <v>2352.9411764705883</v>
      </c>
    </row>
    <row r="79" spans="1:8" ht="14.25" customHeight="1" x14ac:dyDescent="0.3">
      <c r="A79" s="128" t="s">
        <v>158</v>
      </c>
      <c r="B79" s="123" t="str">
        <f t="shared" si="12"/>
        <v>Cooking Cream - كريمة طبخ</v>
      </c>
      <c r="C79" s="123" t="str">
        <f t="shared" si="11"/>
        <v>ml</v>
      </c>
      <c r="D79" s="123">
        <f t="shared" si="11"/>
        <v>300</v>
      </c>
      <c r="E79" s="197">
        <f t="shared" si="13"/>
        <v>11.764705882352942</v>
      </c>
      <c r="F79" s="127">
        <f t="shared" si="14"/>
        <v>1</v>
      </c>
      <c r="G79" s="119">
        <f t="shared" si="15"/>
        <v>3529.4117647058824</v>
      </c>
      <c r="H79" s="120">
        <f t="shared" si="16"/>
        <v>3529.4117647058824</v>
      </c>
    </row>
    <row r="80" spans="1:8" ht="14.25" customHeight="1" x14ac:dyDescent="0.3">
      <c r="A80" s="128" t="s">
        <v>210</v>
      </c>
      <c r="B80" s="123" t="str">
        <f t="shared" si="12"/>
        <v>Water - ماء</v>
      </c>
      <c r="C80" s="123" t="str">
        <f t="shared" si="11"/>
        <v>ml</v>
      </c>
      <c r="D80" s="123">
        <f t="shared" si="11"/>
        <v>170</v>
      </c>
      <c r="E80" s="197">
        <f t="shared" si="13"/>
        <v>11.764705882352942</v>
      </c>
      <c r="F80" s="127">
        <f t="shared" si="14"/>
        <v>1</v>
      </c>
      <c r="G80" s="119">
        <f t="shared" si="15"/>
        <v>2000.0000000000002</v>
      </c>
      <c r="H80" s="120">
        <f t="shared" si="16"/>
        <v>2000.0000000000002</v>
      </c>
    </row>
    <row r="81" spans="1:10" ht="14.25" customHeight="1" x14ac:dyDescent="0.3">
      <c r="A81" s="128" t="s">
        <v>63</v>
      </c>
      <c r="B81" s="123" t="str">
        <f t="shared" si="12"/>
        <v>Coriander Leaves - كزبرة خضراء</v>
      </c>
      <c r="C81" s="123" t="str">
        <f t="shared" si="11"/>
        <v>gm</v>
      </c>
      <c r="D81" s="123">
        <f t="shared" si="11"/>
        <v>5</v>
      </c>
      <c r="E81" s="197">
        <f t="shared" si="13"/>
        <v>11.764705882352942</v>
      </c>
      <c r="F81" s="127">
        <f t="shared" si="14"/>
        <v>0.75</v>
      </c>
      <c r="G81" s="119">
        <f t="shared" si="15"/>
        <v>58.82352941176471</v>
      </c>
      <c r="H81" s="120">
        <f t="shared" si="16"/>
        <v>44.117647058823536</v>
      </c>
    </row>
    <row r="82" spans="1:10" ht="20.25" customHeight="1" x14ac:dyDescent="0.4">
      <c r="A82" s="128" t="s">
        <v>210</v>
      </c>
      <c r="B82" s="123" t="str">
        <f t="shared" si="12"/>
        <v>Corn Starch - نشا ذرة</v>
      </c>
      <c r="C82" s="123" t="str">
        <f t="shared" si="11"/>
        <v>gm</v>
      </c>
      <c r="D82" s="123">
        <f t="shared" si="11"/>
        <v>10</v>
      </c>
      <c r="E82" s="197">
        <f t="shared" si="13"/>
        <v>11.764705882352942</v>
      </c>
      <c r="F82" s="127">
        <f t="shared" si="14"/>
        <v>1</v>
      </c>
      <c r="G82" s="119">
        <f>D82*E82</f>
        <v>117.64705882352942</v>
      </c>
      <c r="H82" s="120">
        <f>G82*F82</f>
        <v>117.64705882352942</v>
      </c>
      <c r="I82" s="204"/>
      <c r="J82" s="203"/>
    </row>
    <row r="83" spans="1:10" ht="18" x14ac:dyDescent="0.3">
      <c r="B83" s="198" t="s">
        <v>299</v>
      </c>
      <c r="C83" s="200" t="s">
        <v>285</v>
      </c>
      <c r="E83" s="200" t="s">
        <v>300</v>
      </c>
      <c r="G83" s="890" t="s">
        <v>276</v>
      </c>
      <c r="H83" s="890" t="s">
        <v>733</v>
      </c>
    </row>
    <row r="84" spans="1:10" ht="20" x14ac:dyDescent="0.4">
      <c r="B84" s="199">
        <f>$J$53</f>
        <v>14493.173999999999</v>
      </c>
      <c r="C84" s="199">
        <f>E84+G84</f>
        <v>10000</v>
      </c>
      <c r="D84" s="930"/>
      <c r="E84" s="199">
        <f>$D$53*$S$44</f>
        <v>4347.826</v>
      </c>
      <c r="F84" s="934"/>
      <c r="G84" s="199">
        <f>$D$53*$T$44</f>
        <v>5652.174</v>
      </c>
      <c r="H84" s="199">
        <f>B84+E84</f>
        <v>18841</v>
      </c>
    </row>
    <row r="85" spans="1:10" ht="17.75" customHeight="1" x14ac:dyDescent="0.3"/>
    <row r="86" spans="1:10" ht="17.75" customHeight="1" x14ac:dyDescent="0.3">
      <c r="A86" s="937"/>
      <c r="B86" s="1382" t="str">
        <f>" دجاج بالكاري 2 / " &amp; COUNTIF($C$53:$C$55, "&gt;0")</f>
        <v xml:space="preserve"> دجاج بالكاري 2 / 3</v>
      </c>
      <c r="C86" s="1383"/>
      <c r="D86" s="1383"/>
      <c r="E86" s="1383"/>
      <c r="F86" s="1383"/>
      <c r="G86" s="1383"/>
      <c r="H86" s="1383"/>
    </row>
    <row r="87" spans="1:10" ht="25.5" customHeight="1" x14ac:dyDescent="0.3">
      <c r="A87" s="937"/>
      <c r="B87" s="1384" t="str">
        <f>" Curry Chicken  2 / " &amp; COUNTIF($C$53:$C$55, "&gt;0")</f>
        <v xml:space="preserve"> Curry Chicken  2 / 3</v>
      </c>
      <c r="C87" s="1385"/>
      <c r="D87" s="1385"/>
      <c r="E87" s="1385"/>
      <c r="F87" s="1385"/>
      <c r="G87" s="1385"/>
      <c r="H87" s="1385"/>
    </row>
    <row r="88" spans="1:10" ht="26" x14ac:dyDescent="0.25">
      <c r="A88" s="106"/>
      <c r="B88" s="91" t="s">
        <v>253</v>
      </c>
      <c r="C88" s="107" t="s">
        <v>254</v>
      </c>
      <c r="D88" s="91" t="s">
        <v>243</v>
      </c>
      <c r="E88" s="108" t="s">
        <v>246</v>
      </c>
      <c r="F88" s="108" t="s">
        <v>255</v>
      </c>
      <c r="G88" s="91" t="s">
        <v>256</v>
      </c>
      <c r="H88" s="109" t="s">
        <v>257</v>
      </c>
    </row>
    <row r="89" spans="1:10" ht="14.25" customHeight="1" x14ac:dyDescent="0.25">
      <c r="A89" s="192" t="s">
        <v>230</v>
      </c>
      <c r="B89" s="193" t="str">
        <f>$B$5</f>
        <v>Chicken - دجاج</v>
      </c>
      <c r="C89" s="115" t="str">
        <f t="shared" ref="C89:D106" si="17">C5</f>
        <v>gm</v>
      </c>
      <c r="D89" s="205">
        <f t="shared" si="17"/>
        <v>2456.4701694915252</v>
      </c>
      <c r="E89" s="206">
        <f>H54</f>
        <v>10</v>
      </c>
      <c r="F89" s="127">
        <f>F5</f>
        <v>1</v>
      </c>
      <c r="G89" s="207">
        <f>G5</f>
        <v>59282.920469361139</v>
      </c>
      <c r="H89" s="207">
        <f>H5</f>
        <v>59282.920469361139</v>
      </c>
    </row>
    <row r="90" spans="1:10" ht="14.25" customHeight="1" x14ac:dyDescent="0.3">
      <c r="A90" s="128" t="s">
        <v>13</v>
      </c>
      <c r="B90" s="123" t="str">
        <f t="shared" ref="B90:B106" si="18">B6</f>
        <v>Onion - بصل</v>
      </c>
      <c r="C90" s="123" t="str">
        <f t="shared" si="17"/>
        <v>gm</v>
      </c>
      <c r="D90" s="123">
        <f t="shared" si="17"/>
        <v>150</v>
      </c>
      <c r="E90" s="126">
        <f t="shared" ref="E90:E106" si="19">$C$54</f>
        <v>11.764705882352942</v>
      </c>
      <c r="F90" s="127">
        <f t="shared" ref="F90:F106" si="20">F6</f>
        <v>0.95</v>
      </c>
      <c r="G90" s="119">
        <f t="shared" ref="G90:G105" si="21">D90*E90</f>
        <v>1764.7058823529412</v>
      </c>
      <c r="H90" s="120">
        <f t="shared" ref="H90:H105" si="22">G90*F90</f>
        <v>1676.4705882352941</v>
      </c>
    </row>
    <row r="91" spans="1:10" ht="14.25" customHeight="1" x14ac:dyDescent="0.3">
      <c r="A91" s="128" t="s">
        <v>13</v>
      </c>
      <c r="B91" s="123" t="str">
        <f t="shared" si="18"/>
        <v>Tomato - طماطم</v>
      </c>
      <c r="C91" s="123" t="str">
        <f t="shared" si="17"/>
        <v>gm</v>
      </c>
      <c r="D91" s="123">
        <f t="shared" si="17"/>
        <v>250</v>
      </c>
      <c r="E91" s="126">
        <f t="shared" si="19"/>
        <v>11.764705882352942</v>
      </c>
      <c r="F91" s="127">
        <f t="shared" si="20"/>
        <v>1</v>
      </c>
      <c r="G91" s="119">
        <f t="shared" si="21"/>
        <v>2941.1764705882356</v>
      </c>
      <c r="H91" s="120">
        <f t="shared" si="22"/>
        <v>2941.1764705882356</v>
      </c>
    </row>
    <row r="92" spans="1:10" ht="14.25" customHeight="1" x14ac:dyDescent="0.3">
      <c r="A92" s="128" t="s">
        <v>57</v>
      </c>
      <c r="B92" s="123" t="str">
        <f t="shared" si="18"/>
        <v>Ginger - زنجبيل</v>
      </c>
      <c r="C92" s="123" t="str">
        <f t="shared" si="17"/>
        <v>gm</v>
      </c>
      <c r="D92" s="123">
        <f t="shared" si="17"/>
        <v>15</v>
      </c>
      <c r="E92" s="126">
        <f t="shared" si="19"/>
        <v>11.764705882352942</v>
      </c>
      <c r="F92" s="127">
        <f t="shared" si="20"/>
        <v>0.9</v>
      </c>
      <c r="G92" s="119">
        <f t="shared" si="21"/>
        <v>176.47058823529414</v>
      </c>
      <c r="H92" s="120">
        <f t="shared" si="22"/>
        <v>158.82352941176472</v>
      </c>
    </row>
    <row r="93" spans="1:10" ht="14.25" customHeight="1" x14ac:dyDescent="0.3">
      <c r="A93" s="128" t="s">
        <v>13</v>
      </c>
      <c r="B93" s="123" t="str">
        <f t="shared" si="18"/>
        <v>Garlic - ثوم مقشر</v>
      </c>
      <c r="C93" s="123" t="str">
        <f t="shared" si="17"/>
        <v>gm</v>
      </c>
      <c r="D93" s="123">
        <f t="shared" si="17"/>
        <v>25</v>
      </c>
      <c r="E93" s="126">
        <f t="shared" si="19"/>
        <v>11.764705882352942</v>
      </c>
      <c r="F93" s="127">
        <f t="shared" si="20"/>
        <v>0.9</v>
      </c>
      <c r="G93" s="119">
        <f t="shared" si="21"/>
        <v>294.11764705882354</v>
      </c>
      <c r="H93" s="120">
        <f t="shared" si="22"/>
        <v>264.70588235294122</v>
      </c>
    </row>
    <row r="94" spans="1:10" ht="14.25" customHeight="1" x14ac:dyDescent="0.3">
      <c r="A94" s="128" t="s">
        <v>13</v>
      </c>
      <c r="B94" s="123" t="str">
        <f t="shared" si="18"/>
        <v>Green Chilli Pepper - فلفل أخضر حار</v>
      </c>
      <c r="C94" s="123" t="str">
        <f t="shared" si="17"/>
        <v>gm</v>
      </c>
      <c r="D94" s="123">
        <f t="shared" si="17"/>
        <v>5</v>
      </c>
      <c r="E94" s="126">
        <f t="shared" si="19"/>
        <v>11.764705882352942</v>
      </c>
      <c r="F94" s="127">
        <f t="shared" si="20"/>
        <v>0.75</v>
      </c>
      <c r="G94" s="119">
        <f t="shared" si="21"/>
        <v>58.82352941176471</v>
      </c>
      <c r="H94" s="120">
        <f t="shared" si="22"/>
        <v>44.117647058823536</v>
      </c>
    </row>
    <row r="95" spans="1:10" ht="14.25" customHeight="1" x14ac:dyDescent="0.3">
      <c r="A95" s="128" t="s">
        <v>97</v>
      </c>
      <c r="B95" s="123" t="str">
        <f t="shared" si="18"/>
        <v>Cumin Powder - كمون مطحون</v>
      </c>
      <c r="C95" s="123" t="str">
        <f t="shared" si="17"/>
        <v>gm</v>
      </c>
      <c r="D95" s="123">
        <f t="shared" si="17"/>
        <v>5</v>
      </c>
      <c r="E95" s="126">
        <f t="shared" si="19"/>
        <v>11.764705882352942</v>
      </c>
      <c r="F95" s="127">
        <f t="shared" si="20"/>
        <v>0.9</v>
      </c>
      <c r="G95" s="119">
        <f t="shared" si="21"/>
        <v>58.82352941176471</v>
      </c>
      <c r="H95" s="120">
        <f t="shared" si="22"/>
        <v>52.941176470588239</v>
      </c>
    </row>
    <row r="96" spans="1:10" ht="14.25" customHeight="1" x14ac:dyDescent="0.3">
      <c r="A96" s="128" t="s">
        <v>97</v>
      </c>
      <c r="B96" s="123" t="str">
        <f t="shared" si="18"/>
        <v>Coriander Powder - كزبرة مطحونة</v>
      </c>
      <c r="C96" s="123" t="str">
        <f t="shared" si="17"/>
        <v>gm</v>
      </c>
      <c r="D96" s="123">
        <f t="shared" si="17"/>
        <v>5</v>
      </c>
      <c r="E96" s="126">
        <f t="shared" si="19"/>
        <v>11.764705882352942</v>
      </c>
      <c r="F96" s="127">
        <f t="shared" si="20"/>
        <v>0.9</v>
      </c>
      <c r="G96" s="119">
        <f t="shared" si="21"/>
        <v>58.82352941176471</v>
      </c>
      <c r="H96" s="120">
        <f t="shared" si="22"/>
        <v>52.941176470588239</v>
      </c>
    </row>
    <row r="97" spans="1:10" ht="14.25" customHeight="1" x14ac:dyDescent="0.3">
      <c r="A97" s="128" t="s">
        <v>97</v>
      </c>
      <c r="B97" s="123" t="str">
        <f t="shared" si="18"/>
        <v>Curry Powder - كاري بودرة</v>
      </c>
      <c r="C97" s="123" t="str">
        <f t="shared" si="17"/>
        <v>gm</v>
      </c>
      <c r="D97" s="123">
        <f t="shared" si="17"/>
        <v>10</v>
      </c>
      <c r="E97" s="126">
        <f t="shared" si="19"/>
        <v>11.764705882352942</v>
      </c>
      <c r="F97" s="127">
        <f t="shared" si="20"/>
        <v>0.75</v>
      </c>
      <c r="G97" s="119">
        <f t="shared" si="21"/>
        <v>117.64705882352942</v>
      </c>
      <c r="H97" s="120">
        <f t="shared" si="22"/>
        <v>88.235294117647072</v>
      </c>
    </row>
    <row r="98" spans="1:10" ht="14.25" customHeight="1" x14ac:dyDescent="0.3">
      <c r="A98" s="128" t="s">
        <v>220</v>
      </c>
      <c r="B98" s="123" t="str">
        <f t="shared" si="18"/>
        <v>لون صفار زعفران بودر - Saffron yellow color powder</v>
      </c>
      <c r="C98" s="123" t="str">
        <f t="shared" si="17"/>
        <v>gm</v>
      </c>
      <c r="D98" s="123">
        <f t="shared" si="17"/>
        <v>2</v>
      </c>
      <c r="E98" s="126">
        <f t="shared" si="19"/>
        <v>11.764705882352942</v>
      </c>
      <c r="F98" s="127">
        <f t="shared" si="20"/>
        <v>0.75</v>
      </c>
      <c r="G98" s="119">
        <f t="shared" si="21"/>
        <v>23.529411764705884</v>
      </c>
      <c r="H98" s="120">
        <f t="shared" si="22"/>
        <v>17.647058823529413</v>
      </c>
    </row>
    <row r="99" spans="1:10" ht="14.25" customHeight="1" x14ac:dyDescent="0.3">
      <c r="A99" s="128" t="s">
        <v>97</v>
      </c>
      <c r="B99" s="123" t="str">
        <f t="shared" si="18"/>
        <v>Maggi Cubes - مكعبات ماجي</v>
      </c>
      <c r="C99" s="123" t="str">
        <f t="shared" si="17"/>
        <v>gm</v>
      </c>
      <c r="D99" s="123">
        <f t="shared" si="17"/>
        <v>5</v>
      </c>
      <c r="E99" s="126">
        <f t="shared" si="19"/>
        <v>11.764705882352942</v>
      </c>
      <c r="F99" s="127">
        <f t="shared" si="20"/>
        <v>0.6</v>
      </c>
      <c r="G99" s="119">
        <f t="shared" si="21"/>
        <v>58.82352941176471</v>
      </c>
      <c r="H99" s="120">
        <f t="shared" si="22"/>
        <v>35.294117647058826</v>
      </c>
    </row>
    <row r="100" spans="1:10" ht="14.25" customHeight="1" x14ac:dyDescent="0.3">
      <c r="A100" s="128" t="s">
        <v>97</v>
      </c>
      <c r="B100" s="123" t="str">
        <f t="shared" si="18"/>
        <v>Salt - ملح</v>
      </c>
      <c r="C100" s="123" t="str">
        <f t="shared" si="17"/>
        <v>gm</v>
      </c>
      <c r="D100" s="123">
        <f t="shared" si="17"/>
        <v>5</v>
      </c>
      <c r="E100" s="126">
        <f t="shared" si="19"/>
        <v>11.764705882352942</v>
      </c>
      <c r="F100" s="127">
        <f t="shared" si="20"/>
        <v>0.75</v>
      </c>
      <c r="G100" s="119">
        <f t="shared" si="21"/>
        <v>58.82352941176471</v>
      </c>
      <c r="H100" s="120">
        <f t="shared" si="22"/>
        <v>44.117647058823536</v>
      </c>
    </row>
    <row r="101" spans="1:10" ht="14.25" customHeight="1" x14ac:dyDescent="0.3">
      <c r="A101" s="128" t="s">
        <v>158</v>
      </c>
      <c r="B101" s="123" t="str">
        <f t="shared" si="18"/>
        <v>Butter - زبدة</v>
      </c>
      <c r="C101" s="123" t="str">
        <f t="shared" si="17"/>
        <v>gm</v>
      </c>
      <c r="D101" s="123">
        <f t="shared" si="17"/>
        <v>20</v>
      </c>
      <c r="E101" s="126">
        <f t="shared" si="19"/>
        <v>11.764705882352942</v>
      </c>
      <c r="F101" s="127">
        <f t="shared" si="20"/>
        <v>1</v>
      </c>
      <c r="G101" s="119">
        <f t="shared" si="21"/>
        <v>235.29411764705884</v>
      </c>
      <c r="H101" s="120">
        <f t="shared" si="22"/>
        <v>235.29411764705884</v>
      </c>
    </row>
    <row r="102" spans="1:10" ht="14.25" customHeight="1" x14ac:dyDescent="0.3">
      <c r="A102" s="128" t="s">
        <v>158</v>
      </c>
      <c r="B102" s="123" t="str">
        <f t="shared" si="18"/>
        <v>Yogurt - زبادي</v>
      </c>
      <c r="C102" s="123" t="str">
        <f t="shared" si="17"/>
        <v>gm</v>
      </c>
      <c r="D102" s="123">
        <f t="shared" si="17"/>
        <v>200</v>
      </c>
      <c r="E102" s="126">
        <f t="shared" si="19"/>
        <v>11.764705882352942</v>
      </c>
      <c r="F102" s="127">
        <f t="shared" si="20"/>
        <v>1</v>
      </c>
      <c r="G102" s="119">
        <f t="shared" si="21"/>
        <v>2352.9411764705883</v>
      </c>
      <c r="H102" s="120">
        <f t="shared" si="22"/>
        <v>2352.9411764705883</v>
      </c>
    </row>
    <row r="103" spans="1:10" ht="14.25" customHeight="1" x14ac:dyDescent="0.3">
      <c r="A103" s="128" t="s">
        <v>158</v>
      </c>
      <c r="B103" s="123" t="str">
        <f t="shared" si="18"/>
        <v>Cooking Cream - كريمة طبخ</v>
      </c>
      <c r="C103" s="123" t="str">
        <f t="shared" si="17"/>
        <v>ml</v>
      </c>
      <c r="D103" s="123">
        <f t="shared" si="17"/>
        <v>300</v>
      </c>
      <c r="E103" s="126">
        <f t="shared" si="19"/>
        <v>11.764705882352942</v>
      </c>
      <c r="F103" s="127">
        <f t="shared" si="20"/>
        <v>1</v>
      </c>
      <c r="G103" s="119">
        <f t="shared" si="21"/>
        <v>3529.4117647058824</v>
      </c>
      <c r="H103" s="120">
        <f t="shared" si="22"/>
        <v>3529.4117647058824</v>
      </c>
    </row>
    <row r="104" spans="1:10" ht="14.25" customHeight="1" x14ac:dyDescent="0.3">
      <c r="A104" s="128" t="s">
        <v>210</v>
      </c>
      <c r="B104" s="123" t="str">
        <f t="shared" si="18"/>
        <v>Water - ماء</v>
      </c>
      <c r="C104" s="123" t="str">
        <f t="shared" si="17"/>
        <v>ml</v>
      </c>
      <c r="D104" s="123">
        <f t="shared" si="17"/>
        <v>170</v>
      </c>
      <c r="E104" s="126">
        <f t="shared" si="19"/>
        <v>11.764705882352942</v>
      </c>
      <c r="F104" s="127">
        <f t="shared" si="20"/>
        <v>1</v>
      </c>
      <c r="G104" s="119">
        <f t="shared" si="21"/>
        <v>2000.0000000000002</v>
      </c>
      <c r="H104" s="120">
        <f t="shared" si="22"/>
        <v>2000.0000000000002</v>
      </c>
    </row>
    <row r="105" spans="1:10" ht="20.25" customHeight="1" x14ac:dyDescent="0.4">
      <c r="A105" s="128" t="s">
        <v>63</v>
      </c>
      <c r="B105" s="123" t="str">
        <f t="shared" si="18"/>
        <v>Coriander Leaves - كزبرة خضراء</v>
      </c>
      <c r="C105" s="123" t="str">
        <f t="shared" si="17"/>
        <v>gm</v>
      </c>
      <c r="D105" s="123">
        <f t="shared" si="17"/>
        <v>5</v>
      </c>
      <c r="E105" s="126">
        <f t="shared" si="19"/>
        <v>11.764705882352942</v>
      </c>
      <c r="F105" s="127">
        <f t="shared" si="20"/>
        <v>0.75</v>
      </c>
      <c r="G105" s="119">
        <f t="shared" si="21"/>
        <v>58.82352941176471</v>
      </c>
      <c r="H105" s="120">
        <f t="shared" si="22"/>
        <v>44.117647058823536</v>
      </c>
      <c r="I105" s="204"/>
      <c r="J105" s="203"/>
    </row>
    <row r="106" spans="1:10" ht="14.25" customHeight="1" x14ac:dyDescent="0.3">
      <c r="A106" s="128" t="s">
        <v>63</v>
      </c>
      <c r="B106" s="123" t="str">
        <f t="shared" si="18"/>
        <v>Corn Starch - نشا ذرة</v>
      </c>
      <c r="C106" s="123" t="str">
        <f t="shared" si="17"/>
        <v>gm</v>
      </c>
      <c r="D106" s="123">
        <f t="shared" si="17"/>
        <v>10</v>
      </c>
      <c r="E106" s="126">
        <f t="shared" si="19"/>
        <v>11.764705882352942</v>
      </c>
      <c r="F106" s="127">
        <f t="shared" si="20"/>
        <v>1</v>
      </c>
      <c r="G106" s="119">
        <f>D106*E106</f>
        <v>117.64705882352942</v>
      </c>
      <c r="H106" s="120">
        <f>G106*F106</f>
        <v>117.64705882352942</v>
      </c>
    </row>
    <row r="107" spans="1:10" ht="18" x14ac:dyDescent="0.3">
      <c r="B107" s="198" t="s">
        <v>299</v>
      </c>
      <c r="C107" s="200" t="s">
        <v>285</v>
      </c>
      <c r="E107" s="200" t="s">
        <v>300</v>
      </c>
      <c r="G107" s="890" t="s">
        <v>276</v>
      </c>
      <c r="H107" s="890" t="s">
        <v>733</v>
      </c>
    </row>
    <row r="108" spans="1:10" ht="20" x14ac:dyDescent="0.4">
      <c r="B108" s="199">
        <f>$J$54</f>
        <v>14493.173999999999</v>
      </c>
      <c r="C108" s="199">
        <f>E108+G108</f>
        <v>10000</v>
      </c>
      <c r="D108" s="930"/>
      <c r="E108" s="199">
        <f>$D$54*$S$44</f>
        <v>4347.826</v>
      </c>
      <c r="F108" s="934"/>
      <c r="G108" s="199">
        <f>$D$54*$T$44</f>
        <v>5652.174</v>
      </c>
      <c r="H108" s="199">
        <f>B108+E108</f>
        <v>18841</v>
      </c>
    </row>
    <row r="112" spans="1:10" ht="17.75" customHeight="1" x14ac:dyDescent="0.3"/>
    <row r="113" spans="1:8" ht="17.75" customHeight="1" x14ac:dyDescent="0.3"/>
    <row r="114" spans="1:8" ht="25.5" customHeight="1" x14ac:dyDescent="0.3">
      <c r="A114" s="937"/>
      <c r="B114" s="1382" t="str">
        <f>" دجاج بالكاري 3 / " &amp; COUNTIF($C$53:$C$55, "&gt;0")</f>
        <v xml:space="preserve"> دجاج بالكاري 3 / 3</v>
      </c>
      <c r="C114" s="1383"/>
      <c r="D114" s="1383"/>
      <c r="E114" s="1383"/>
      <c r="F114" s="1383"/>
      <c r="G114" s="1383"/>
      <c r="H114" s="1383"/>
    </row>
    <row r="115" spans="1:8" ht="14.25" customHeight="1" x14ac:dyDescent="0.3">
      <c r="A115" s="937"/>
      <c r="B115" s="1384" t="str">
        <f>" Curry Chicken  3 / " &amp; COUNTIF($C$53:$C$55, "&gt;0")</f>
        <v xml:space="preserve"> Curry Chicken  3 / 3</v>
      </c>
      <c r="C115" s="1385"/>
      <c r="D115" s="1385"/>
      <c r="E115" s="1385"/>
      <c r="F115" s="1385"/>
      <c r="G115" s="1385"/>
      <c r="H115" s="1385"/>
    </row>
    <row r="116" spans="1:8" ht="44.75" customHeight="1" x14ac:dyDescent="0.25">
      <c r="A116" s="106"/>
      <c r="B116" s="91" t="s">
        <v>253</v>
      </c>
      <c r="C116" s="107" t="s">
        <v>254</v>
      </c>
      <c r="D116" s="91" t="s">
        <v>243</v>
      </c>
      <c r="E116" s="108" t="s">
        <v>246</v>
      </c>
      <c r="F116" s="108" t="s">
        <v>255</v>
      </c>
      <c r="G116" s="91" t="s">
        <v>256</v>
      </c>
      <c r="H116" s="109" t="s">
        <v>257</v>
      </c>
    </row>
    <row r="117" spans="1:8" ht="14.25" customHeight="1" x14ac:dyDescent="0.25">
      <c r="A117" s="192" t="s">
        <v>230</v>
      </c>
      <c r="B117" s="193" t="str">
        <f>$B$5</f>
        <v>Chicken - دجاج</v>
      </c>
      <c r="C117" s="115" t="str">
        <f t="shared" ref="C117:D134" si="23">C5</f>
        <v>gm</v>
      </c>
      <c r="D117" s="205">
        <f t="shared" si="23"/>
        <v>2456.4701694915252</v>
      </c>
      <c r="E117" s="210">
        <f>H55</f>
        <v>4.1333769103462608</v>
      </c>
      <c r="F117" s="765">
        <f>F5</f>
        <v>1</v>
      </c>
      <c r="G117" s="115">
        <f>G5</f>
        <v>59282.920469361139</v>
      </c>
      <c r="H117" s="207">
        <f>H5</f>
        <v>59282.920469361139</v>
      </c>
    </row>
    <row r="118" spans="1:8" ht="14.25" customHeight="1" x14ac:dyDescent="0.3">
      <c r="A118" s="128" t="s">
        <v>13</v>
      </c>
      <c r="B118" s="123" t="str">
        <f t="shared" ref="B118:B134" si="24">B6</f>
        <v>Onion - بصل</v>
      </c>
      <c r="C118" s="123" t="str">
        <f t="shared" si="23"/>
        <v>gm</v>
      </c>
      <c r="D118" s="123">
        <f t="shared" si="23"/>
        <v>150</v>
      </c>
      <c r="E118" s="126">
        <f t="shared" ref="E118:E134" si="25">$C$55</f>
        <v>6.6467571644042351</v>
      </c>
      <c r="F118" s="127">
        <f t="shared" ref="F118:F134" si="26">F6</f>
        <v>0.95</v>
      </c>
      <c r="G118" s="121">
        <f t="shared" ref="G118:G133" si="27">D118*E118</f>
        <v>997.0135746606353</v>
      </c>
      <c r="H118" s="120">
        <f t="shared" ref="H118:H133" si="28">G118*F118</f>
        <v>947.16289592760347</v>
      </c>
    </row>
    <row r="119" spans="1:8" ht="14.25" customHeight="1" x14ac:dyDescent="0.3">
      <c r="A119" s="128" t="s">
        <v>13</v>
      </c>
      <c r="B119" s="123" t="str">
        <f t="shared" si="24"/>
        <v>Tomato - طماطم</v>
      </c>
      <c r="C119" s="123" t="str">
        <f t="shared" si="23"/>
        <v>gm</v>
      </c>
      <c r="D119" s="123">
        <f t="shared" si="23"/>
        <v>250</v>
      </c>
      <c r="E119" s="126">
        <f t="shared" si="25"/>
        <v>6.6467571644042351</v>
      </c>
      <c r="F119" s="127">
        <f t="shared" si="26"/>
        <v>1</v>
      </c>
      <c r="G119" s="121">
        <f t="shared" si="27"/>
        <v>1661.6892911010589</v>
      </c>
      <c r="H119" s="120">
        <f t="shared" si="28"/>
        <v>1661.6892911010589</v>
      </c>
    </row>
    <row r="120" spans="1:8" ht="14.25" customHeight="1" x14ac:dyDescent="0.3">
      <c r="A120" s="128" t="s">
        <v>57</v>
      </c>
      <c r="B120" s="123" t="str">
        <f t="shared" si="24"/>
        <v>Ginger - زنجبيل</v>
      </c>
      <c r="C120" s="123" t="str">
        <f t="shared" si="23"/>
        <v>gm</v>
      </c>
      <c r="D120" s="123">
        <f t="shared" si="23"/>
        <v>15</v>
      </c>
      <c r="E120" s="126">
        <f t="shared" si="25"/>
        <v>6.6467571644042351</v>
      </c>
      <c r="F120" s="127">
        <f t="shared" si="26"/>
        <v>0.9</v>
      </c>
      <c r="G120" s="121">
        <f t="shared" si="27"/>
        <v>99.701357466063527</v>
      </c>
      <c r="H120" s="120">
        <f t="shared" si="28"/>
        <v>89.731221719457182</v>
      </c>
    </row>
    <row r="121" spans="1:8" ht="14.25" customHeight="1" x14ac:dyDescent="0.3">
      <c r="A121" s="128" t="s">
        <v>13</v>
      </c>
      <c r="B121" s="123" t="str">
        <f t="shared" si="24"/>
        <v>Garlic - ثوم مقشر</v>
      </c>
      <c r="C121" s="123" t="str">
        <f t="shared" si="23"/>
        <v>gm</v>
      </c>
      <c r="D121" s="123">
        <f t="shared" si="23"/>
        <v>25</v>
      </c>
      <c r="E121" s="126">
        <f t="shared" si="25"/>
        <v>6.6467571644042351</v>
      </c>
      <c r="F121" s="127">
        <f t="shared" si="26"/>
        <v>0.9</v>
      </c>
      <c r="G121" s="121">
        <f t="shared" si="27"/>
        <v>166.16892911010586</v>
      </c>
      <c r="H121" s="120">
        <f t="shared" si="28"/>
        <v>149.55203619909528</v>
      </c>
    </row>
    <row r="122" spans="1:8" ht="14.25" customHeight="1" x14ac:dyDescent="0.3">
      <c r="A122" s="128" t="s">
        <v>13</v>
      </c>
      <c r="B122" s="123" t="str">
        <f t="shared" si="24"/>
        <v>Green Chilli Pepper - فلفل أخضر حار</v>
      </c>
      <c r="C122" s="123" t="str">
        <f t="shared" si="23"/>
        <v>gm</v>
      </c>
      <c r="D122" s="123">
        <f t="shared" si="23"/>
        <v>5</v>
      </c>
      <c r="E122" s="126">
        <f t="shared" si="25"/>
        <v>6.6467571644042351</v>
      </c>
      <c r="F122" s="127">
        <f t="shared" si="26"/>
        <v>0.75</v>
      </c>
      <c r="G122" s="121">
        <f t="shared" si="27"/>
        <v>33.233785822021176</v>
      </c>
      <c r="H122" s="120">
        <f t="shared" si="28"/>
        <v>24.925339366515882</v>
      </c>
    </row>
    <row r="123" spans="1:8" ht="14.25" customHeight="1" x14ac:dyDescent="0.3">
      <c r="A123" s="128" t="s">
        <v>97</v>
      </c>
      <c r="B123" s="123" t="str">
        <f t="shared" si="24"/>
        <v>Cumin Powder - كمون مطحون</v>
      </c>
      <c r="C123" s="123" t="str">
        <f t="shared" si="23"/>
        <v>gm</v>
      </c>
      <c r="D123" s="123">
        <f t="shared" si="23"/>
        <v>5</v>
      </c>
      <c r="E123" s="126">
        <f t="shared" si="25"/>
        <v>6.6467571644042351</v>
      </c>
      <c r="F123" s="127">
        <f t="shared" si="26"/>
        <v>0.9</v>
      </c>
      <c r="G123" s="121">
        <f t="shared" si="27"/>
        <v>33.233785822021176</v>
      </c>
      <c r="H123" s="120">
        <f t="shared" si="28"/>
        <v>29.910407239819058</v>
      </c>
    </row>
    <row r="124" spans="1:8" ht="14.25" customHeight="1" x14ac:dyDescent="0.3">
      <c r="A124" s="128" t="s">
        <v>97</v>
      </c>
      <c r="B124" s="123" t="str">
        <f t="shared" si="24"/>
        <v>Coriander Powder - كزبرة مطحونة</v>
      </c>
      <c r="C124" s="123" t="str">
        <f t="shared" si="23"/>
        <v>gm</v>
      </c>
      <c r="D124" s="123">
        <f t="shared" si="23"/>
        <v>5</v>
      </c>
      <c r="E124" s="126">
        <f t="shared" si="25"/>
        <v>6.6467571644042351</v>
      </c>
      <c r="F124" s="127">
        <f t="shared" si="26"/>
        <v>0.9</v>
      </c>
      <c r="G124" s="121">
        <f t="shared" si="27"/>
        <v>33.233785822021176</v>
      </c>
      <c r="H124" s="120">
        <f t="shared" si="28"/>
        <v>29.910407239819058</v>
      </c>
    </row>
    <row r="125" spans="1:8" ht="14.25" customHeight="1" x14ac:dyDescent="0.3">
      <c r="A125" s="128" t="s">
        <v>97</v>
      </c>
      <c r="B125" s="123" t="str">
        <f t="shared" si="24"/>
        <v>Curry Powder - كاري بودرة</v>
      </c>
      <c r="C125" s="123" t="str">
        <f t="shared" si="23"/>
        <v>gm</v>
      </c>
      <c r="D125" s="123">
        <f t="shared" si="23"/>
        <v>10</v>
      </c>
      <c r="E125" s="126">
        <f t="shared" si="25"/>
        <v>6.6467571644042351</v>
      </c>
      <c r="F125" s="127">
        <f t="shared" si="26"/>
        <v>0.75</v>
      </c>
      <c r="G125" s="121">
        <f t="shared" si="27"/>
        <v>66.467571644042351</v>
      </c>
      <c r="H125" s="120">
        <f t="shared" si="28"/>
        <v>49.850678733031764</v>
      </c>
    </row>
    <row r="126" spans="1:8" ht="14.25" customHeight="1" x14ac:dyDescent="0.3">
      <c r="A126" s="128" t="s">
        <v>220</v>
      </c>
      <c r="B126" s="123" t="str">
        <f t="shared" si="24"/>
        <v>لون صفار زعفران بودر - Saffron yellow color powder</v>
      </c>
      <c r="C126" s="123" t="str">
        <f t="shared" si="23"/>
        <v>gm</v>
      </c>
      <c r="D126" s="123">
        <f t="shared" si="23"/>
        <v>2</v>
      </c>
      <c r="E126" s="126">
        <f t="shared" si="25"/>
        <v>6.6467571644042351</v>
      </c>
      <c r="F126" s="127">
        <f t="shared" si="26"/>
        <v>0.75</v>
      </c>
      <c r="G126" s="121">
        <f t="shared" si="27"/>
        <v>13.29351432880847</v>
      </c>
      <c r="H126" s="120">
        <f t="shared" si="28"/>
        <v>9.9701357466063527</v>
      </c>
    </row>
    <row r="127" spans="1:8" ht="14.25" customHeight="1" x14ac:dyDescent="0.3">
      <c r="A127" s="128" t="s">
        <v>97</v>
      </c>
      <c r="B127" s="123" t="str">
        <f t="shared" si="24"/>
        <v>Maggi Cubes - مكعبات ماجي</v>
      </c>
      <c r="C127" s="123" t="str">
        <f t="shared" si="23"/>
        <v>gm</v>
      </c>
      <c r="D127" s="123">
        <f t="shared" si="23"/>
        <v>5</v>
      </c>
      <c r="E127" s="126">
        <f t="shared" si="25"/>
        <v>6.6467571644042351</v>
      </c>
      <c r="F127" s="127">
        <f t="shared" si="26"/>
        <v>0.6</v>
      </c>
      <c r="G127" s="121">
        <f t="shared" si="27"/>
        <v>33.233785822021176</v>
      </c>
      <c r="H127" s="120">
        <f t="shared" si="28"/>
        <v>19.940271493212705</v>
      </c>
    </row>
    <row r="128" spans="1:8" ht="14.25" customHeight="1" x14ac:dyDescent="0.3">
      <c r="A128" s="128" t="s">
        <v>97</v>
      </c>
      <c r="B128" s="123" t="str">
        <f t="shared" si="24"/>
        <v>Salt - ملح</v>
      </c>
      <c r="C128" s="123" t="str">
        <f t="shared" si="23"/>
        <v>gm</v>
      </c>
      <c r="D128" s="123">
        <f t="shared" si="23"/>
        <v>5</v>
      </c>
      <c r="E128" s="126">
        <f t="shared" si="25"/>
        <v>6.6467571644042351</v>
      </c>
      <c r="F128" s="127">
        <f t="shared" si="26"/>
        <v>0.75</v>
      </c>
      <c r="G128" s="121">
        <f t="shared" si="27"/>
        <v>33.233785822021176</v>
      </c>
      <c r="H128" s="120">
        <f t="shared" si="28"/>
        <v>24.925339366515882</v>
      </c>
    </row>
    <row r="129" spans="1:10" ht="14.25" customHeight="1" x14ac:dyDescent="0.3">
      <c r="A129" s="128" t="s">
        <v>158</v>
      </c>
      <c r="B129" s="123" t="str">
        <f t="shared" si="24"/>
        <v>Butter - زبدة</v>
      </c>
      <c r="C129" s="123" t="str">
        <f t="shared" si="23"/>
        <v>gm</v>
      </c>
      <c r="D129" s="123">
        <f t="shared" si="23"/>
        <v>20</v>
      </c>
      <c r="E129" s="126">
        <f t="shared" si="25"/>
        <v>6.6467571644042351</v>
      </c>
      <c r="F129" s="127">
        <f t="shared" si="26"/>
        <v>1</v>
      </c>
      <c r="G129" s="121">
        <f t="shared" si="27"/>
        <v>132.9351432880847</v>
      </c>
      <c r="H129" s="120">
        <f t="shared" si="28"/>
        <v>132.9351432880847</v>
      </c>
    </row>
    <row r="130" spans="1:10" ht="14.25" customHeight="1" x14ac:dyDescent="0.3">
      <c r="A130" s="128" t="s">
        <v>158</v>
      </c>
      <c r="B130" s="123" t="str">
        <f t="shared" si="24"/>
        <v>Yogurt - زبادي</v>
      </c>
      <c r="C130" s="123" t="str">
        <f t="shared" si="23"/>
        <v>gm</v>
      </c>
      <c r="D130" s="123">
        <f t="shared" si="23"/>
        <v>200</v>
      </c>
      <c r="E130" s="126">
        <f t="shared" si="25"/>
        <v>6.6467571644042351</v>
      </c>
      <c r="F130" s="127">
        <f t="shared" si="26"/>
        <v>1</v>
      </c>
      <c r="G130" s="121">
        <f t="shared" si="27"/>
        <v>1329.3514328808469</v>
      </c>
      <c r="H130" s="120">
        <f t="shared" si="28"/>
        <v>1329.3514328808469</v>
      </c>
    </row>
    <row r="131" spans="1:10" ht="14.25" customHeight="1" x14ac:dyDescent="0.3">
      <c r="A131" s="128" t="s">
        <v>158</v>
      </c>
      <c r="B131" s="123" t="str">
        <f t="shared" si="24"/>
        <v>Cooking Cream - كريمة طبخ</v>
      </c>
      <c r="C131" s="123" t="str">
        <f t="shared" si="23"/>
        <v>ml</v>
      </c>
      <c r="D131" s="123">
        <f t="shared" si="23"/>
        <v>300</v>
      </c>
      <c r="E131" s="126">
        <f t="shared" si="25"/>
        <v>6.6467571644042351</v>
      </c>
      <c r="F131" s="127">
        <f t="shared" si="26"/>
        <v>1</v>
      </c>
      <c r="G131" s="121">
        <f t="shared" si="27"/>
        <v>1994.0271493212706</v>
      </c>
      <c r="H131" s="120">
        <f t="shared" si="28"/>
        <v>1994.0271493212706</v>
      </c>
    </row>
    <row r="132" spans="1:10" ht="20.25" customHeight="1" x14ac:dyDescent="0.4">
      <c r="A132" s="128" t="s">
        <v>210</v>
      </c>
      <c r="B132" s="123" t="str">
        <f t="shared" si="24"/>
        <v>Water - ماء</v>
      </c>
      <c r="C132" s="123" t="str">
        <f t="shared" si="23"/>
        <v>ml</v>
      </c>
      <c r="D132" s="123">
        <f t="shared" si="23"/>
        <v>170</v>
      </c>
      <c r="E132" s="126">
        <f t="shared" si="25"/>
        <v>6.6467571644042351</v>
      </c>
      <c r="F132" s="127">
        <f t="shared" si="26"/>
        <v>1</v>
      </c>
      <c r="G132" s="121">
        <f t="shared" si="27"/>
        <v>1129.9487179487201</v>
      </c>
      <c r="H132" s="120">
        <f t="shared" si="28"/>
        <v>1129.9487179487201</v>
      </c>
      <c r="I132" s="204"/>
      <c r="J132" s="203"/>
    </row>
    <row r="133" spans="1:10" x14ac:dyDescent="0.3">
      <c r="A133" s="128" t="s">
        <v>63</v>
      </c>
      <c r="B133" s="123" t="str">
        <f t="shared" si="24"/>
        <v>Coriander Leaves - كزبرة خضراء</v>
      </c>
      <c r="C133" s="123" t="str">
        <f t="shared" si="23"/>
        <v>gm</v>
      </c>
      <c r="D133" s="123">
        <f t="shared" si="23"/>
        <v>5</v>
      </c>
      <c r="E133" s="126">
        <f t="shared" si="25"/>
        <v>6.6467571644042351</v>
      </c>
      <c r="F133" s="127">
        <f t="shared" si="26"/>
        <v>0.75</v>
      </c>
      <c r="G133" s="121">
        <f t="shared" si="27"/>
        <v>33.233785822021176</v>
      </c>
      <c r="H133" s="120">
        <f t="shared" si="28"/>
        <v>24.925339366515882</v>
      </c>
    </row>
    <row r="134" spans="1:10" x14ac:dyDescent="0.3">
      <c r="A134" s="128" t="s">
        <v>63</v>
      </c>
      <c r="B134" s="123" t="str">
        <f t="shared" si="24"/>
        <v>Corn Starch - نشا ذرة</v>
      </c>
      <c r="C134" s="123" t="str">
        <f t="shared" si="23"/>
        <v>gm</v>
      </c>
      <c r="D134" s="123">
        <f t="shared" si="23"/>
        <v>10</v>
      </c>
      <c r="E134" s="126">
        <f t="shared" si="25"/>
        <v>6.6467571644042351</v>
      </c>
      <c r="F134" s="127">
        <f t="shared" si="26"/>
        <v>1</v>
      </c>
      <c r="G134" s="121">
        <f>D134*E134</f>
        <v>66.467571644042351</v>
      </c>
      <c r="H134" s="120">
        <f>G134*F134</f>
        <v>66.467571644042351</v>
      </c>
    </row>
    <row r="135" spans="1:10" ht="18" x14ac:dyDescent="0.3">
      <c r="B135" s="198" t="s">
        <v>299</v>
      </c>
      <c r="C135" s="200" t="s">
        <v>285</v>
      </c>
      <c r="E135" s="200" t="s">
        <v>300</v>
      </c>
      <c r="G135" s="890" t="s">
        <v>276</v>
      </c>
      <c r="H135" s="890" t="s">
        <v>733</v>
      </c>
    </row>
    <row r="136" spans="1:10" ht="20" x14ac:dyDescent="0.4">
      <c r="B136" s="199">
        <f>$J$55</f>
        <v>5990.5750769230726</v>
      </c>
      <c r="C136" s="199">
        <f>E136+G136</f>
        <v>5649.7435897435998</v>
      </c>
      <c r="D136" s="945"/>
      <c r="E136" s="199">
        <f>$D$55*$S$44</f>
        <v>2456.4102072820556</v>
      </c>
      <c r="F136" s="945"/>
      <c r="G136" s="199">
        <f>$D$55*$T$44</f>
        <v>3193.3333824615443</v>
      </c>
      <c r="H136" s="199">
        <f>B136+E136</f>
        <v>8446.9852842051278</v>
      </c>
    </row>
  </sheetData>
  <mergeCells count="11">
    <mergeCell ref="B115:H115"/>
    <mergeCell ref="B62:H62"/>
    <mergeCell ref="R25:U25"/>
    <mergeCell ref="B87:H87"/>
    <mergeCell ref="B114:H114"/>
    <mergeCell ref="B35:F35"/>
    <mergeCell ref="AK2:AM2"/>
    <mergeCell ref="F2:F3"/>
    <mergeCell ref="B63:H63"/>
    <mergeCell ref="B86:H86"/>
    <mergeCell ref="R26:U26"/>
  </mergeCells>
  <printOptions horizontalCentered="1"/>
  <pageMargins left="0.4" right="0.4" top="1" bottom="0.5" header="0.3" footer="0.511811023622047"/>
  <pageSetup paperSize="9" scale="41"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50"/>
    <pageSetUpPr fitToPage="1"/>
  </sheetPr>
  <dimension ref="A1:AE176"/>
  <sheetViews>
    <sheetView zoomScale="85" zoomScaleNormal="85" workbookViewId="0">
      <selection activeCell="A127" sqref="A126:H131"/>
    </sheetView>
  </sheetViews>
  <sheetFormatPr defaultColWidth="12.5" defaultRowHeight="14" x14ac:dyDescent="0.3"/>
  <cols>
    <col min="1" max="1" width="12.5" style="211" customWidth="1"/>
    <col min="2" max="2" width="40.08203125" style="29" customWidth="1"/>
    <col min="3" max="3" width="18.1640625" style="212" customWidth="1"/>
    <col min="4" max="4" width="19" style="212" customWidth="1"/>
    <col min="5" max="5" width="16.1640625" style="212" customWidth="1"/>
    <col min="6" max="6" width="23.08203125" style="212" customWidth="1"/>
    <col min="7" max="7" width="25.1640625" style="212" customWidth="1"/>
    <col min="8" max="8" width="36.1640625" style="212" customWidth="1"/>
    <col min="9" max="11" width="12.5" style="212" customWidth="1"/>
    <col min="12" max="12" width="8.33203125" style="212" customWidth="1"/>
    <col min="13" max="13" width="15.83203125" style="212" customWidth="1"/>
    <col min="14" max="17" width="12.5" style="212" customWidth="1"/>
    <col min="18" max="18" width="30.5" style="212" customWidth="1"/>
    <col min="19" max="22" width="12.5" style="212" customWidth="1"/>
    <col min="23" max="23" width="29.4140625" style="212" customWidth="1"/>
    <col min="24" max="24" width="9.33203125" style="212" bestFit="1" customWidth="1"/>
    <col min="25" max="25" width="12.5" style="212" customWidth="1"/>
    <col min="26" max="26" width="12.5" style="212"/>
    <col min="27" max="27" width="13.33203125" style="212" bestFit="1" customWidth="1"/>
    <col min="28" max="16384" width="12.5" style="212"/>
  </cols>
  <sheetData>
    <row r="1" spans="1:30" ht="31.5" customHeight="1" x14ac:dyDescent="0.3">
      <c r="B1" s="300" t="s">
        <v>243</v>
      </c>
      <c r="C1" s="81">
        <v>1000</v>
      </c>
      <c r="D1" s="82" t="s">
        <v>244</v>
      </c>
      <c r="E1" s="117">
        <f>S32</f>
        <v>32150</v>
      </c>
      <c r="F1" s="80" t="s">
        <v>245</v>
      </c>
      <c r="G1" s="213">
        <f>E1/C1</f>
        <v>32.15</v>
      </c>
      <c r="H1" s="80" t="s">
        <v>246</v>
      </c>
      <c r="I1" s="213">
        <f>G1/K1</f>
        <v>32.15</v>
      </c>
      <c r="J1" s="86" t="s">
        <v>247</v>
      </c>
      <c r="K1" s="92">
        <v>1</v>
      </c>
      <c r="L1" s="214"/>
      <c r="M1" s="215"/>
      <c r="N1" s="216"/>
      <c r="O1" s="91" t="s">
        <v>248</v>
      </c>
      <c r="P1" s="92" t="s">
        <v>301</v>
      </c>
      <c r="Q1" s="93" t="s">
        <v>250</v>
      </c>
      <c r="R1" s="92">
        <v>0.49</v>
      </c>
      <c r="S1" s="214"/>
      <c r="Y1" s="91" t="s">
        <v>479</v>
      </c>
      <c r="Z1" s="847">
        <v>31650</v>
      </c>
      <c r="AA1" s="91" t="s">
        <v>600</v>
      </c>
      <c r="AB1" s="847">
        <v>500</v>
      </c>
      <c r="AC1" s="91" t="s">
        <v>587</v>
      </c>
      <c r="AD1" s="847">
        <v>206</v>
      </c>
    </row>
    <row r="2" spans="1:30" ht="12.75" customHeight="1" x14ac:dyDescent="0.3">
      <c r="A2" s="217"/>
      <c r="B2" s="1415" t="s">
        <v>302</v>
      </c>
      <c r="C2" s="1415"/>
      <c r="D2" s="1415"/>
      <c r="E2" s="1415"/>
      <c r="F2" s="1415"/>
      <c r="G2" s="1415"/>
      <c r="H2" s="1415"/>
      <c r="I2" s="14"/>
      <c r="J2" s="14"/>
      <c r="K2" s="98"/>
      <c r="L2" s="98"/>
      <c r="M2" s="99"/>
      <c r="N2" s="99"/>
      <c r="O2" s="214"/>
      <c r="P2" s="214"/>
      <c r="Q2" s="214"/>
      <c r="R2" s="214"/>
      <c r="S2" s="214"/>
      <c r="T2" s="214"/>
      <c r="U2" s="214"/>
    </row>
    <row r="3" spans="1:30" ht="12.75" customHeight="1" x14ac:dyDescent="0.3">
      <c r="A3" s="217"/>
      <c r="B3" s="1387"/>
      <c r="C3" s="1387"/>
      <c r="D3" s="1387"/>
      <c r="E3" s="1387"/>
      <c r="F3" s="1387"/>
      <c r="G3" s="1387"/>
      <c r="H3" s="1387"/>
      <c r="I3" s="1344"/>
      <c r="J3" s="1344"/>
      <c r="K3" s="103"/>
      <c r="L3" s="103"/>
      <c r="M3" s="99"/>
      <c r="N3" s="99"/>
      <c r="O3" s="214"/>
      <c r="P3" s="214"/>
      <c r="Q3" s="214"/>
      <c r="R3" s="214"/>
      <c r="S3" s="214"/>
      <c r="T3" s="214"/>
      <c r="U3" s="214"/>
    </row>
    <row r="4" spans="1:30" ht="35.25" customHeight="1" x14ac:dyDescent="0.25">
      <c r="A4" s="91" t="s">
        <v>1</v>
      </c>
      <c r="B4" s="595" t="s">
        <v>253</v>
      </c>
      <c r="C4" s="107" t="s">
        <v>254</v>
      </c>
      <c r="D4" s="91" t="s">
        <v>243</v>
      </c>
      <c r="E4" s="218" t="s">
        <v>246</v>
      </c>
      <c r="F4" s="108" t="s">
        <v>255</v>
      </c>
      <c r="G4" s="91" t="s">
        <v>256</v>
      </c>
      <c r="H4" s="109" t="s">
        <v>257</v>
      </c>
      <c r="I4" s="91" t="s">
        <v>258</v>
      </c>
      <c r="J4" s="91" t="s">
        <v>259</v>
      </c>
      <c r="K4" s="91" t="s">
        <v>260</v>
      </c>
      <c r="L4" s="91" t="s">
        <v>261</v>
      </c>
      <c r="M4" s="214"/>
      <c r="N4" s="214"/>
      <c r="O4" s="214"/>
      <c r="P4" s="214"/>
      <c r="Q4" s="214"/>
      <c r="R4" s="214"/>
      <c r="S4" s="214"/>
    </row>
    <row r="5" spans="1:30" ht="14.25" customHeight="1" x14ac:dyDescent="0.25">
      <c r="A5" s="219" t="s">
        <v>230</v>
      </c>
      <c r="B5" s="220" t="s">
        <v>232</v>
      </c>
      <c r="C5" s="124" t="s">
        <v>14</v>
      </c>
      <c r="D5" s="121">
        <f>I49/10</f>
        <v>2040.8163265306125</v>
      </c>
      <c r="E5" s="197">
        <f>H50</f>
        <v>32.15</v>
      </c>
      <c r="F5" s="127">
        <v>1</v>
      </c>
      <c r="G5" s="119">
        <f t="shared" ref="G5" si="0">D5*E5</f>
        <v>65612.244897959186</v>
      </c>
      <c r="H5" s="120">
        <f t="shared" ref="H5" si="1">G5*F5</f>
        <v>65612.244897959186</v>
      </c>
      <c r="I5" s="81">
        <f>VLOOKUP(B5,All_Ingredients!$A$1:$F$151,6,FALSE())</f>
        <v>0.55000000000000004</v>
      </c>
      <c r="J5" s="119">
        <f>VLOOKUP(B5,All_Ingredients!$A$1:$J$151,10,FALSE())</f>
        <v>26.666666666666668</v>
      </c>
      <c r="K5" s="122">
        <f t="shared" ref="K5" si="2">(H5/I5)/1000</f>
        <v>119.29499072356215</v>
      </c>
      <c r="L5" s="122">
        <f t="shared" ref="L5:L14" si="3">K5*J5</f>
        <v>3181.1997526283239</v>
      </c>
      <c r="M5" s="214"/>
      <c r="N5" s="214"/>
      <c r="O5" s="214"/>
      <c r="P5" s="214"/>
      <c r="Q5" s="214"/>
      <c r="R5" s="214"/>
      <c r="S5" s="214"/>
    </row>
    <row r="6" spans="1:30" ht="14.25" customHeight="1" x14ac:dyDescent="0.3">
      <c r="A6" s="221" t="s">
        <v>13</v>
      </c>
      <c r="B6" s="220" t="s">
        <v>100</v>
      </c>
      <c r="C6" s="124" t="s">
        <v>14</v>
      </c>
      <c r="D6" s="125">
        <v>2</v>
      </c>
      <c r="E6" s="223">
        <f t="shared" ref="E6:E16" si="4">$G$1</f>
        <v>32.15</v>
      </c>
      <c r="F6" s="127">
        <v>1</v>
      </c>
      <c r="G6" s="119">
        <f t="shared" ref="G6:G14" si="5">D6*E6</f>
        <v>64.3</v>
      </c>
      <c r="H6" s="120">
        <f t="shared" ref="H6:H14" si="6">G6*F6</f>
        <v>64.3</v>
      </c>
      <c r="I6" s="81">
        <f>VLOOKUP(B6,All_Ingredients!$A$1:$F$151,6,FALSE())</f>
        <v>1</v>
      </c>
      <c r="J6" s="119">
        <f>VLOOKUP(B6,All_Ingredients!$A$1:$J$151,10,FALSE())</f>
        <v>38</v>
      </c>
      <c r="K6" s="122">
        <f t="shared" ref="K6:K14" si="7">(H6/I6)/1000</f>
        <v>6.4299999999999996E-2</v>
      </c>
      <c r="L6" s="122">
        <f t="shared" si="3"/>
        <v>2.4434</v>
      </c>
    </row>
    <row r="7" spans="1:30" ht="14.25" customHeight="1" x14ac:dyDescent="0.3">
      <c r="A7" s="221" t="s">
        <v>13</v>
      </c>
      <c r="B7" s="220" t="s">
        <v>106</v>
      </c>
      <c r="C7" s="124" t="s">
        <v>14</v>
      </c>
      <c r="D7" s="125">
        <v>2</v>
      </c>
      <c r="E7" s="223">
        <f t="shared" si="4"/>
        <v>32.15</v>
      </c>
      <c r="F7" s="127">
        <v>0.95</v>
      </c>
      <c r="G7" s="119">
        <f t="shared" si="5"/>
        <v>64.3</v>
      </c>
      <c r="H7" s="120">
        <f t="shared" si="6"/>
        <v>61.084999999999994</v>
      </c>
      <c r="I7" s="81">
        <f>VLOOKUP(B7,All_Ingredients!$A$1:$F$151,6,FALSE())</f>
        <v>1</v>
      </c>
      <c r="J7" s="119">
        <f>VLOOKUP(B7,All_Ingredients!$A$1:$J$151,10,FALSE())</f>
        <v>19</v>
      </c>
      <c r="K7" s="122">
        <f t="shared" si="7"/>
        <v>6.1084999999999993E-2</v>
      </c>
      <c r="L7" s="122">
        <f t="shared" si="3"/>
        <v>1.160615</v>
      </c>
    </row>
    <row r="8" spans="1:30" ht="14.25" customHeight="1" x14ac:dyDescent="0.3">
      <c r="A8" s="221" t="s">
        <v>57</v>
      </c>
      <c r="B8" s="220" t="s">
        <v>128</v>
      </c>
      <c r="C8" s="124" t="s">
        <v>14</v>
      </c>
      <c r="D8" s="125">
        <v>2</v>
      </c>
      <c r="E8" s="223">
        <f t="shared" si="4"/>
        <v>32.15</v>
      </c>
      <c r="F8" s="127">
        <v>0.95</v>
      </c>
      <c r="G8" s="119">
        <f t="shared" si="5"/>
        <v>64.3</v>
      </c>
      <c r="H8" s="120">
        <f t="shared" si="6"/>
        <v>61.084999999999994</v>
      </c>
      <c r="I8" s="81">
        <f>VLOOKUP(B8,All_Ingredients!$A$1:$F$151,6,FALSE())</f>
        <v>1</v>
      </c>
      <c r="J8" s="119">
        <f>VLOOKUP(B8,All_Ingredients!$A$1:$J$151,10,FALSE())</f>
        <v>37</v>
      </c>
      <c r="K8" s="122">
        <f t="shared" si="7"/>
        <v>6.1084999999999993E-2</v>
      </c>
      <c r="L8" s="122">
        <f t="shared" si="3"/>
        <v>2.2601449999999996</v>
      </c>
    </row>
    <row r="9" spans="1:30" ht="14.25" customHeight="1" x14ac:dyDescent="0.3">
      <c r="A9" s="221" t="s">
        <v>13</v>
      </c>
      <c r="B9" s="220" t="s">
        <v>124</v>
      </c>
      <c r="C9" s="124" t="s">
        <v>14</v>
      </c>
      <c r="D9" s="125">
        <v>2</v>
      </c>
      <c r="E9" s="223">
        <f t="shared" si="4"/>
        <v>32.15</v>
      </c>
      <c r="F9" s="127">
        <v>1</v>
      </c>
      <c r="G9" s="119">
        <f t="shared" si="5"/>
        <v>64.3</v>
      </c>
      <c r="H9" s="120">
        <f t="shared" si="6"/>
        <v>64.3</v>
      </c>
      <c r="I9" s="81">
        <f>VLOOKUP(B9,All_Ingredients!$A$1:$F$151,6,FALSE())</f>
        <v>1</v>
      </c>
      <c r="J9" s="119">
        <f>VLOOKUP(B9,All_Ingredients!$A$1:$J$151,10,FALSE())</f>
        <v>15</v>
      </c>
      <c r="K9" s="122">
        <f t="shared" si="7"/>
        <v>6.4299999999999996E-2</v>
      </c>
      <c r="L9" s="122">
        <f t="shared" si="3"/>
        <v>0.96449999999999991</v>
      </c>
    </row>
    <row r="10" spans="1:30" ht="14.25" customHeight="1" x14ac:dyDescent="0.3">
      <c r="A10" s="221" t="s">
        <v>13</v>
      </c>
      <c r="B10" s="220" t="s">
        <v>815</v>
      </c>
      <c r="C10" s="124" t="s">
        <v>14</v>
      </c>
      <c r="D10" s="125">
        <v>5</v>
      </c>
      <c r="E10" s="223">
        <f t="shared" si="4"/>
        <v>32.15</v>
      </c>
      <c r="F10" s="127">
        <v>1</v>
      </c>
      <c r="G10" s="119">
        <f t="shared" si="5"/>
        <v>160.75</v>
      </c>
      <c r="H10" s="120">
        <f t="shared" si="6"/>
        <v>160.75</v>
      </c>
      <c r="I10" s="81">
        <f>VLOOKUP(B10,All_Ingredients!$A$1:$F$151,6,FALSE())</f>
        <v>1</v>
      </c>
      <c r="J10" s="119">
        <f>VLOOKUP(B10,All_Ingredients!$A$1:$J$151,10,FALSE())</f>
        <v>22.5</v>
      </c>
      <c r="K10" s="122">
        <f t="shared" si="7"/>
        <v>0.16075</v>
      </c>
      <c r="L10" s="122">
        <f t="shared" si="3"/>
        <v>3.6168750000000003</v>
      </c>
    </row>
    <row r="11" spans="1:30" ht="14.25" customHeight="1" x14ac:dyDescent="0.3">
      <c r="A11" s="221" t="s">
        <v>186</v>
      </c>
      <c r="B11" s="220" t="s">
        <v>108</v>
      </c>
      <c r="C11" s="124" t="s">
        <v>14</v>
      </c>
      <c r="D11" s="125">
        <v>6</v>
      </c>
      <c r="E11" s="223">
        <f t="shared" si="4"/>
        <v>32.15</v>
      </c>
      <c r="F11" s="127">
        <v>1</v>
      </c>
      <c r="G11" s="119">
        <f t="shared" si="5"/>
        <v>192.89999999999998</v>
      </c>
      <c r="H11" s="120">
        <f t="shared" si="6"/>
        <v>192.89999999999998</v>
      </c>
      <c r="I11" s="81">
        <f>VLOOKUP(B11,All_Ingredients!$A$1:$F$151,6,FALSE())</f>
        <v>1</v>
      </c>
      <c r="J11" s="119">
        <f>VLOOKUP(B11,All_Ingredients!$A$1:$J$151,10,FALSE())</f>
        <v>15</v>
      </c>
      <c r="K11" s="122">
        <f t="shared" si="7"/>
        <v>0.19289999999999999</v>
      </c>
      <c r="L11" s="122">
        <f t="shared" si="3"/>
        <v>2.8935</v>
      </c>
    </row>
    <row r="12" spans="1:30" ht="14.25" customHeight="1" x14ac:dyDescent="0.3">
      <c r="A12" s="221" t="s">
        <v>196</v>
      </c>
      <c r="B12" s="220" t="s">
        <v>102</v>
      </c>
      <c r="C12" s="124" t="s">
        <v>14</v>
      </c>
      <c r="D12" s="125">
        <v>6</v>
      </c>
      <c r="E12" s="223">
        <f t="shared" si="4"/>
        <v>32.15</v>
      </c>
      <c r="F12" s="127">
        <v>1</v>
      </c>
      <c r="G12" s="119">
        <f t="shared" si="5"/>
        <v>192.89999999999998</v>
      </c>
      <c r="H12" s="120">
        <f t="shared" si="6"/>
        <v>192.89999999999998</v>
      </c>
      <c r="I12" s="81">
        <f>VLOOKUP(B12,All_Ingredients!$A$1:$F$151,6,FALSE())</f>
        <v>1</v>
      </c>
      <c r="J12" s="119">
        <f>VLOOKUP(B12,All_Ingredients!$A$1:$J$151,10,FALSE())</f>
        <v>31</v>
      </c>
      <c r="K12" s="122">
        <f t="shared" si="7"/>
        <v>0.19289999999999999</v>
      </c>
      <c r="L12" s="122">
        <f t="shared" si="3"/>
        <v>5.9798999999999998</v>
      </c>
    </row>
    <row r="13" spans="1:30" ht="14.25" customHeight="1" x14ac:dyDescent="0.3">
      <c r="A13" s="221" t="s">
        <v>97</v>
      </c>
      <c r="B13" s="1361" t="s">
        <v>157</v>
      </c>
      <c r="C13" s="124" t="s">
        <v>14</v>
      </c>
      <c r="D13" s="224">
        <v>75</v>
      </c>
      <c r="E13" s="223">
        <f t="shared" si="4"/>
        <v>32.15</v>
      </c>
      <c r="F13" s="127">
        <v>1</v>
      </c>
      <c r="G13" s="119">
        <f t="shared" si="5"/>
        <v>2411.25</v>
      </c>
      <c r="H13" s="120">
        <f t="shared" si="6"/>
        <v>2411.25</v>
      </c>
      <c r="I13" s="81">
        <f>VLOOKUP(B13,All_Ingredients!$A$1:$F$151,6,FALSE())</f>
        <v>1</v>
      </c>
      <c r="J13" s="119">
        <f>VLOOKUP(B13,All_Ingredients!$A$1:$J$151,10,FALSE())</f>
        <v>30</v>
      </c>
      <c r="K13" s="122">
        <f t="shared" si="7"/>
        <v>2.4112499999999999</v>
      </c>
      <c r="L13" s="122">
        <f t="shared" si="3"/>
        <v>72.337499999999991</v>
      </c>
    </row>
    <row r="14" spans="1:30" x14ac:dyDescent="0.3">
      <c r="A14" s="221" t="s">
        <v>97</v>
      </c>
      <c r="B14" s="220" t="s">
        <v>130</v>
      </c>
      <c r="C14" s="124" t="s">
        <v>14</v>
      </c>
      <c r="D14" s="224">
        <v>6</v>
      </c>
      <c r="E14" s="223">
        <f t="shared" si="4"/>
        <v>32.15</v>
      </c>
      <c r="F14" s="127">
        <v>1</v>
      </c>
      <c r="G14" s="119">
        <f t="shared" si="5"/>
        <v>192.89999999999998</v>
      </c>
      <c r="H14" s="120">
        <f t="shared" si="6"/>
        <v>192.89999999999998</v>
      </c>
      <c r="I14" s="81">
        <f>VLOOKUP(B14,All_Ingredients!$A$1:$F$151,6,FALSE())</f>
        <v>1</v>
      </c>
      <c r="J14" s="119">
        <f>VLOOKUP(B14,All_Ingredients!$A$1:$J$151,10,FALSE())</f>
        <v>125</v>
      </c>
      <c r="K14" s="122">
        <f t="shared" si="7"/>
        <v>0.19289999999999999</v>
      </c>
      <c r="L14" s="122">
        <f t="shared" si="3"/>
        <v>24.112499999999997</v>
      </c>
    </row>
    <row r="15" spans="1:30" ht="14.25" customHeight="1" x14ac:dyDescent="0.3">
      <c r="A15" s="221" t="s">
        <v>97</v>
      </c>
      <c r="B15" s="220" t="s">
        <v>144</v>
      </c>
      <c r="C15" s="124" t="s">
        <v>14</v>
      </c>
      <c r="D15" s="224">
        <v>8</v>
      </c>
      <c r="E15" s="223">
        <f t="shared" si="4"/>
        <v>32.15</v>
      </c>
      <c r="F15" s="127">
        <v>1</v>
      </c>
      <c r="G15" s="119">
        <f t="shared" ref="G15:G16" si="8">D15*E15</f>
        <v>257.2</v>
      </c>
      <c r="H15" s="120">
        <f t="shared" ref="H15:H16" si="9">G15*F15</f>
        <v>257.2</v>
      </c>
      <c r="I15" s="81">
        <f>VLOOKUP(B15,All_Ingredients!$A$1:$F$151,6,FALSE())</f>
        <v>1</v>
      </c>
      <c r="J15" s="119">
        <f>VLOOKUP(B15,All_Ingredients!$A$1:$J$151,10,FALSE())</f>
        <v>15.277777777777779</v>
      </c>
      <c r="K15" s="122">
        <f t="shared" ref="K15:K16" si="10">(H15/I15)/1000</f>
        <v>0.25719999999999998</v>
      </c>
      <c r="L15" s="122">
        <f t="shared" ref="L15:L16" si="11">K15*J15</f>
        <v>3.9294444444444445</v>
      </c>
    </row>
    <row r="16" spans="1:30" ht="14.25" customHeight="1" x14ac:dyDescent="0.3">
      <c r="A16" s="221" t="s">
        <v>97</v>
      </c>
      <c r="B16" s="220" t="s">
        <v>96</v>
      </c>
      <c r="C16" s="124" t="s">
        <v>14</v>
      </c>
      <c r="D16" s="224">
        <v>11</v>
      </c>
      <c r="E16" s="223">
        <f t="shared" si="4"/>
        <v>32.15</v>
      </c>
      <c r="F16" s="127">
        <v>1</v>
      </c>
      <c r="G16" s="119">
        <f t="shared" si="8"/>
        <v>353.65</v>
      </c>
      <c r="H16" s="120">
        <f t="shared" si="9"/>
        <v>353.65</v>
      </c>
      <c r="I16" s="81">
        <f>VLOOKUP(B16,All_Ingredients!$A$1:$F$151,6,FALSE())</f>
        <v>1</v>
      </c>
      <c r="J16" s="119">
        <f>VLOOKUP(B16,All_Ingredients!$A$1:$J$151,10,FALSE())</f>
        <v>0.74</v>
      </c>
      <c r="K16" s="122">
        <f t="shared" si="10"/>
        <v>0.35364999999999996</v>
      </c>
      <c r="L16" s="122">
        <f t="shared" si="11"/>
        <v>0.26170099999999996</v>
      </c>
    </row>
    <row r="17" spans="1:31" ht="14.25" customHeight="1" x14ac:dyDescent="0.3"/>
    <row r="18" spans="1:31" ht="14.25" customHeight="1" x14ac:dyDescent="0.3"/>
    <row r="19" spans="1:31" ht="14.25" customHeight="1" x14ac:dyDescent="0.3"/>
    <row r="20" spans="1:31" ht="14.25" customHeight="1" x14ac:dyDescent="0.3"/>
    <row r="21" spans="1:31" ht="14.25" customHeight="1" x14ac:dyDescent="0.3"/>
    <row r="22" spans="1:31" ht="14.25" customHeight="1" x14ac:dyDescent="0.3"/>
    <row r="23" spans="1:31" ht="13.5" customHeight="1" x14ac:dyDescent="0.3"/>
    <row r="24" spans="1:31" ht="13.5" customHeight="1" x14ac:dyDescent="0.3">
      <c r="B24" s="1131"/>
      <c r="C24" s="133"/>
      <c r="D24" s="3"/>
      <c r="E24" s="225"/>
      <c r="F24" s="136"/>
      <c r="G24" s="140"/>
      <c r="H24" s="138"/>
      <c r="Z24" s="1293"/>
    </row>
    <row r="25" spans="1:31" ht="13.5" customHeight="1" x14ac:dyDescent="0.3">
      <c r="B25" s="1131"/>
      <c r="C25" s="3"/>
      <c r="D25" s="3"/>
      <c r="E25" s="3"/>
      <c r="F25" s="3"/>
      <c r="G25" s="140"/>
      <c r="H25" s="138"/>
      <c r="R25" s="1416" t="s">
        <v>302</v>
      </c>
      <c r="S25" s="1417"/>
      <c r="T25" s="1417"/>
      <c r="U25" s="1417"/>
      <c r="V25" s="236"/>
      <c r="Z25" s="141" t="s">
        <v>264</v>
      </c>
      <c r="AA25" s="142">
        <v>34020</v>
      </c>
      <c r="AB25" s="141" t="s">
        <v>261</v>
      </c>
      <c r="AC25" s="143">
        <f>AE30*AA25</f>
        <v>3513.3641537037988</v>
      </c>
      <c r="AD25" s="14"/>
    </row>
    <row r="26" spans="1:31" ht="13.5" customHeight="1" x14ac:dyDescent="0.3">
      <c r="R26" s="1416" t="s">
        <v>303</v>
      </c>
      <c r="S26" s="1417"/>
      <c r="T26" s="1417"/>
      <c r="U26" s="1417"/>
      <c r="V26" s="236"/>
      <c r="Z26" s="14"/>
      <c r="AA26" s="14"/>
      <c r="AB26" s="14"/>
      <c r="AC26" s="14"/>
      <c r="AD26" s="14"/>
    </row>
    <row r="27" spans="1:31" ht="13.5" customHeight="1" thickBot="1" x14ac:dyDescent="0.35">
      <c r="R27" s="226" t="s">
        <v>266</v>
      </c>
      <c r="S27" s="227" t="s">
        <v>304</v>
      </c>
      <c r="T27" s="227" t="s">
        <v>268</v>
      </c>
      <c r="U27" s="227" t="s">
        <v>269</v>
      </c>
      <c r="V27" s="146" t="s">
        <v>848</v>
      </c>
      <c r="Z27" s="141" t="s">
        <v>270</v>
      </c>
      <c r="AA27" s="147" t="s">
        <v>271</v>
      </c>
      <c r="AB27" s="147" t="s">
        <v>272</v>
      </c>
      <c r="AC27" s="147" t="s">
        <v>273</v>
      </c>
      <c r="AD27" s="1186" t="s">
        <v>848</v>
      </c>
      <c r="AE27" s="147" t="s">
        <v>274</v>
      </c>
    </row>
    <row r="28" spans="1:31" ht="12.75" customHeight="1" thickBot="1" x14ac:dyDescent="0.35">
      <c r="R28" s="144" t="s">
        <v>275</v>
      </c>
      <c r="S28" s="1290">
        <f>$Z$1</f>
        <v>31650</v>
      </c>
      <c r="T28" s="228"/>
      <c r="U28" s="228">
        <f>S28</f>
        <v>31650</v>
      </c>
      <c r="V28" s="149">
        <f>G35</f>
        <v>0</v>
      </c>
      <c r="Z28" s="151"/>
      <c r="AA28" s="1200">
        <f>AA25</f>
        <v>34020</v>
      </c>
      <c r="AB28" s="152">
        <f>AA25-AA28</f>
        <v>0</v>
      </c>
      <c r="AC28" s="153">
        <v>0</v>
      </c>
      <c r="AD28" s="1188"/>
      <c r="AE28" s="154">
        <f>SUM(AA28:AC28)</f>
        <v>34020</v>
      </c>
    </row>
    <row r="29" spans="1:31" ht="14.25" customHeight="1" thickBot="1" x14ac:dyDescent="0.35">
      <c r="R29" s="144" t="s">
        <v>276</v>
      </c>
      <c r="S29" s="230"/>
      <c r="T29" s="228"/>
      <c r="U29" s="228">
        <f>T29</f>
        <v>0</v>
      </c>
      <c r="V29" s="149"/>
      <c r="Z29" s="151"/>
      <c r="AA29" s="156">
        <f>AA28/$AE$28</f>
        <v>1</v>
      </c>
      <c r="AB29" s="156">
        <f>AB28/$AE$28</f>
        <v>0</v>
      </c>
      <c r="AC29" s="156">
        <f>AC28/$AE$28</f>
        <v>0</v>
      </c>
      <c r="AD29" s="1192"/>
      <c r="AE29" s="156">
        <f>AE28/$AE$28</f>
        <v>1</v>
      </c>
    </row>
    <row r="30" spans="1:31" ht="14.25" customHeight="1" thickBot="1" x14ac:dyDescent="0.35">
      <c r="R30" s="144" t="s">
        <v>277</v>
      </c>
      <c r="S30" s="1291">
        <f>$AB$1</f>
        <v>500</v>
      </c>
      <c r="T30" s="228"/>
      <c r="U30" s="228">
        <f>T30+S30</f>
        <v>500</v>
      </c>
      <c r="V30" s="1143"/>
      <c r="Z30" s="141" t="s">
        <v>278</v>
      </c>
      <c r="AA30" s="157">
        <f>S35/(S32)</f>
        <v>0.10254957037724181</v>
      </c>
      <c r="AB30" s="158"/>
      <c r="AC30" s="158"/>
      <c r="AD30" s="1198">
        <f>V35/U32</f>
        <v>7.2392032539777477E-4</v>
      </c>
      <c r="AE30" s="1201">
        <f>SUMPRODUCT(AA30:AC30,AA29:AC29)+(AD30)</f>
        <v>0.10327349070263959</v>
      </c>
    </row>
    <row r="31" spans="1:31" ht="14.25" customHeight="1" thickBot="1" x14ac:dyDescent="0.35">
      <c r="R31" s="144" t="s">
        <v>279</v>
      </c>
      <c r="S31" s="230"/>
      <c r="T31" s="228">
        <f>T28+T29</f>
        <v>0</v>
      </c>
      <c r="U31" s="228">
        <f>T31</f>
        <v>0</v>
      </c>
      <c r="V31" s="149"/>
    </row>
    <row r="32" spans="1:31" ht="14.25" customHeight="1" thickBot="1" x14ac:dyDescent="0.35">
      <c r="A32" s="79"/>
      <c r="R32" s="236" t="s">
        <v>269</v>
      </c>
      <c r="S32" s="228">
        <f>SUM(S28:S30)</f>
        <v>32150</v>
      </c>
      <c r="T32" s="228">
        <f>SUM(T28:T30)</f>
        <v>0</v>
      </c>
      <c r="U32" s="228">
        <f>T32+S32</f>
        <v>32150</v>
      </c>
      <c r="V32" s="149">
        <f>SUM(V28:V30)</f>
        <v>0</v>
      </c>
    </row>
    <row r="33" spans="1:23" ht="14.25" customHeight="1" thickBot="1" x14ac:dyDescent="0.35">
      <c r="A33" s="79"/>
      <c r="B33" s="1418" t="s">
        <v>680</v>
      </c>
      <c r="C33" s="1419"/>
      <c r="D33" s="1419"/>
      <c r="E33" s="1419"/>
      <c r="F33" s="1420"/>
      <c r="G33" s="889"/>
      <c r="H33" s="889"/>
      <c r="I33" s="889"/>
      <c r="J33" s="889"/>
      <c r="K33" s="889"/>
      <c r="L33" s="889"/>
      <c r="R33" s="237" t="s">
        <v>280</v>
      </c>
      <c r="S33" s="230"/>
      <c r="T33" s="230"/>
      <c r="U33" s="230"/>
      <c r="V33" s="155"/>
    </row>
    <row r="34" spans="1:23" ht="14.25" customHeight="1" thickBot="1" x14ac:dyDescent="0.35">
      <c r="A34" s="79"/>
      <c r="B34" s="860" t="s">
        <v>253</v>
      </c>
      <c r="C34" s="860" t="s">
        <v>329</v>
      </c>
      <c r="D34" s="862" t="s">
        <v>671</v>
      </c>
      <c r="E34" s="859" t="s">
        <v>672</v>
      </c>
      <c r="F34" s="862" t="s">
        <v>673</v>
      </c>
      <c r="G34" s="882"/>
      <c r="H34" s="862" t="s">
        <v>673</v>
      </c>
      <c r="I34" s="862" t="s">
        <v>258</v>
      </c>
      <c r="J34" s="862" t="s">
        <v>259</v>
      </c>
      <c r="K34" s="862" t="s">
        <v>260</v>
      </c>
      <c r="L34" s="862" t="s">
        <v>261</v>
      </c>
      <c r="R34" s="238" t="s">
        <v>281</v>
      </c>
      <c r="S34" s="230"/>
      <c r="T34" s="228"/>
      <c r="U34" s="230"/>
      <c r="V34" s="155"/>
    </row>
    <row r="35" spans="1:23" ht="14.25" customHeight="1" thickBot="1" x14ac:dyDescent="0.35">
      <c r="A35" s="79"/>
      <c r="B35" s="855" t="s">
        <v>746</v>
      </c>
      <c r="C35" s="856" t="s">
        <v>14</v>
      </c>
      <c r="D35" s="857">
        <v>1</v>
      </c>
      <c r="E35" s="855">
        <f>$AD$1</f>
        <v>206</v>
      </c>
      <c r="F35" s="855">
        <f>D35*E35</f>
        <v>206</v>
      </c>
      <c r="G35" s="881"/>
      <c r="H35" s="855">
        <f>F35</f>
        <v>206</v>
      </c>
      <c r="I35" s="855">
        <f>VLOOKUP(B35,All_Ingredients!$A$1:$F$151,6,FALSE())</f>
        <v>0.65</v>
      </c>
      <c r="J35" s="855">
        <f>VLOOKUP(B35,All_Ingredients!$A$1:$J$151,10,FALSE())</f>
        <v>45</v>
      </c>
      <c r="K35" s="855">
        <f>(H35/I35)/1000</f>
        <v>0.31692307692307692</v>
      </c>
      <c r="L35" s="855">
        <f t="shared" ref="L35" si="12">K35*J35</f>
        <v>14.261538461538461</v>
      </c>
      <c r="R35" s="163" t="s">
        <v>261</v>
      </c>
      <c r="S35" s="1144">
        <f>SUM(L5:L14)</f>
        <v>3296.9686876283245</v>
      </c>
      <c r="T35" s="1144"/>
      <c r="U35" s="1292">
        <f>S35+T35+V35</f>
        <v>3320.242726089863</v>
      </c>
      <c r="V35" s="1144">
        <f>SUM(L35:L36)</f>
        <v>23.27403846153846</v>
      </c>
    </row>
    <row r="36" spans="1:23" ht="14.75" customHeight="1" x14ac:dyDescent="0.3">
      <c r="A36" s="79"/>
      <c r="B36" s="855" t="s">
        <v>190</v>
      </c>
      <c r="C36" s="856" t="s">
        <v>14</v>
      </c>
      <c r="D36" s="857">
        <v>2.5</v>
      </c>
      <c r="E36" s="855">
        <f>$AD$1</f>
        <v>206</v>
      </c>
      <c r="F36" s="855">
        <f>D36*E36</f>
        <v>515</v>
      </c>
      <c r="G36" s="881"/>
      <c r="H36" s="855">
        <f>F36</f>
        <v>515</v>
      </c>
      <c r="I36" s="855">
        <f>VLOOKUP(B36,All_Ingredients!$A$1:$F$151,6,FALSE())</f>
        <v>1</v>
      </c>
      <c r="J36" s="855">
        <f>VLOOKUP(B36,All_Ingredients!$A$1:$J$151,10,FALSE())</f>
        <v>17.5</v>
      </c>
      <c r="K36" s="855">
        <f>(H36/I36)/1000</f>
        <v>0.51500000000000001</v>
      </c>
      <c r="L36" s="855">
        <f t="shared" ref="L36" si="13">K36*J36</f>
        <v>9.0125000000000011</v>
      </c>
    </row>
    <row r="37" spans="1:23" ht="14.25" customHeight="1" x14ac:dyDescent="0.3">
      <c r="A37" s="79"/>
      <c r="I37" s="14"/>
      <c r="J37" s="14"/>
    </row>
    <row r="38" spans="1:23" ht="14.25" customHeight="1" x14ac:dyDescent="0.3">
      <c r="A38" s="79"/>
      <c r="I38" s="14"/>
      <c r="J38" s="14"/>
    </row>
    <row r="39" spans="1:23" ht="14.25" customHeight="1" x14ac:dyDescent="0.3">
      <c r="A39" s="79"/>
      <c r="I39" s="14"/>
      <c r="J39" s="14"/>
    </row>
    <row r="40" spans="1:23" ht="46.5" customHeight="1" x14ac:dyDescent="0.3">
      <c r="A40" s="79"/>
      <c r="I40" s="14"/>
      <c r="J40" s="14"/>
      <c r="Q40" s="14"/>
      <c r="R40" s="165" t="s">
        <v>282</v>
      </c>
      <c r="S40" s="239">
        <v>1</v>
      </c>
      <c r="T40" s="165" t="s">
        <v>283</v>
      </c>
      <c r="U40" s="239">
        <v>0</v>
      </c>
      <c r="V40" s="168">
        <f>S40+U40</f>
        <v>1</v>
      </c>
      <c r="W40" s="14"/>
    </row>
    <row r="41" spans="1:23" ht="14.25" customHeight="1" x14ac:dyDescent="0.3">
      <c r="A41" s="79"/>
      <c r="G41" s="14"/>
      <c r="H41" s="14"/>
      <c r="I41" s="14"/>
      <c r="J41" s="14"/>
      <c r="Q41" s="14"/>
      <c r="R41" s="14"/>
      <c r="S41" s="14"/>
      <c r="T41" s="14"/>
      <c r="U41" s="169"/>
      <c r="V41" s="14"/>
      <c r="W41" s="14"/>
    </row>
    <row r="42" spans="1:23" ht="14.25" customHeight="1" x14ac:dyDescent="0.3">
      <c r="A42" s="79"/>
      <c r="B42" s="301"/>
      <c r="C42" s="14"/>
      <c r="D42" s="14"/>
      <c r="E42" s="100"/>
      <c r="F42" s="100"/>
      <c r="G42" s="14"/>
      <c r="H42" s="14"/>
      <c r="I42" s="14"/>
      <c r="J42" s="14"/>
      <c r="Q42" s="14"/>
      <c r="R42" s="14"/>
      <c r="S42" s="14"/>
      <c r="T42" s="14"/>
      <c r="U42" s="14"/>
      <c r="V42" s="14"/>
      <c r="W42" s="14"/>
    </row>
    <row r="43" spans="1:23" ht="14.25" customHeight="1" x14ac:dyDescent="0.3">
      <c r="A43" s="79"/>
      <c r="B43" s="301"/>
      <c r="C43" s="14"/>
      <c r="D43" s="14"/>
      <c r="E43" s="100"/>
      <c r="F43" s="100"/>
      <c r="G43" s="14"/>
      <c r="H43" s="14"/>
      <c r="I43" s="14"/>
      <c r="J43" s="14"/>
      <c r="Q43" s="170" t="s">
        <v>284</v>
      </c>
      <c r="R43" s="170" t="s">
        <v>285</v>
      </c>
      <c r="S43" s="170" t="s">
        <v>286</v>
      </c>
      <c r="T43" s="170" t="s">
        <v>287</v>
      </c>
      <c r="U43" s="170" t="s">
        <v>288</v>
      </c>
      <c r="V43" s="170" t="s">
        <v>289</v>
      </c>
      <c r="W43" s="170" t="s">
        <v>290</v>
      </c>
    </row>
    <row r="44" spans="1:23" ht="14.25" customHeight="1" x14ac:dyDescent="0.3">
      <c r="A44" s="79"/>
      <c r="B44" s="301"/>
      <c r="C44" s="14"/>
      <c r="D44" s="14"/>
      <c r="E44" s="100"/>
      <c r="F44" s="100"/>
      <c r="G44" s="14"/>
      <c r="H44" s="14"/>
      <c r="I44" s="14"/>
      <c r="J44" s="14"/>
      <c r="Q44" s="240">
        <v>10000</v>
      </c>
      <c r="R44" s="173">
        <v>0</v>
      </c>
      <c r="S44" s="241">
        <v>0</v>
      </c>
      <c r="T44" s="174">
        <v>0</v>
      </c>
      <c r="U44" s="242">
        <f>R44*S44</f>
        <v>0</v>
      </c>
      <c r="V44" s="176">
        <f>R44*T44</f>
        <v>0</v>
      </c>
      <c r="W44" s="176">
        <f>Q44-U44</f>
        <v>10000</v>
      </c>
    </row>
    <row r="45" spans="1:23" ht="14.25" customHeight="1" x14ac:dyDescent="0.3">
      <c r="A45" s="79"/>
      <c r="B45" s="301"/>
      <c r="C45" s="14"/>
      <c r="D45" s="14"/>
      <c r="E45" s="100"/>
      <c r="F45" s="100"/>
      <c r="G45" s="14"/>
      <c r="H45" s="14"/>
      <c r="I45" s="14"/>
      <c r="J45" s="14"/>
    </row>
    <row r="46" spans="1:23" ht="14.25" customHeight="1" x14ac:dyDescent="0.3">
      <c r="A46" s="79"/>
      <c r="B46" s="301"/>
      <c r="C46" s="14"/>
      <c r="D46" s="14"/>
      <c r="E46" s="100"/>
      <c r="F46" s="100"/>
      <c r="G46" s="14"/>
      <c r="H46" s="14"/>
      <c r="I46" s="14"/>
      <c r="J46" s="14"/>
    </row>
    <row r="47" spans="1:23" ht="14.25" customHeight="1" x14ac:dyDescent="0.3">
      <c r="A47" s="79"/>
      <c r="B47" s="301"/>
      <c r="C47" s="14"/>
      <c r="D47" s="14"/>
      <c r="E47" s="100"/>
      <c r="F47" s="100"/>
      <c r="G47" s="14"/>
      <c r="H47" s="14"/>
      <c r="I47" s="14"/>
      <c r="J47" s="14"/>
    </row>
    <row r="48" spans="1:23" ht="14.25" customHeight="1" x14ac:dyDescent="0.3">
      <c r="A48" s="79"/>
      <c r="B48" s="593"/>
      <c r="C48" s="226" t="s">
        <v>245</v>
      </c>
      <c r="D48" s="226" t="s">
        <v>291</v>
      </c>
      <c r="E48" s="183"/>
      <c r="F48" s="214"/>
      <c r="G48" s="145" t="s">
        <v>292</v>
      </c>
      <c r="H48" s="145" t="s">
        <v>245</v>
      </c>
      <c r="I48" s="145" t="s">
        <v>293</v>
      </c>
      <c r="J48" s="145" t="s">
        <v>294</v>
      </c>
    </row>
    <row r="49" spans="1:10" ht="14.25" customHeight="1" x14ac:dyDescent="0.3">
      <c r="A49" s="79"/>
      <c r="B49" s="1132" t="s">
        <v>295</v>
      </c>
      <c r="C49" s="181">
        <f>10/K1</f>
        <v>10</v>
      </c>
      <c r="D49" s="182">
        <f>$C$1*10</f>
        <v>10000</v>
      </c>
      <c r="E49" s="229"/>
      <c r="F49" s="214"/>
      <c r="G49" s="180" t="s">
        <v>295</v>
      </c>
      <c r="H49" s="181">
        <f>I49/$D$5</f>
        <v>10</v>
      </c>
      <c r="I49" s="181">
        <f t="shared" ref="I49:I54" si="14">J49/$R$1</f>
        <v>20408.163265306124</v>
      </c>
      <c r="J49" s="181">
        <f>$W$44</f>
        <v>10000</v>
      </c>
    </row>
    <row r="50" spans="1:10" ht="14.25" customHeight="1" x14ac:dyDescent="0.3">
      <c r="A50" s="79"/>
      <c r="B50" s="302" t="s">
        <v>274</v>
      </c>
      <c r="C50" s="232">
        <f>I1</f>
        <v>32.15</v>
      </c>
      <c r="D50" s="233">
        <f>E1</f>
        <v>32150</v>
      </c>
      <c r="E50" s="214"/>
      <c r="F50" s="214"/>
      <c r="G50" s="148" t="s">
        <v>274</v>
      </c>
      <c r="H50" s="176">
        <f>I50/$D$5</f>
        <v>32.15</v>
      </c>
      <c r="I50" s="176">
        <f t="shared" si="14"/>
        <v>65612.244897959186</v>
      </c>
      <c r="J50" s="184">
        <f>$S$32</f>
        <v>32150</v>
      </c>
    </row>
    <row r="51" spans="1:10" ht="14.25" customHeight="1" x14ac:dyDescent="0.3">
      <c r="A51" s="79"/>
      <c r="B51" s="302" t="s">
        <v>296</v>
      </c>
      <c r="C51" s="234">
        <f>MIN($C$50, 10)</f>
        <v>10</v>
      </c>
      <c r="D51" s="233">
        <f>(C51*$K$1)*$C$1</f>
        <v>10000</v>
      </c>
      <c r="E51" s="214"/>
      <c r="F51" s="214"/>
      <c r="G51" s="148" t="s">
        <v>296</v>
      </c>
      <c r="H51" s="187">
        <f>MIN(H50,H49)</f>
        <v>10</v>
      </c>
      <c r="I51" s="176">
        <f t="shared" si="14"/>
        <v>20408.163265306124</v>
      </c>
      <c r="J51" s="176">
        <f>MIN(J50,J49)</f>
        <v>10000</v>
      </c>
    </row>
    <row r="52" spans="1:10" ht="14.25" customHeight="1" x14ac:dyDescent="0.3">
      <c r="A52" s="79"/>
      <c r="B52" s="302" t="s">
        <v>297</v>
      </c>
      <c r="C52" s="234">
        <f>MIN(MAX($C$50-C51,0),10)</f>
        <v>10</v>
      </c>
      <c r="D52" s="233">
        <f>(C52*$K$1)*$C$1</f>
        <v>10000</v>
      </c>
      <c r="E52" s="214"/>
      <c r="F52" s="214"/>
      <c r="G52" s="148" t="s">
        <v>297</v>
      </c>
      <c r="H52" s="187">
        <f>MIN(MAX(H50-H51),H49)</f>
        <v>10</v>
      </c>
      <c r="I52" s="176">
        <f t="shared" si="14"/>
        <v>20408.163265306124</v>
      </c>
      <c r="J52" s="176">
        <f>MIN(MAX(J50-J51),J49)</f>
        <v>10000</v>
      </c>
    </row>
    <row r="53" spans="1:10" ht="14.25" customHeight="1" x14ac:dyDescent="0.3">
      <c r="A53" s="79"/>
      <c r="B53" s="302" t="s">
        <v>298</v>
      </c>
      <c r="C53" s="234">
        <f>MIN(MAX($C$50-C51-C52,0),10)</f>
        <v>10</v>
      </c>
      <c r="D53" s="233">
        <f>(C53*$K$1)*$C$1</f>
        <v>10000</v>
      </c>
      <c r="E53" s="214"/>
      <c r="F53" s="214"/>
      <c r="G53" s="145" t="s">
        <v>298</v>
      </c>
      <c r="H53" s="187">
        <f>MIN(MAX(H50-H51-H52),H49)</f>
        <v>10</v>
      </c>
      <c r="I53" s="176">
        <f t="shared" si="14"/>
        <v>20408.163265306124</v>
      </c>
      <c r="J53" s="176">
        <f>MIN(MAX(J50-J51-J52),J49)</f>
        <v>10000</v>
      </c>
    </row>
    <row r="54" spans="1:10" ht="14.25" customHeight="1" x14ac:dyDescent="0.3">
      <c r="A54" s="79"/>
      <c r="B54" s="302" t="s">
        <v>305</v>
      </c>
      <c r="C54" s="234">
        <f>MIN(MAX($C$50-C51-C52-C53,0),10)</f>
        <v>2.1499999999999986</v>
      </c>
      <c r="D54" s="235">
        <f>C54*$K$1</f>
        <v>2.1499999999999986</v>
      </c>
      <c r="E54" s="100"/>
      <c r="F54" s="100"/>
      <c r="G54" s="145" t="s">
        <v>305</v>
      </c>
      <c r="H54" s="187">
        <f>MIN(MAX(H50-H51-H52-H53),H49)</f>
        <v>2.1499999999999986</v>
      </c>
      <c r="I54" s="176">
        <f t="shared" si="14"/>
        <v>4387.7551020408164</v>
      </c>
      <c r="J54" s="176">
        <f>MIN(MAX(J50-J51-J52-J53),J49)</f>
        <v>2150</v>
      </c>
    </row>
    <row r="55" spans="1:10" ht="14.25" customHeight="1" x14ac:dyDescent="0.3">
      <c r="A55" s="79"/>
    </row>
    <row r="56" spans="1:10" ht="14.25" customHeight="1" x14ac:dyDescent="0.3">
      <c r="A56" s="79"/>
      <c r="B56" s="301"/>
      <c r="C56" s="14"/>
      <c r="D56" s="14"/>
      <c r="E56" s="100"/>
      <c r="F56" s="100"/>
      <c r="G56" s="14"/>
      <c r="H56" s="14"/>
      <c r="I56" s="14"/>
      <c r="J56" s="14"/>
    </row>
    <row r="57" spans="1:10" ht="14.25" customHeight="1" x14ac:dyDescent="0.3">
      <c r="A57" s="79"/>
      <c r="B57" s="301"/>
      <c r="C57" s="14"/>
      <c r="D57" s="14"/>
      <c r="E57" s="100"/>
      <c r="F57" s="100"/>
      <c r="G57" s="14"/>
      <c r="H57" s="14"/>
      <c r="I57" s="14"/>
      <c r="J57" s="14"/>
    </row>
    <row r="58" spans="1:10" ht="14.25" customHeight="1" x14ac:dyDescent="0.3">
      <c r="A58" s="79"/>
      <c r="B58" s="301"/>
      <c r="C58" s="14"/>
      <c r="D58" s="14"/>
      <c r="E58" s="100"/>
      <c r="F58" s="100"/>
      <c r="G58" s="14"/>
      <c r="H58" s="14"/>
      <c r="I58" s="14"/>
      <c r="J58" s="14"/>
    </row>
    <row r="59" spans="1:10" ht="14.25" customHeight="1" x14ac:dyDescent="0.3">
      <c r="A59" s="79"/>
      <c r="B59" s="301"/>
      <c r="C59" s="14"/>
      <c r="D59" s="14"/>
      <c r="E59" s="100"/>
      <c r="F59" s="100"/>
      <c r="G59" s="14"/>
      <c r="H59" s="14"/>
      <c r="I59" s="14"/>
      <c r="J59" s="14"/>
    </row>
    <row r="60" spans="1:10" ht="14.25" customHeight="1" x14ac:dyDescent="0.3">
      <c r="A60" s="962"/>
      <c r="B60" s="1413" t="str">
        <f>"كبسة لحم دفعة  1  / " &amp; COUNTIF($C$51:$C$54, "&gt;0")</f>
        <v>كبسة لحم دفعة  1  / 4</v>
      </c>
      <c r="C60" s="1414"/>
      <c r="D60" s="1414"/>
      <c r="E60" s="1414"/>
      <c r="F60" s="1414"/>
      <c r="G60" s="1414"/>
      <c r="H60" s="1414"/>
    </row>
    <row r="61" spans="1:10" ht="14.25" customHeight="1" x14ac:dyDescent="0.3">
      <c r="A61" s="962"/>
      <c r="B61" s="1382" t="str">
        <f>"Kabsah Laham 1 / " &amp; COUNTIF($C$51:$C$54, "&gt;0")</f>
        <v>Kabsah Laham 1 / 4</v>
      </c>
      <c r="C61" s="1383"/>
      <c r="D61" s="1383"/>
      <c r="E61" s="1383"/>
      <c r="F61" s="1383"/>
      <c r="G61" s="1383"/>
      <c r="H61" s="1383"/>
    </row>
    <row r="62" spans="1:10" ht="48" customHeight="1" x14ac:dyDescent="0.25">
      <c r="A62" s="91"/>
      <c r="B62" s="596" t="s">
        <v>253</v>
      </c>
      <c r="C62" s="244" t="s">
        <v>254</v>
      </c>
      <c r="D62" s="245" t="s">
        <v>243</v>
      </c>
      <c r="E62" s="218" t="s">
        <v>246</v>
      </c>
      <c r="F62" s="218" t="s">
        <v>255</v>
      </c>
      <c r="G62" s="245" t="s">
        <v>256</v>
      </c>
      <c r="H62" s="218" t="s">
        <v>257</v>
      </c>
    </row>
    <row r="63" spans="1:10" x14ac:dyDescent="0.3">
      <c r="A63" s="221" t="s">
        <v>230</v>
      </c>
      <c r="B63" s="1133" t="str">
        <f t="shared" ref="B63:D70" si="15">B5</f>
        <v>Indian Meat Alana  - لحم هندى ألانا</v>
      </c>
      <c r="C63" s="124" t="str">
        <f t="shared" si="15"/>
        <v>gm</v>
      </c>
      <c r="D63" s="116">
        <f t="shared" si="15"/>
        <v>2040.8163265306125</v>
      </c>
      <c r="E63" s="126">
        <f>H51</f>
        <v>10</v>
      </c>
      <c r="F63" s="127">
        <f t="shared" ref="F63:F74" si="16">F5</f>
        <v>1</v>
      </c>
      <c r="G63" s="119">
        <f t="shared" ref="G63:G70" si="17">D63*E63</f>
        <v>20408.163265306124</v>
      </c>
      <c r="H63" s="120">
        <f t="shared" ref="H63:H70" si="18">G63*F63</f>
        <v>20408.163265306124</v>
      </c>
    </row>
    <row r="64" spans="1:10" x14ac:dyDescent="0.3">
      <c r="A64" s="221" t="s">
        <v>97</v>
      </c>
      <c r="B64" s="1133" t="str">
        <f t="shared" si="15"/>
        <v>Black Pepper Whole - فلفل أسود حب</v>
      </c>
      <c r="C64" s="124" t="str">
        <f t="shared" si="15"/>
        <v>gm</v>
      </c>
      <c r="D64" s="116">
        <f t="shared" si="15"/>
        <v>2</v>
      </c>
      <c r="E64" s="126">
        <f t="shared" ref="E64:E74" si="19">$C$51</f>
        <v>10</v>
      </c>
      <c r="F64" s="127">
        <f t="shared" si="16"/>
        <v>1</v>
      </c>
      <c r="G64" s="81">
        <f t="shared" si="17"/>
        <v>20</v>
      </c>
      <c r="H64" s="120">
        <f t="shared" si="18"/>
        <v>20</v>
      </c>
    </row>
    <row r="65" spans="1:8" ht="14.25" customHeight="1" x14ac:dyDescent="0.3">
      <c r="A65" s="221" t="s">
        <v>97</v>
      </c>
      <c r="B65" s="1133" t="str">
        <f t="shared" si="15"/>
        <v>Cumin Whole - كمون حب</v>
      </c>
      <c r="C65" s="124" t="str">
        <f t="shared" si="15"/>
        <v>gm</v>
      </c>
      <c r="D65" s="116">
        <f t="shared" si="15"/>
        <v>2</v>
      </c>
      <c r="E65" s="126">
        <f t="shared" si="19"/>
        <v>10</v>
      </c>
      <c r="F65" s="127">
        <f t="shared" si="16"/>
        <v>0.95</v>
      </c>
      <c r="G65" s="81">
        <f t="shared" si="17"/>
        <v>20</v>
      </c>
      <c r="H65" s="120">
        <f t="shared" si="18"/>
        <v>19</v>
      </c>
    </row>
    <row r="66" spans="1:8" ht="14.25" customHeight="1" x14ac:dyDescent="0.3">
      <c r="A66" s="221" t="s">
        <v>97</v>
      </c>
      <c r="B66" s="1133" t="str">
        <f t="shared" si="15"/>
        <v>Cloves Whole - قرنفل حب</v>
      </c>
      <c r="C66" s="124" t="str">
        <f t="shared" si="15"/>
        <v>gm</v>
      </c>
      <c r="D66" s="116">
        <f t="shared" si="15"/>
        <v>2</v>
      </c>
      <c r="E66" s="126">
        <f t="shared" si="19"/>
        <v>10</v>
      </c>
      <c r="F66" s="127">
        <f t="shared" si="16"/>
        <v>0.95</v>
      </c>
      <c r="G66" s="81">
        <f t="shared" si="17"/>
        <v>20</v>
      </c>
      <c r="H66" s="120">
        <f t="shared" si="18"/>
        <v>19</v>
      </c>
    </row>
    <row r="67" spans="1:8" ht="14.25" customHeight="1" x14ac:dyDescent="0.3">
      <c r="A67" s="221" t="s">
        <v>97</v>
      </c>
      <c r="B67" s="1133" t="str">
        <f t="shared" si="15"/>
        <v>Cinnamon Whole - قرفة أعواد</v>
      </c>
      <c r="C67" s="124" t="str">
        <f t="shared" si="15"/>
        <v>gm</v>
      </c>
      <c r="D67" s="116">
        <f t="shared" si="15"/>
        <v>2</v>
      </c>
      <c r="E67" s="126">
        <f t="shared" si="19"/>
        <v>10</v>
      </c>
      <c r="F67" s="127">
        <f t="shared" si="16"/>
        <v>1</v>
      </c>
      <c r="G67" s="81">
        <f t="shared" si="17"/>
        <v>20</v>
      </c>
      <c r="H67" s="120">
        <f t="shared" si="18"/>
        <v>20</v>
      </c>
    </row>
    <row r="68" spans="1:8" ht="14.25" customHeight="1" x14ac:dyDescent="0.3">
      <c r="A68" s="221" t="s">
        <v>220</v>
      </c>
      <c r="B68" s="1133" t="str">
        <f t="shared" si="15"/>
        <v>لون صفار زعفران بودر - Saffron yellow color powder</v>
      </c>
      <c r="C68" s="124" t="str">
        <f t="shared" si="15"/>
        <v>gm</v>
      </c>
      <c r="D68" s="116">
        <f t="shared" si="15"/>
        <v>5</v>
      </c>
      <c r="E68" s="126">
        <f t="shared" si="19"/>
        <v>10</v>
      </c>
      <c r="F68" s="127">
        <f t="shared" si="16"/>
        <v>1</v>
      </c>
      <c r="G68" s="81">
        <f t="shared" si="17"/>
        <v>50</v>
      </c>
      <c r="H68" s="120">
        <f t="shared" si="18"/>
        <v>50</v>
      </c>
    </row>
    <row r="69" spans="1:8" ht="14.25" customHeight="1" x14ac:dyDescent="0.3">
      <c r="A69" s="221" t="s">
        <v>97</v>
      </c>
      <c r="B69" s="1133" t="str">
        <f t="shared" si="15"/>
        <v>Cumin Powder - كمون مطحون</v>
      </c>
      <c r="C69" s="124" t="str">
        <f t="shared" si="15"/>
        <v>gm</v>
      </c>
      <c r="D69" s="116">
        <f t="shared" si="15"/>
        <v>6</v>
      </c>
      <c r="E69" s="126">
        <f t="shared" si="19"/>
        <v>10</v>
      </c>
      <c r="F69" s="127">
        <f t="shared" si="16"/>
        <v>1</v>
      </c>
      <c r="G69" s="81">
        <f t="shared" si="17"/>
        <v>60</v>
      </c>
      <c r="H69" s="120">
        <f t="shared" si="18"/>
        <v>60</v>
      </c>
    </row>
    <row r="70" spans="1:8" ht="14.25" customHeight="1" x14ac:dyDescent="0.3">
      <c r="A70" s="221" t="s">
        <v>97</v>
      </c>
      <c r="B70" s="1133" t="str">
        <f t="shared" si="15"/>
        <v>Black Pepper Powder - فلفل أسود مطحون</v>
      </c>
      <c r="C70" s="124" t="str">
        <f t="shared" si="15"/>
        <v>gm</v>
      </c>
      <c r="D70" s="116">
        <f t="shared" si="15"/>
        <v>6</v>
      </c>
      <c r="E70" s="126">
        <f t="shared" si="19"/>
        <v>10</v>
      </c>
      <c r="F70" s="127">
        <f t="shared" si="16"/>
        <v>1</v>
      </c>
      <c r="G70" s="81">
        <f t="shared" si="17"/>
        <v>60</v>
      </c>
      <c r="H70" s="120">
        <f t="shared" si="18"/>
        <v>60</v>
      </c>
    </row>
    <row r="71" spans="1:8" ht="14.25" customHeight="1" x14ac:dyDescent="0.3">
      <c r="A71" s="221"/>
      <c r="B71" s="1133" t="str">
        <f t="shared" ref="B71:D71" si="20">B13</f>
        <v>Butter - زبدة</v>
      </c>
      <c r="C71" s="124" t="str">
        <f t="shared" si="20"/>
        <v>gm</v>
      </c>
      <c r="D71" s="116">
        <f t="shared" si="20"/>
        <v>75</v>
      </c>
      <c r="E71" s="126">
        <f t="shared" si="19"/>
        <v>10</v>
      </c>
      <c r="F71" s="127">
        <f t="shared" si="16"/>
        <v>1</v>
      </c>
      <c r="G71" s="81">
        <f t="shared" ref="G71:G74" si="21">D71*E71</f>
        <v>750</v>
      </c>
      <c r="H71" s="120">
        <f t="shared" ref="H71:H74" si="22">G71*F71</f>
        <v>750</v>
      </c>
    </row>
    <row r="72" spans="1:8" ht="14.25" customHeight="1" x14ac:dyDescent="0.3">
      <c r="A72" s="221"/>
      <c r="B72" s="1133" t="str">
        <f t="shared" ref="B72:D72" si="23">B14</f>
        <v>Cardamom Whole - هيل حب</v>
      </c>
      <c r="C72" s="124" t="str">
        <f t="shared" si="23"/>
        <v>gm</v>
      </c>
      <c r="D72" s="116">
        <f t="shared" si="23"/>
        <v>6</v>
      </c>
      <c r="E72" s="126">
        <f t="shared" si="19"/>
        <v>10</v>
      </c>
      <c r="F72" s="127">
        <f t="shared" si="16"/>
        <v>1</v>
      </c>
      <c r="G72" s="81">
        <f t="shared" si="21"/>
        <v>60</v>
      </c>
      <c r="H72" s="120">
        <f t="shared" si="22"/>
        <v>60</v>
      </c>
    </row>
    <row r="73" spans="1:8" ht="14.25" customHeight="1" x14ac:dyDescent="0.3">
      <c r="A73" s="221" t="s">
        <v>158</v>
      </c>
      <c r="B73" s="1133" t="str">
        <f t="shared" ref="B73:D73" si="24">B15</f>
        <v>Maggi Cubes - مكعبات ماجي</v>
      </c>
      <c r="C73" s="124" t="str">
        <f t="shared" si="24"/>
        <v>gm</v>
      </c>
      <c r="D73" s="116">
        <f t="shared" si="24"/>
        <v>8</v>
      </c>
      <c r="E73" s="126">
        <f t="shared" si="19"/>
        <v>10</v>
      </c>
      <c r="F73" s="127">
        <f t="shared" si="16"/>
        <v>1</v>
      </c>
      <c r="G73" s="81">
        <f t="shared" si="21"/>
        <v>80</v>
      </c>
      <c r="H73" s="120">
        <f t="shared" si="22"/>
        <v>80</v>
      </c>
    </row>
    <row r="74" spans="1:8" ht="19" customHeight="1" x14ac:dyDescent="0.3">
      <c r="A74" s="221" t="s">
        <v>13</v>
      </c>
      <c r="B74" s="1133" t="str">
        <f t="shared" ref="B74:D74" si="25">B16</f>
        <v>Salt - ملح</v>
      </c>
      <c r="C74" s="124" t="str">
        <f t="shared" si="25"/>
        <v>gm</v>
      </c>
      <c r="D74" s="116">
        <f t="shared" si="25"/>
        <v>11</v>
      </c>
      <c r="E74" s="126">
        <f t="shared" si="19"/>
        <v>10</v>
      </c>
      <c r="F74" s="127">
        <f t="shared" si="16"/>
        <v>1</v>
      </c>
      <c r="G74" s="81">
        <f t="shared" si="21"/>
        <v>110</v>
      </c>
      <c r="H74" s="120">
        <f t="shared" si="22"/>
        <v>110</v>
      </c>
    </row>
    <row r="75" spans="1:8" ht="14.25" customHeight="1" x14ac:dyDescent="0.3">
      <c r="B75" s="1134" t="s">
        <v>299</v>
      </c>
      <c r="C75" s="200" t="s">
        <v>285</v>
      </c>
      <c r="D75" s="14"/>
      <c r="E75" s="200" t="s">
        <v>300</v>
      </c>
      <c r="F75" s="14"/>
      <c r="G75" s="890" t="s">
        <v>276</v>
      </c>
      <c r="H75" s="890" t="s">
        <v>733</v>
      </c>
    </row>
    <row r="76" spans="1:8" ht="14.25" customHeight="1" x14ac:dyDescent="0.4">
      <c r="B76" s="1135">
        <f>$J$51</f>
        <v>10000</v>
      </c>
      <c r="C76" s="199">
        <f>E76+G76</f>
        <v>0</v>
      </c>
      <c r="D76" s="930"/>
      <c r="E76" s="199">
        <f>$C$51*$S$44</f>
        <v>0</v>
      </c>
      <c r="F76" s="934"/>
      <c r="G76" s="199">
        <f>$C$51*$T$44</f>
        <v>0</v>
      </c>
      <c r="H76" s="199">
        <f>B76+E76</f>
        <v>10000</v>
      </c>
    </row>
    <row r="77" spans="1:8" ht="14.25" customHeight="1" x14ac:dyDescent="0.3">
      <c r="B77" s="301"/>
      <c r="E77" s="214"/>
      <c r="F77" s="214"/>
    </row>
    <row r="78" spans="1:8" ht="24" customHeight="1" x14ac:dyDescent="0.3">
      <c r="A78" s="962"/>
      <c r="B78" s="1413" t="str">
        <f>"كبسة لحم دفعة  2  / " &amp; COUNTIF($C$51:$C$54, "&gt;0")</f>
        <v>كبسة لحم دفعة  2  / 4</v>
      </c>
      <c r="C78" s="1414"/>
      <c r="D78" s="1414"/>
      <c r="E78" s="1414"/>
      <c r="F78" s="1414"/>
      <c r="G78" s="1414"/>
      <c r="H78" s="1414"/>
    </row>
    <row r="79" spans="1:8" ht="14.25" customHeight="1" x14ac:dyDescent="0.3">
      <c r="A79" s="962"/>
      <c r="B79" s="1382" t="str">
        <f>"Kabsah Laham 2 / " &amp; COUNTIF($C$51:$C$54, "&gt;0")</f>
        <v>Kabsah Laham 2 / 4</v>
      </c>
      <c r="C79" s="1383"/>
      <c r="D79" s="1383"/>
      <c r="E79" s="1383"/>
      <c r="F79" s="1383"/>
      <c r="G79" s="1383"/>
      <c r="H79" s="1383"/>
    </row>
    <row r="80" spans="1:8" ht="26.5" customHeight="1" x14ac:dyDescent="0.25">
      <c r="A80" s="91"/>
      <c r="B80" s="595" t="s">
        <v>253</v>
      </c>
      <c r="C80" s="107" t="s">
        <v>254</v>
      </c>
      <c r="D80" s="91" t="s">
        <v>243</v>
      </c>
      <c r="E80" s="246" t="s">
        <v>306</v>
      </c>
      <c r="F80" s="108" t="s">
        <v>255</v>
      </c>
      <c r="G80" s="91" t="s">
        <v>256</v>
      </c>
      <c r="H80" s="109" t="s">
        <v>257</v>
      </c>
    </row>
    <row r="81" spans="1:8" ht="14.25" customHeight="1" x14ac:dyDescent="0.3">
      <c r="A81" s="221" t="s">
        <v>230</v>
      </c>
      <c r="B81" s="1133" t="str">
        <f t="shared" ref="B81:D88" si="26">B5</f>
        <v>Indian Meat Alana  - لحم هندى ألانا</v>
      </c>
      <c r="C81" s="124" t="str">
        <f t="shared" si="26"/>
        <v>gm</v>
      </c>
      <c r="D81" s="116">
        <f t="shared" si="26"/>
        <v>2040.8163265306125</v>
      </c>
      <c r="E81" s="126">
        <f>H52</f>
        <v>10</v>
      </c>
      <c r="F81" s="127">
        <f t="shared" ref="F81:F88" si="27">F5</f>
        <v>1</v>
      </c>
      <c r="G81" s="119">
        <f t="shared" ref="G81:G88" si="28">D81*E81</f>
        <v>20408.163265306124</v>
      </c>
      <c r="H81" s="120">
        <f t="shared" ref="H81:H88" si="29">G81*F81</f>
        <v>20408.163265306124</v>
      </c>
    </row>
    <row r="82" spans="1:8" x14ac:dyDescent="0.3">
      <c r="A82" s="221" t="s">
        <v>97</v>
      </c>
      <c r="B82" s="1133" t="str">
        <f t="shared" si="26"/>
        <v>Black Pepper Whole - فلفل أسود حب</v>
      </c>
      <c r="C82" s="124" t="str">
        <f t="shared" si="26"/>
        <v>gm</v>
      </c>
      <c r="D82" s="116">
        <f t="shared" si="26"/>
        <v>2</v>
      </c>
      <c r="E82" s="126">
        <f t="shared" ref="E82:E92" si="30">$C$52</f>
        <v>10</v>
      </c>
      <c r="F82" s="127">
        <f t="shared" si="27"/>
        <v>1</v>
      </c>
      <c r="G82" s="81">
        <f t="shared" si="28"/>
        <v>20</v>
      </c>
      <c r="H82" s="120">
        <f t="shared" si="29"/>
        <v>20</v>
      </c>
    </row>
    <row r="83" spans="1:8" ht="14.25" customHeight="1" x14ac:dyDescent="0.3">
      <c r="A83" s="221" t="s">
        <v>97</v>
      </c>
      <c r="B83" s="1133" t="str">
        <f t="shared" si="26"/>
        <v>Cumin Whole - كمون حب</v>
      </c>
      <c r="C83" s="124" t="str">
        <f t="shared" si="26"/>
        <v>gm</v>
      </c>
      <c r="D83" s="116">
        <f t="shared" si="26"/>
        <v>2</v>
      </c>
      <c r="E83" s="126">
        <f t="shared" si="30"/>
        <v>10</v>
      </c>
      <c r="F83" s="127">
        <f t="shared" si="27"/>
        <v>0.95</v>
      </c>
      <c r="G83" s="81">
        <f t="shared" si="28"/>
        <v>20</v>
      </c>
      <c r="H83" s="120">
        <f t="shared" si="29"/>
        <v>19</v>
      </c>
    </row>
    <row r="84" spans="1:8" ht="14" customHeight="1" x14ac:dyDescent="0.3">
      <c r="A84" s="221" t="s">
        <v>97</v>
      </c>
      <c r="B84" s="1133" t="str">
        <f t="shared" si="26"/>
        <v>Cloves Whole - قرنفل حب</v>
      </c>
      <c r="C84" s="124" t="str">
        <f t="shared" si="26"/>
        <v>gm</v>
      </c>
      <c r="D84" s="116">
        <f t="shared" si="26"/>
        <v>2</v>
      </c>
      <c r="E84" s="126">
        <f t="shared" si="30"/>
        <v>10</v>
      </c>
      <c r="F84" s="127">
        <f t="shared" si="27"/>
        <v>0.95</v>
      </c>
      <c r="G84" s="81">
        <f t="shared" si="28"/>
        <v>20</v>
      </c>
      <c r="H84" s="120">
        <f t="shared" si="29"/>
        <v>19</v>
      </c>
    </row>
    <row r="85" spans="1:8" ht="14" customHeight="1" x14ac:dyDescent="0.3">
      <c r="A85" s="221" t="s">
        <v>97</v>
      </c>
      <c r="B85" s="1133" t="str">
        <f t="shared" si="26"/>
        <v>Cinnamon Whole - قرفة أعواد</v>
      </c>
      <c r="C85" s="124" t="str">
        <f t="shared" si="26"/>
        <v>gm</v>
      </c>
      <c r="D85" s="116">
        <f t="shared" si="26"/>
        <v>2</v>
      </c>
      <c r="E85" s="126">
        <f t="shared" si="30"/>
        <v>10</v>
      </c>
      <c r="F85" s="127">
        <f t="shared" si="27"/>
        <v>1</v>
      </c>
      <c r="G85" s="81">
        <f t="shared" si="28"/>
        <v>20</v>
      </c>
      <c r="H85" s="120">
        <f t="shared" si="29"/>
        <v>20</v>
      </c>
    </row>
    <row r="86" spans="1:8" ht="20.25" customHeight="1" x14ac:dyDescent="0.3">
      <c r="A86" s="221" t="s">
        <v>220</v>
      </c>
      <c r="B86" s="1133" t="str">
        <f t="shared" si="26"/>
        <v>لون صفار زعفران بودر - Saffron yellow color powder</v>
      </c>
      <c r="C86" s="124" t="str">
        <f t="shared" si="26"/>
        <v>gm</v>
      </c>
      <c r="D86" s="116">
        <f t="shared" si="26"/>
        <v>5</v>
      </c>
      <c r="E86" s="126">
        <f t="shared" si="30"/>
        <v>10</v>
      </c>
      <c r="F86" s="127">
        <f t="shared" si="27"/>
        <v>1</v>
      </c>
      <c r="G86" s="81">
        <f t="shared" si="28"/>
        <v>50</v>
      </c>
      <c r="H86" s="120">
        <f t="shared" si="29"/>
        <v>50</v>
      </c>
    </row>
    <row r="87" spans="1:8" ht="24" customHeight="1" x14ac:dyDescent="0.3">
      <c r="A87" s="221" t="s">
        <v>97</v>
      </c>
      <c r="B87" s="1133" t="str">
        <f t="shared" si="26"/>
        <v>Cumin Powder - كمون مطحون</v>
      </c>
      <c r="C87" s="124" t="str">
        <f t="shared" si="26"/>
        <v>gm</v>
      </c>
      <c r="D87" s="116">
        <f t="shared" si="26"/>
        <v>6</v>
      </c>
      <c r="E87" s="126">
        <f t="shared" si="30"/>
        <v>10</v>
      </c>
      <c r="F87" s="127">
        <f t="shared" si="27"/>
        <v>1</v>
      </c>
      <c r="G87" s="81">
        <f t="shared" si="28"/>
        <v>60</v>
      </c>
      <c r="H87" s="120">
        <f t="shared" si="29"/>
        <v>60</v>
      </c>
    </row>
    <row r="88" spans="1:8" ht="14.25" customHeight="1" x14ac:dyDescent="0.3">
      <c r="A88" s="221" t="s">
        <v>97</v>
      </c>
      <c r="B88" s="1133" t="str">
        <f t="shared" si="26"/>
        <v>Black Pepper Powder - فلفل أسود مطحون</v>
      </c>
      <c r="C88" s="124" t="str">
        <f t="shared" si="26"/>
        <v>gm</v>
      </c>
      <c r="D88" s="116">
        <f t="shared" si="26"/>
        <v>6</v>
      </c>
      <c r="E88" s="126">
        <f t="shared" si="30"/>
        <v>10</v>
      </c>
      <c r="F88" s="127">
        <f t="shared" si="27"/>
        <v>1</v>
      </c>
      <c r="G88" s="81">
        <f t="shared" si="28"/>
        <v>60</v>
      </c>
      <c r="H88" s="120">
        <f t="shared" si="29"/>
        <v>60</v>
      </c>
    </row>
    <row r="89" spans="1:8" ht="17.75" customHeight="1" x14ac:dyDescent="0.3">
      <c r="A89" s="221"/>
      <c r="B89" s="1133" t="str">
        <f t="shared" ref="B89:D89" si="31">B13</f>
        <v>Butter - زبدة</v>
      </c>
      <c r="C89" s="124" t="str">
        <f t="shared" si="31"/>
        <v>gm</v>
      </c>
      <c r="D89" s="116">
        <f t="shared" si="31"/>
        <v>75</v>
      </c>
      <c r="E89" s="126">
        <f t="shared" si="30"/>
        <v>10</v>
      </c>
      <c r="F89" s="127">
        <f t="shared" ref="F89:F92" si="32">F13</f>
        <v>1</v>
      </c>
      <c r="G89" s="81">
        <f t="shared" ref="G89:G92" si="33">D89*E89</f>
        <v>750</v>
      </c>
      <c r="H89" s="120">
        <f t="shared" ref="H89:H92" si="34">G89*F89</f>
        <v>750</v>
      </c>
    </row>
    <row r="90" spans="1:8" ht="21" customHeight="1" x14ac:dyDescent="0.3">
      <c r="A90" s="221"/>
      <c r="B90" s="1133" t="str">
        <f t="shared" ref="B90:D90" si="35">B14</f>
        <v>Cardamom Whole - هيل حب</v>
      </c>
      <c r="C90" s="124" t="str">
        <f t="shared" si="35"/>
        <v>gm</v>
      </c>
      <c r="D90" s="116">
        <f t="shared" si="35"/>
        <v>6</v>
      </c>
      <c r="E90" s="126">
        <f t="shared" si="30"/>
        <v>10</v>
      </c>
      <c r="F90" s="127">
        <f t="shared" si="32"/>
        <v>1</v>
      </c>
      <c r="G90" s="81">
        <f t="shared" si="33"/>
        <v>60</v>
      </c>
      <c r="H90" s="120">
        <f t="shared" si="34"/>
        <v>60</v>
      </c>
    </row>
    <row r="91" spans="1:8" x14ac:dyDescent="0.3">
      <c r="A91" s="221" t="s">
        <v>158</v>
      </c>
      <c r="B91" s="1133" t="str">
        <f t="shared" ref="B91:D91" si="36">B15</f>
        <v>Maggi Cubes - مكعبات ماجي</v>
      </c>
      <c r="C91" s="124" t="str">
        <f t="shared" si="36"/>
        <v>gm</v>
      </c>
      <c r="D91" s="116">
        <f t="shared" si="36"/>
        <v>8</v>
      </c>
      <c r="E91" s="126">
        <f t="shared" si="30"/>
        <v>10</v>
      </c>
      <c r="F91" s="127">
        <f t="shared" si="32"/>
        <v>1</v>
      </c>
      <c r="G91" s="81">
        <f t="shared" si="33"/>
        <v>80</v>
      </c>
      <c r="H91" s="120">
        <f t="shared" si="34"/>
        <v>80</v>
      </c>
    </row>
    <row r="92" spans="1:8" ht="14.25" customHeight="1" x14ac:dyDescent="0.3">
      <c r="A92" s="221" t="s">
        <v>13</v>
      </c>
      <c r="B92" s="1133" t="str">
        <f t="shared" ref="B92:D92" si="37">B16</f>
        <v>Salt - ملح</v>
      </c>
      <c r="C92" s="124" t="str">
        <f t="shared" si="37"/>
        <v>gm</v>
      </c>
      <c r="D92" s="116">
        <f t="shared" si="37"/>
        <v>11</v>
      </c>
      <c r="E92" s="126">
        <f t="shared" si="30"/>
        <v>10</v>
      </c>
      <c r="F92" s="127">
        <f t="shared" si="32"/>
        <v>1</v>
      </c>
      <c r="G92" s="81">
        <f t="shared" si="33"/>
        <v>110</v>
      </c>
      <c r="H92" s="120">
        <f t="shared" si="34"/>
        <v>110</v>
      </c>
    </row>
    <row r="93" spans="1:8" ht="14.25" customHeight="1" x14ac:dyDescent="0.3">
      <c r="B93" s="1134" t="s">
        <v>299</v>
      </c>
      <c r="C93" s="200" t="s">
        <v>285</v>
      </c>
      <c r="D93" s="14"/>
      <c r="E93" s="200" t="s">
        <v>300</v>
      </c>
      <c r="F93" s="14"/>
      <c r="G93" s="890" t="s">
        <v>276</v>
      </c>
      <c r="H93" s="890" t="s">
        <v>733</v>
      </c>
    </row>
    <row r="94" spans="1:8" ht="14.25" customHeight="1" x14ac:dyDescent="0.4">
      <c r="B94" s="1135">
        <f>$J$52</f>
        <v>10000</v>
      </c>
      <c r="C94" s="199">
        <f>E94+G94</f>
        <v>0</v>
      </c>
      <c r="D94" s="930"/>
      <c r="E94" s="199">
        <f>$C$52*$S$44</f>
        <v>0</v>
      </c>
      <c r="F94" s="934"/>
      <c r="G94" s="199">
        <f>$C$52*$T$44</f>
        <v>0</v>
      </c>
      <c r="H94" s="199">
        <f>B94+E94</f>
        <v>10000</v>
      </c>
    </row>
    <row r="95" spans="1:8" ht="14.25" customHeight="1" x14ac:dyDescent="0.3"/>
    <row r="96" spans="1:8" ht="24" customHeight="1" x14ac:dyDescent="0.3"/>
    <row r="97" spans="1:8" ht="14.25" customHeight="1" x14ac:dyDescent="0.3"/>
    <row r="98" spans="1:8" ht="14.25" customHeight="1" x14ac:dyDescent="0.3">
      <c r="A98" s="962"/>
      <c r="B98" s="1413" t="str">
        <f>"كبسة لحم دفعة  3  / " &amp; COUNTIF($C$51:$C$54, "&gt;0")</f>
        <v>كبسة لحم دفعة  3  / 4</v>
      </c>
      <c r="C98" s="1414"/>
      <c r="D98" s="1414"/>
      <c r="E98" s="1414"/>
      <c r="F98" s="1414"/>
      <c r="G98" s="1414"/>
      <c r="H98" s="1414"/>
    </row>
    <row r="99" spans="1:8" ht="14.25" customHeight="1" x14ac:dyDescent="0.3">
      <c r="A99" s="962"/>
      <c r="B99" s="1382" t="str">
        <f>"Kabsah Laham 3 / " &amp; COUNTIF($C$51:$C$54, "&gt;0")</f>
        <v>Kabsah Laham 3 / 4</v>
      </c>
      <c r="C99" s="1383"/>
      <c r="D99" s="1383"/>
      <c r="E99" s="1383"/>
      <c r="F99" s="1383"/>
      <c r="G99" s="1383"/>
      <c r="H99" s="1383"/>
    </row>
    <row r="100" spans="1:8" ht="24.5" customHeight="1" x14ac:dyDescent="0.25">
      <c r="A100" s="91"/>
      <c r="B100" s="595" t="s">
        <v>253</v>
      </c>
      <c r="C100" s="107" t="s">
        <v>254</v>
      </c>
      <c r="D100" s="91" t="s">
        <v>243</v>
      </c>
      <c r="E100" s="246" t="s">
        <v>306</v>
      </c>
      <c r="F100" s="108" t="s">
        <v>255</v>
      </c>
      <c r="G100" s="91" t="s">
        <v>256</v>
      </c>
      <c r="H100" s="109" t="s">
        <v>257</v>
      </c>
    </row>
    <row r="101" spans="1:8" ht="14.25" customHeight="1" x14ac:dyDescent="0.3">
      <c r="A101" s="221" t="s">
        <v>230</v>
      </c>
      <c r="B101" s="1133" t="str">
        <f t="shared" ref="B101:D108" si="38">B5</f>
        <v>Indian Meat Alana  - لحم هندى ألانا</v>
      </c>
      <c r="C101" s="124" t="str">
        <f t="shared" si="38"/>
        <v>gm</v>
      </c>
      <c r="D101" s="116">
        <f t="shared" si="38"/>
        <v>2040.8163265306125</v>
      </c>
      <c r="E101" s="126">
        <f>H53</f>
        <v>10</v>
      </c>
      <c r="F101" s="127">
        <f t="shared" ref="F101:F108" si="39">F5</f>
        <v>1</v>
      </c>
      <c r="G101" s="121">
        <f t="shared" ref="G101:G108" si="40">D101*E101</f>
        <v>20408.163265306124</v>
      </c>
      <c r="H101" s="120">
        <f t="shared" ref="H101:H108" si="41">G101*F101</f>
        <v>20408.163265306124</v>
      </c>
    </row>
    <row r="102" spans="1:8" x14ac:dyDescent="0.3">
      <c r="A102" s="221" t="s">
        <v>97</v>
      </c>
      <c r="B102" s="1133" t="str">
        <f t="shared" si="38"/>
        <v>Black Pepper Whole - فلفل أسود حب</v>
      </c>
      <c r="C102" s="124" t="str">
        <f t="shared" si="38"/>
        <v>gm</v>
      </c>
      <c r="D102" s="116">
        <f t="shared" si="38"/>
        <v>2</v>
      </c>
      <c r="E102" s="126">
        <f t="shared" ref="E102:E112" si="42">$C$53</f>
        <v>10</v>
      </c>
      <c r="F102" s="127">
        <f t="shared" si="39"/>
        <v>1</v>
      </c>
      <c r="G102" s="121">
        <f t="shared" si="40"/>
        <v>20</v>
      </c>
      <c r="H102" s="120">
        <f t="shared" si="41"/>
        <v>20</v>
      </c>
    </row>
    <row r="103" spans="1:8" ht="14.25" customHeight="1" x14ac:dyDescent="0.3">
      <c r="A103" s="221" t="s">
        <v>97</v>
      </c>
      <c r="B103" s="1133" t="str">
        <f t="shared" si="38"/>
        <v>Cumin Whole - كمون حب</v>
      </c>
      <c r="C103" s="124" t="str">
        <f t="shared" si="38"/>
        <v>gm</v>
      </c>
      <c r="D103" s="116">
        <f t="shared" si="38"/>
        <v>2</v>
      </c>
      <c r="E103" s="126">
        <f t="shared" si="42"/>
        <v>10</v>
      </c>
      <c r="F103" s="127">
        <f t="shared" si="39"/>
        <v>0.95</v>
      </c>
      <c r="G103" s="121">
        <f t="shared" si="40"/>
        <v>20</v>
      </c>
      <c r="H103" s="120">
        <f t="shared" si="41"/>
        <v>19</v>
      </c>
    </row>
    <row r="104" spans="1:8" ht="14.25" customHeight="1" x14ac:dyDescent="0.3">
      <c r="A104" s="221" t="s">
        <v>97</v>
      </c>
      <c r="B104" s="1133" t="str">
        <f t="shared" si="38"/>
        <v>Cloves Whole - قرنفل حب</v>
      </c>
      <c r="C104" s="124" t="str">
        <f t="shared" si="38"/>
        <v>gm</v>
      </c>
      <c r="D104" s="116">
        <f t="shared" si="38"/>
        <v>2</v>
      </c>
      <c r="E104" s="126">
        <f t="shared" si="42"/>
        <v>10</v>
      </c>
      <c r="F104" s="127">
        <f t="shared" si="39"/>
        <v>0.95</v>
      </c>
      <c r="G104" s="121">
        <f t="shared" si="40"/>
        <v>20</v>
      </c>
      <c r="H104" s="120">
        <f t="shared" si="41"/>
        <v>19</v>
      </c>
    </row>
    <row r="105" spans="1:8" ht="14.25" customHeight="1" x14ac:dyDescent="0.3">
      <c r="A105" s="221" t="s">
        <v>97</v>
      </c>
      <c r="B105" s="1133" t="str">
        <f t="shared" si="38"/>
        <v>Cinnamon Whole - قرفة أعواد</v>
      </c>
      <c r="C105" s="124" t="str">
        <f t="shared" si="38"/>
        <v>gm</v>
      </c>
      <c r="D105" s="116">
        <f t="shared" si="38"/>
        <v>2</v>
      </c>
      <c r="E105" s="126">
        <f t="shared" si="42"/>
        <v>10</v>
      </c>
      <c r="F105" s="127">
        <f t="shared" si="39"/>
        <v>1</v>
      </c>
      <c r="G105" s="121">
        <f t="shared" si="40"/>
        <v>20</v>
      </c>
      <c r="H105" s="120">
        <f t="shared" si="41"/>
        <v>20</v>
      </c>
    </row>
    <row r="106" spans="1:8" ht="14.25" customHeight="1" x14ac:dyDescent="0.3">
      <c r="A106" s="221" t="s">
        <v>220</v>
      </c>
      <c r="B106" s="1133" t="str">
        <f t="shared" si="38"/>
        <v>لون صفار زعفران بودر - Saffron yellow color powder</v>
      </c>
      <c r="C106" s="124" t="str">
        <f t="shared" si="38"/>
        <v>gm</v>
      </c>
      <c r="D106" s="116">
        <f t="shared" si="38"/>
        <v>5</v>
      </c>
      <c r="E106" s="126">
        <f t="shared" si="42"/>
        <v>10</v>
      </c>
      <c r="F106" s="127">
        <f t="shared" si="39"/>
        <v>1</v>
      </c>
      <c r="G106" s="121">
        <f t="shared" si="40"/>
        <v>50</v>
      </c>
      <c r="H106" s="120">
        <f t="shared" si="41"/>
        <v>50</v>
      </c>
    </row>
    <row r="107" spans="1:8" ht="14.25" customHeight="1" x14ac:dyDescent="0.3">
      <c r="A107" s="221" t="s">
        <v>97</v>
      </c>
      <c r="B107" s="1133" t="str">
        <f t="shared" si="38"/>
        <v>Cumin Powder - كمون مطحون</v>
      </c>
      <c r="C107" s="124" t="str">
        <f t="shared" si="38"/>
        <v>gm</v>
      </c>
      <c r="D107" s="116">
        <f t="shared" si="38"/>
        <v>6</v>
      </c>
      <c r="E107" s="126">
        <f t="shared" si="42"/>
        <v>10</v>
      </c>
      <c r="F107" s="127">
        <f t="shared" si="39"/>
        <v>1</v>
      </c>
      <c r="G107" s="121">
        <f t="shared" si="40"/>
        <v>60</v>
      </c>
      <c r="H107" s="120">
        <f t="shared" si="41"/>
        <v>60</v>
      </c>
    </row>
    <row r="108" spans="1:8" ht="25.5" customHeight="1" x14ac:dyDescent="0.3">
      <c r="A108" s="221" t="s">
        <v>97</v>
      </c>
      <c r="B108" s="1133" t="str">
        <f t="shared" si="38"/>
        <v>Black Pepper Powder - فلفل أسود مطحون</v>
      </c>
      <c r="C108" s="124" t="str">
        <f t="shared" si="38"/>
        <v>gm</v>
      </c>
      <c r="D108" s="116">
        <f t="shared" si="38"/>
        <v>6</v>
      </c>
      <c r="E108" s="126">
        <f t="shared" si="42"/>
        <v>10</v>
      </c>
      <c r="F108" s="127">
        <f t="shared" si="39"/>
        <v>1</v>
      </c>
      <c r="G108" s="121">
        <f t="shared" si="40"/>
        <v>60</v>
      </c>
      <c r="H108" s="120">
        <f t="shared" si="41"/>
        <v>60</v>
      </c>
    </row>
    <row r="109" spans="1:8" ht="14.25" customHeight="1" x14ac:dyDescent="0.3">
      <c r="A109" s="221" t="s">
        <v>97</v>
      </c>
      <c r="B109" s="1133" t="str">
        <f t="shared" ref="B109:D109" si="43">B13</f>
        <v>Butter - زبدة</v>
      </c>
      <c r="C109" s="124" t="str">
        <f t="shared" si="43"/>
        <v>gm</v>
      </c>
      <c r="D109" s="116">
        <f t="shared" si="43"/>
        <v>75</v>
      </c>
      <c r="E109" s="126">
        <f t="shared" si="42"/>
        <v>10</v>
      </c>
      <c r="F109" s="127">
        <f t="shared" ref="F109:F112" si="44">F13</f>
        <v>1</v>
      </c>
      <c r="G109" s="121">
        <f t="shared" ref="G109:G112" si="45">D109*E109</f>
        <v>750</v>
      </c>
      <c r="H109" s="120">
        <f t="shared" ref="H109:H112" si="46">G109*F109</f>
        <v>750</v>
      </c>
    </row>
    <row r="110" spans="1:8" ht="14.25" customHeight="1" x14ac:dyDescent="0.3">
      <c r="A110" s="221" t="s">
        <v>97</v>
      </c>
      <c r="B110" s="1133" t="str">
        <f t="shared" ref="B110:D110" si="47">B14</f>
        <v>Cardamom Whole - هيل حب</v>
      </c>
      <c r="C110" s="124" t="str">
        <f t="shared" si="47"/>
        <v>gm</v>
      </c>
      <c r="D110" s="116">
        <f t="shared" si="47"/>
        <v>6</v>
      </c>
      <c r="E110" s="126">
        <f t="shared" si="42"/>
        <v>10</v>
      </c>
      <c r="F110" s="127">
        <f t="shared" si="44"/>
        <v>1</v>
      </c>
      <c r="G110" s="121">
        <f t="shared" si="45"/>
        <v>60</v>
      </c>
      <c r="H110" s="120">
        <f t="shared" si="46"/>
        <v>60</v>
      </c>
    </row>
    <row r="111" spans="1:8" ht="14.25" customHeight="1" x14ac:dyDescent="0.3">
      <c r="A111" s="221" t="s">
        <v>97</v>
      </c>
      <c r="B111" s="1133" t="str">
        <f t="shared" ref="B111:D111" si="48">B15</f>
        <v>Maggi Cubes - مكعبات ماجي</v>
      </c>
      <c r="C111" s="124" t="str">
        <f t="shared" si="48"/>
        <v>gm</v>
      </c>
      <c r="D111" s="116">
        <f t="shared" si="48"/>
        <v>8</v>
      </c>
      <c r="E111" s="126">
        <f t="shared" si="42"/>
        <v>10</v>
      </c>
      <c r="F111" s="127">
        <f t="shared" si="44"/>
        <v>1</v>
      </c>
      <c r="G111" s="121">
        <f t="shared" si="45"/>
        <v>80</v>
      </c>
      <c r="H111" s="120">
        <f t="shared" si="46"/>
        <v>80</v>
      </c>
    </row>
    <row r="112" spans="1:8" ht="14.25" customHeight="1" x14ac:dyDescent="0.3">
      <c r="A112" s="221" t="s">
        <v>97</v>
      </c>
      <c r="B112" s="1133" t="str">
        <f t="shared" ref="B112:D112" si="49">B16</f>
        <v>Salt - ملح</v>
      </c>
      <c r="C112" s="124" t="str">
        <f t="shared" si="49"/>
        <v>gm</v>
      </c>
      <c r="D112" s="116">
        <f t="shared" si="49"/>
        <v>11</v>
      </c>
      <c r="E112" s="126">
        <f t="shared" si="42"/>
        <v>10</v>
      </c>
      <c r="F112" s="127">
        <f t="shared" si="44"/>
        <v>1</v>
      </c>
      <c r="G112" s="121">
        <f t="shared" si="45"/>
        <v>110</v>
      </c>
      <c r="H112" s="120">
        <f t="shared" si="46"/>
        <v>110</v>
      </c>
    </row>
    <row r="113" spans="1:8" ht="20.25" customHeight="1" x14ac:dyDescent="0.3">
      <c r="A113" s="79"/>
      <c r="B113" s="1134" t="s">
        <v>299</v>
      </c>
      <c r="C113" s="200" t="s">
        <v>285</v>
      </c>
      <c r="D113" s="14"/>
      <c r="E113" s="200" t="s">
        <v>300</v>
      </c>
      <c r="F113" s="14"/>
      <c r="G113" s="890" t="s">
        <v>276</v>
      </c>
      <c r="H113" s="890" t="s">
        <v>733</v>
      </c>
    </row>
    <row r="114" spans="1:8" ht="20" x14ac:dyDescent="0.4">
      <c r="A114" s="79"/>
      <c r="B114" s="1135">
        <f>$J$53</f>
        <v>10000</v>
      </c>
      <c r="C114" s="199">
        <f>E114+G114</f>
        <v>0</v>
      </c>
      <c r="D114" s="945"/>
      <c r="E114" s="199">
        <f>$C$53*$S$44</f>
        <v>0</v>
      </c>
      <c r="F114" s="945"/>
      <c r="G114" s="199">
        <f>$C$53*$T$44</f>
        <v>0</v>
      </c>
      <c r="H114" s="199">
        <f>B114+E114</f>
        <v>10000</v>
      </c>
    </row>
    <row r="115" spans="1:8" x14ac:dyDescent="0.3">
      <c r="B115" s="301"/>
      <c r="E115" s="214"/>
      <c r="F115" s="214"/>
    </row>
    <row r="116" spans="1:8" x14ac:dyDescent="0.3">
      <c r="B116" s="301"/>
      <c r="E116" s="214"/>
      <c r="F116" s="214"/>
    </row>
    <row r="117" spans="1:8" x14ac:dyDescent="0.3">
      <c r="A117" s="962"/>
      <c r="B117" s="1413" t="str">
        <f>"كبسة لحم دفعة  4  / " &amp; COUNTIF($C$51:$C$54, "&gt;0")</f>
        <v>كبسة لحم دفعة  4  / 4</v>
      </c>
      <c r="C117" s="1414"/>
      <c r="D117" s="1414"/>
      <c r="E117" s="1414"/>
      <c r="F117" s="1414"/>
      <c r="G117" s="1414"/>
      <c r="H117" s="1414"/>
    </row>
    <row r="118" spans="1:8" ht="17.75" customHeight="1" x14ac:dyDescent="0.3">
      <c r="A118" s="962"/>
      <c r="B118" s="1382" t="str">
        <f>"Kabsah Laham 4 / " &amp; COUNTIF($C$51:$C$54, "&gt;0")</f>
        <v>Kabsah Laham 4 / 4</v>
      </c>
      <c r="C118" s="1383"/>
      <c r="D118" s="1383"/>
      <c r="E118" s="1383"/>
      <c r="F118" s="1383"/>
      <c r="G118" s="1383"/>
      <c r="H118" s="1383"/>
    </row>
    <row r="119" spans="1:8" ht="29.5" customHeight="1" x14ac:dyDescent="0.25">
      <c r="A119" s="91"/>
      <c r="B119" s="595" t="s">
        <v>253</v>
      </c>
      <c r="C119" s="107" t="s">
        <v>254</v>
      </c>
      <c r="D119" s="91" t="s">
        <v>243</v>
      </c>
      <c r="E119" s="246" t="s">
        <v>306</v>
      </c>
      <c r="F119" s="108" t="s">
        <v>255</v>
      </c>
      <c r="G119" s="91" t="s">
        <v>256</v>
      </c>
      <c r="H119" s="109" t="s">
        <v>257</v>
      </c>
    </row>
    <row r="120" spans="1:8" x14ac:dyDescent="0.3">
      <c r="A120" s="221" t="s">
        <v>230</v>
      </c>
      <c r="B120" s="1133" t="str">
        <f t="shared" ref="B120:D127" si="50">B5</f>
        <v>Indian Meat Alana  - لحم هندى ألانا</v>
      </c>
      <c r="C120" s="124" t="str">
        <f t="shared" si="50"/>
        <v>gm</v>
      </c>
      <c r="D120" s="120">
        <f t="shared" si="50"/>
        <v>2040.8163265306125</v>
      </c>
      <c r="E120" s="126">
        <f>H54</f>
        <v>2.1499999999999986</v>
      </c>
      <c r="F120" s="127">
        <f t="shared" ref="F120:F127" si="51">F5</f>
        <v>1</v>
      </c>
      <c r="G120" s="119">
        <f t="shared" ref="G120:G127" si="52">D120*E120</f>
        <v>4387.7551020408137</v>
      </c>
      <c r="H120" s="120">
        <f t="shared" ref="H120:H127" si="53">G120*F120</f>
        <v>4387.7551020408137</v>
      </c>
    </row>
    <row r="121" spans="1:8" x14ac:dyDescent="0.3">
      <c r="A121" s="221" t="s">
        <v>97</v>
      </c>
      <c r="B121" s="1133" t="str">
        <f t="shared" si="50"/>
        <v>Black Pepper Whole - فلفل أسود حب</v>
      </c>
      <c r="C121" s="124" t="str">
        <f t="shared" si="50"/>
        <v>gm</v>
      </c>
      <c r="D121" s="120">
        <f t="shared" si="50"/>
        <v>2</v>
      </c>
      <c r="E121" s="126">
        <f t="shared" ref="E121:E131" si="54">$C$54</f>
        <v>2.1499999999999986</v>
      </c>
      <c r="F121" s="127">
        <f t="shared" si="51"/>
        <v>1</v>
      </c>
      <c r="G121" s="81">
        <f t="shared" si="52"/>
        <v>4.2999999999999972</v>
      </c>
      <c r="H121" s="120">
        <f t="shared" si="53"/>
        <v>4.2999999999999972</v>
      </c>
    </row>
    <row r="122" spans="1:8" ht="14.25" customHeight="1" x14ac:dyDescent="0.3">
      <c r="A122" s="221" t="s">
        <v>97</v>
      </c>
      <c r="B122" s="1133" t="str">
        <f t="shared" si="50"/>
        <v>Cumin Whole - كمون حب</v>
      </c>
      <c r="C122" s="124" t="str">
        <f t="shared" si="50"/>
        <v>gm</v>
      </c>
      <c r="D122" s="120">
        <f t="shared" si="50"/>
        <v>2</v>
      </c>
      <c r="E122" s="126">
        <f t="shared" si="54"/>
        <v>2.1499999999999986</v>
      </c>
      <c r="F122" s="127">
        <f t="shared" si="51"/>
        <v>0.95</v>
      </c>
      <c r="G122" s="81">
        <f t="shared" si="52"/>
        <v>4.2999999999999972</v>
      </c>
      <c r="H122" s="120">
        <f t="shared" si="53"/>
        <v>4.0849999999999973</v>
      </c>
    </row>
    <row r="123" spans="1:8" ht="14.25" customHeight="1" x14ac:dyDescent="0.3">
      <c r="A123" s="221" t="s">
        <v>97</v>
      </c>
      <c r="B123" s="1133" t="str">
        <f t="shared" si="50"/>
        <v>Cloves Whole - قرنفل حب</v>
      </c>
      <c r="C123" s="124" t="str">
        <f t="shared" si="50"/>
        <v>gm</v>
      </c>
      <c r="D123" s="120">
        <f t="shared" si="50"/>
        <v>2</v>
      </c>
      <c r="E123" s="126">
        <f t="shared" si="54"/>
        <v>2.1499999999999986</v>
      </c>
      <c r="F123" s="127">
        <f t="shared" si="51"/>
        <v>0.95</v>
      </c>
      <c r="G123" s="81">
        <f t="shared" si="52"/>
        <v>4.2999999999999972</v>
      </c>
      <c r="H123" s="120">
        <f t="shared" si="53"/>
        <v>4.0849999999999973</v>
      </c>
    </row>
    <row r="124" spans="1:8" ht="14.25" customHeight="1" x14ac:dyDescent="0.3">
      <c r="A124" s="221" t="s">
        <v>97</v>
      </c>
      <c r="B124" s="1133" t="str">
        <f t="shared" si="50"/>
        <v>Cinnamon Whole - قرفة أعواد</v>
      </c>
      <c r="C124" s="124" t="str">
        <f t="shared" si="50"/>
        <v>gm</v>
      </c>
      <c r="D124" s="120">
        <f t="shared" si="50"/>
        <v>2</v>
      </c>
      <c r="E124" s="126">
        <f t="shared" si="54"/>
        <v>2.1499999999999986</v>
      </c>
      <c r="F124" s="127">
        <f t="shared" si="51"/>
        <v>1</v>
      </c>
      <c r="G124" s="81">
        <f t="shared" si="52"/>
        <v>4.2999999999999972</v>
      </c>
      <c r="H124" s="120">
        <f t="shared" si="53"/>
        <v>4.2999999999999972</v>
      </c>
    </row>
    <row r="125" spans="1:8" ht="20.5" customHeight="1" x14ac:dyDescent="0.3">
      <c r="A125" s="221" t="s">
        <v>220</v>
      </c>
      <c r="B125" s="1133" t="str">
        <f t="shared" si="50"/>
        <v>لون صفار زعفران بودر - Saffron yellow color powder</v>
      </c>
      <c r="C125" s="124" t="str">
        <f t="shared" si="50"/>
        <v>gm</v>
      </c>
      <c r="D125" s="120">
        <f t="shared" si="50"/>
        <v>5</v>
      </c>
      <c r="E125" s="126">
        <f t="shared" si="54"/>
        <v>2.1499999999999986</v>
      </c>
      <c r="F125" s="127">
        <f t="shared" si="51"/>
        <v>1</v>
      </c>
      <c r="G125" s="81">
        <f t="shared" si="52"/>
        <v>10.749999999999993</v>
      </c>
      <c r="H125" s="120">
        <f t="shared" si="53"/>
        <v>10.749999999999993</v>
      </c>
    </row>
    <row r="126" spans="1:8" ht="14.25" customHeight="1" x14ac:dyDescent="0.3">
      <c r="A126" s="221" t="s">
        <v>97</v>
      </c>
      <c r="B126" s="1133" t="str">
        <f t="shared" si="50"/>
        <v>Cumin Powder - كمون مطحون</v>
      </c>
      <c r="C126" s="124" t="str">
        <f t="shared" si="50"/>
        <v>gm</v>
      </c>
      <c r="D126" s="120">
        <f t="shared" si="50"/>
        <v>6</v>
      </c>
      <c r="E126" s="126">
        <f t="shared" si="54"/>
        <v>2.1499999999999986</v>
      </c>
      <c r="F126" s="127">
        <f t="shared" si="51"/>
        <v>1</v>
      </c>
      <c r="G126" s="81">
        <f t="shared" si="52"/>
        <v>12.899999999999991</v>
      </c>
      <c r="H126" s="120">
        <f t="shared" si="53"/>
        <v>12.899999999999991</v>
      </c>
    </row>
    <row r="127" spans="1:8" ht="14.25" customHeight="1" x14ac:dyDescent="0.3">
      <c r="A127" s="221" t="s">
        <v>97</v>
      </c>
      <c r="B127" s="1133" t="str">
        <f t="shared" si="50"/>
        <v>Black Pepper Powder - فلفل أسود مطحون</v>
      </c>
      <c r="C127" s="124" t="str">
        <f t="shared" si="50"/>
        <v>gm</v>
      </c>
      <c r="D127" s="120">
        <f t="shared" si="50"/>
        <v>6</v>
      </c>
      <c r="E127" s="126">
        <f t="shared" si="54"/>
        <v>2.1499999999999986</v>
      </c>
      <c r="F127" s="127">
        <f t="shared" si="51"/>
        <v>1</v>
      </c>
      <c r="G127" s="81">
        <f t="shared" si="52"/>
        <v>12.899999999999991</v>
      </c>
      <c r="H127" s="120">
        <f t="shared" si="53"/>
        <v>12.899999999999991</v>
      </c>
    </row>
    <row r="128" spans="1:8" ht="14.25" customHeight="1" x14ac:dyDescent="0.3">
      <c r="A128" s="221" t="s">
        <v>97</v>
      </c>
      <c r="B128" s="1133" t="str">
        <f t="shared" ref="B128:D128" si="55">B13</f>
        <v>Butter - زبدة</v>
      </c>
      <c r="C128" s="124" t="str">
        <f t="shared" si="55"/>
        <v>gm</v>
      </c>
      <c r="D128" s="120">
        <f t="shared" si="55"/>
        <v>75</v>
      </c>
      <c r="E128" s="126">
        <f t="shared" si="54"/>
        <v>2.1499999999999986</v>
      </c>
      <c r="F128" s="127">
        <f t="shared" ref="F128:F130" si="56">F13</f>
        <v>1</v>
      </c>
      <c r="G128" s="81">
        <f t="shared" ref="G128:G131" si="57">D128*E128</f>
        <v>161.24999999999989</v>
      </c>
      <c r="H128" s="120">
        <f t="shared" ref="H128:H131" si="58">G128*F128</f>
        <v>161.24999999999989</v>
      </c>
    </row>
    <row r="129" spans="1:8" ht="14.25" customHeight="1" x14ac:dyDescent="0.3">
      <c r="A129" s="221" t="s">
        <v>97</v>
      </c>
      <c r="B129" s="1133" t="str">
        <f t="shared" ref="B129:D129" si="59">B14</f>
        <v>Cardamom Whole - هيل حب</v>
      </c>
      <c r="C129" s="124" t="str">
        <f t="shared" si="59"/>
        <v>gm</v>
      </c>
      <c r="D129" s="120">
        <f t="shared" si="59"/>
        <v>6</v>
      </c>
      <c r="E129" s="126">
        <f t="shared" si="54"/>
        <v>2.1499999999999986</v>
      </c>
      <c r="F129" s="127">
        <f t="shared" si="56"/>
        <v>1</v>
      </c>
      <c r="G129" s="81">
        <f t="shared" si="57"/>
        <v>12.899999999999991</v>
      </c>
      <c r="H129" s="120">
        <f t="shared" si="58"/>
        <v>12.899999999999991</v>
      </c>
    </row>
    <row r="130" spans="1:8" ht="14.25" customHeight="1" x14ac:dyDescent="0.3">
      <c r="A130" s="221" t="s">
        <v>97</v>
      </c>
      <c r="B130" s="1133" t="str">
        <f t="shared" ref="B130:D130" si="60">B15</f>
        <v>Maggi Cubes - مكعبات ماجي</v>
      </c>
      <c r="C130" s="124" t="str">
        <f t="shared" si="60"/>
        <v>gm</v>
      </c>
      <c r="D130" s="120">
        <f t="shared" si="60"/>
        <v>8</v>
      </c>
      <c r="E130" s="126">
        <f t="shared" si="54"/>
        <v>2.1499999999999986</v>
      </c>
      <c r="F130" s="127">
        <f t="shared" si="56"/>
        <v>1</v>
      </c>
      <c r="G130" s="81">
        <f t="shared" si="57"/>
        <v>17.199999999999989</v>
      </c>
      <c r="H130" s="120">
        <f t="shared" si="58"/>
        <v>17.199999999999989</v>
      </c>
    </row>
    <row r="131" spans="1:8" ht="14.25" customHeight="1" x14ac:dyDescent="0.3">
      <c r="A131" s="221" t="s">
        <v>97</v>
      </c>
      <c r="B131" s="1133" t="str">
        <f>B16</f>
        <v>Salt - ملح</v>
      </c>
      <c r="C131" s="124" t="str">
        <f>C16</f>
        <v>gm</v>
      </c>
      <c r="D131" s="120">
        <f>D16</f>
        <v>11</v>
      </c>
      <c r="E131" s="126">
        <f t="shared" si="54"/>
        <v>2.1499999999999986</v>
      </c>
      <c r="F131" s="127">
        <f>F16</f>
        <v>1</v>
      </c>
      <c r="G131" s="81">
        <f t="shared" si="57"/>
        <v>23.649999999999984</v>
      </c>
      <c r="H131" s="120">
        <f t="shared" si="58"/>
        <v>23.649999999999984</v>
      </c>
    </row>
    <row r="132" spans="1:8" ht="14.25" customHeight="1" x14ac:dyDescent="0.3">
      <c r="A132" s="79"/>
      <c r="B132" s="1134" t="s">
        <v>299</v>
      </c>
      <c r="C132" s="200" t="s">
        <v>285</v>
      </c>
      <c r="D132" s="14"/>
      <c r="E132" s="200" t="s">
        <v>300</v>
      </c>
      <c r="F132" s="14"/>
      <c r="G132" s="890" t="s">
        <v>276</v>
      </c>
      <c r="H132" s="890" t="s">
        <v>733</v>
      </c>
    </row>
    <row r="133" spans="1:8" ht="21.5" customHeight="1" x14ac:dyDescent="0.4">
      <c r="A133" s="79"/>
      <c r="B133" s="1135">
        <f>$J$54</f>
        <v>2150</v>
      </c>
      <c r="C133" s="199">
        <f>E133+G133</f>
        <v>0</v>
      </c>
      <c r="D133" s="945"/>
      <c r="E133" s="199">
        <f>$C$54*$S$44</f>
        <v>0</v>
      </c>
      <c r="F133" s="945"/>
      <c r="G133" s="199">
        <f>$C$54*$T$44</f>
        <v>0</v>
      </c>
      <c r="H133" s="199">
        <f>B133+E133</f>
        <v>2150</v>
      </c>
    </row>
    <row r="134" spans="1:8" ht="14.25" customHeight="1" x14ac:dyDescent="0.3">
      <c r="B134" s="301"/>
      <c r="E134" s="214"/>
      <c r="F134" s="214"/>
    </row>
    <row r="135" spans="1:8" ht="21.5" customHeight="1" x14ac:dyDescent="0.3">
      <c r="B135" s="301"/>
      <c r="E135" s="214"/>
      <c r="F135" s="214"/>
    </row>
    <row r="136" spans="1:8" ht="14.25" customHeight="1" x14ac:dyDescent="0.3">
      <c r="B136" s="301"/>
      <c r="E136" s="214"/>
      <c r="F136" s="214"/>
    </row>
    <row r="137" spans="1:8" ht="14.25" customHeight="1" x14ac:dyDescent="0.3">
      <c r="B137" s="247"/>
    </row>
    <row r="138" spans="1:8" ht="14.25" customHeight="1" x14ac:dyDescent="0.3">
      <c r="B138" s="247"/>
    </row>
    <row r="139" spans="1:8" ht="14.25" customHeight="1" x14ac:dyDescent="0.3"/>
    <row r="140" spans="1:8" ht="14.25" customHeight="1" x14ac:dyDescent="0.3"/>
    <row r="141" spans="1:8" ht="14.25" customHeight="1" x14ac:dyDescent="0.3"/>
    <row r="142" spans="1:8" ht="20.25" customHeight="1" x14ac:dyDescent="0.3"/>
    <row r="143" spans="1:8" ht="25.25" customHeight="1" x14ac:dyDescent="0.3"/>
    <row r="144" spans="1:8" ht="14.25" customHeight="1" x14ac:dyDescent="0.3"/>
    <row r="145" ht="14.25" customHeight="1" x14ac:dyDescent="0.3"/>
    <row r="146" ht="17.75" customHeight="1" x14ac:dyDescent="0.3"/>
    <row r="147" ht="17.75" customHeight="1" x14ac:dyDescent="0.3"/>
    <row r="148" ht="56.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20.25" customHeight="1" x14ac:dyDescent="0.3"/>
    <row r="171" ht="24" customHeight="1" x14ac:dyDescent="0.3"/>
    <row r="172" ht="14.25" customHeight="1" x14ac:dyDescent="0.3"/>
    <row r="173" ht="14.25" customHeight="1" x14ac:dyDescent="0.3"/>
    <row r="174" ht="14.25" customHeight="1" x14ac:dyDescent="0.3"/>
    <row r="175" ht="18" customHeight="1" x14ac:dyDescent="0.3"/>
    <row r="176" ht="18" customHeight="1" x14ac:dyDescent="0.3"/>
  </sheetData>
  <mergeCells count="12">
    <mergeCell ref="B98:H98"/>
    <mergeCell ref="B118:H118"/>
    <mergeCell ref="B78:H78"/>
    <mergeCell ref="B2:H3"/>
    <mergeCell ref="R26:U26"/>
    <mergeCell ref="B79:H79"/>
    <mergeCell ref="R25:U25"/>
    <mergeCell ref="B61:H61"/>
    <mergeCell ref="B117:H117"/>
    <mergeCell ref="B33:F33"/>
    <mergeCell ref="B99:H99"/>
    <mergeCell ref="B60:H60"/>
  </mergeCells>
  <printOptions horizontalCentered="1"/>
  <pageMargins left="0.5" right="0.5" top="1" bottom="0.5" header="0.3" footer="0.511811023622047"/>
  <pageSetup paperSize="9" scale="2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B050"/>
    <pageSetUpPr fitToPage="1"/>
  </sheetPr>
  <dimension ref="A1:AT86"/>
  <sheetViews>
    <sheetView topLeftCell="B7" zoomScale="83" zoomScaleNormal="55" workbookViewId="0">
      <selection activeCell="D53" sqref="D53:D54"/>
    </sheetView>
  </sheetViews>
  <sheetFormatPr defaultColWidth="12.5" defaultRowHeight="14" x14ac:dyDescent="0.3"/>
  <cols>
    <col min="1" max="1" width="12.5" style="1" customWidth="1"/>
    <col min="2" max="2" width="33.9140625" customWidth="1"/>
    <col min="3" max="3" width="23.9140625" customWidth="1"/>
    <col min="4" max="4" width="23.08203125" customWidth="1"/>
    <col min="5" max="5" width="16.1640625" customWidth="1"/>
    <col min="6" max="6" width="27" customWidth="1"/>
    <col min="7" max="7" width="25.1640625" customWidth="1"/>
    <col min="8" max="8" width="36.1640625" customWidth="1"/>
    <col min="9" max="9" width="15.1640625" customWidth="1"/>
    <col min="10" max="10" width="15.58203125" customWidth="1"/>
    <col min="12" max="12" width="8.33203125" customWidth="1"/>
    <col min="13" max="14" width="5.08203125" customWidth="1"/>
    <col min="18" max="18" width="46.5" customWidth="1"/>
    <col min="28" max="28" width="13.1640625" bestFit="1" customWidth="1"/>
    <col min="29" max="29" width="11" bestFit="1" customWidth="1"/>
    <col min="30" max="30" width="13.1640625" bestFit="1" customWidth="1"/>
    <col min="31" max="31" width="11.75" customWidth="1"/>
    <col min="32" max="32" width="8.6640625" bestFit="1" customWidth="1"/>
    <col min="33" max="34" width="4.1640625" customWidth="1"/>
    <col min="36" max="36" width="29.83203125" customWidth="1"/>
    <col min="42" max="42" width="19.58203125" customWidth="1"/>
  </cols>
  <sheetData>
    <row r="1" spans="1:46" s="133" customFormat="1" ht="35.25" customHeight="1" x14ac:dyDescent="0.3">
      <c r="A1" s="264"/>
      <c r="B1" s="80" t="s">
        <v>243</v>
      </c>
      <c r="C1" s="81">
        <v>1000</v>
      </c>
      <c r="D1" s="82" t="s">
        <v>244</v>
      </c>
      <c r="E1" s="117">
        <f>T32</f>
        <v>15286.666666666666</v>
      </c>
      <c r="F1" s="80" t="s">
        <v>245</v>
      </c>
      <c r="G1" s="121">
        <f>E1/C1</f>
        <v>15.286666666666665</v>
      </c>
      <c r="H1" s="80" t="s">
        <v>246</v>
      </c>
      <c r="I1" s="249">
        <f>(G1/K1)</f>
        <v>15.286666666666665</v>
      </c>
      <c r="J1" s="86" t="s">
        <v>247</v>
      </c>
      <c r="K1" s="81">
        <v>1</v>
      </c>
      <c r="L1" s="92"/>
      <c r="M1" s="89"/>
      <c r="N1" s="90"/>
      <c r="O1" s="91" t="s">
        <v>248</v>
      </c>
      <c r="P1" s="92" t="s">
        <v>311</v>
      </c>
      <c r="Q1" s="93" t="s">
        <v>250</v>
      </c>
      <c r="R1" s="92">
        <v>0.54</v>
      </c>
      <c r="Y1" s="91" t="s">
        <v>479</v>
      </c>
      <c r="Z1" s="847">
        <v>44860</v>
      </c>
      <c r="AA1" s="91" t="s">
        <v>600</v>
      </c>
      <c r="AB1" s="847">
        <v>1000</v>
      </c>
      <c r="AC1" s="91" t="s">
        <v>587</v>
      </c>
      <c r="AD1" s="847">
        <v>288</v>
      </c>
      <c r="AE1" s="250"/>
      <c r="AF1" s="252"/>
      <c r="AG1" s="92"/>
      <c r="AI1" s="1"/>
      <c r="AJ1" s="94" t="s">
        <v>262</v>
      </c>
      <c r="AK1" s="94">
        <v>10000</v>
      </c>
      <c r="AL1" s="628" t="s">
        <v>541</v>
      </c>
      <c r="AM1" s="629">
        <f>$S$32</f>
        <v>45860</v>
      </c>
      <c r="AN1" s="94" t="s">
        <v>251</v>
      </c>
      <c r="AO1" s="329">
        <f>(($S$32)/$R$1)/$AK$1</f>
        <v>8.492592592592592</v>
      </c>
      <c r="AP1" s="95"/>
    </row>
    <row r="2" spans="1:46" ht="15.75" customHeight="1" x14ac:dyDescent="0.3">
      <c r="A2" s="265"/>
      <c r="B2" s="98"/>
      <c r="C2" s="98"/>
      <c r="D2" s="98"/>
      <c r="E2" s="98"/>
      <c r="F2" s="1408" t="s">
        <v>22</v>
      </c>
      <c r="G2" s="98"/>
      <c r="H2" s="98"/>
      <c r="I2" s="98"/>
      <c r="J2" s="98"/>
      <c r="K2" s="98"/>
      <c r="L2" s="98"/>
      <c r="M2" s="100"/>
      <c r="N2" s="100"/>
      <c r="O2" s="100"/>
      <c r="P2" s="100"/>
      <c r="Q2" s="100"/>
      <c r="R2" s="100"/>
      <c r="AC2" s="99"/>
      <c r="AD2" s="99"/>
      <c r="AE2" s="1391"/>
      <c r="AF2" s="1422"/>
      <c r="AG2" s="1422"/>
      <c r="AI2" s="1"/>
      <c r="AJ2" s="101"/>
      <c r="AK2" s="1386" t="s">
        <v>314</v>
      </c>
      <c r="AL2" s="1386"/>
      <c r="AM2" s="1386"/>
      <c r="AN2" s="102"/>
      <c r="AO2" s="101"/>
      <c r="AP2" s="101"/>
    </row>
    <row r="3" spans="1:46" ht="15.75" customHeight="1" x14ac:dyDescent="0.3">
      <c r="A3" s="265"/>
      <c r="B3" s="103"/>
      <c r="C3" s="103"/>
      <c r="D3" s="103"/>
      <c r="E3" s="103"/>
      <c r="F3" s="1388"/>
      <c r="G3" s="103"/>
      <c r="H3" s="103"/>
      <c r="I3" s="103"/>
      <c r="J3" s="103"/>
      <c r="K3" s="103"/>
      <c r="L3" s="103"/>
      <c r="M3" s="100"/>
      <c r="N3" s="100"/>
      <c r="O3" s="100"/>
      <c r="P3" s="100"/>
      <c r="Q3" s="100"/>
      <c r="R3" s="100"/>
      <c r="AC3" s="99"/>
      <c r="AD3" s="99"/>
      <c r="AE3" s="1422"/>
      <c r="AF3" s="1422"/>
      <c r="AG3" s="1422"/>
      <c r="AI3" s="1"/>
      <c r="AJ3" s="104"/>
      <c r="AK3" s="104"/>
      <c r="AL3" s="105"/>
      <c r="AM3" s="105"/>
      <c r="AN3" s="105"/>
      <c r="AO3" s="104"/>
      <c r="AP3" s="104"/>
    </row>
    <row r="4" spans="1:46" ht="69" customHeight="1" x14ac:dyDescent="0.3">
      <c r="A4" s="91" t="s">
        <v>1</v>
      </c>
      <c r="B4" s="91" t="s">
        <v>253</v>
      </c>
      <c r="C4" s="107" t="s">
        <v>254</v>
      </c>
      <c r="D4" s="91" t="s">
        <v>243</v>
      </c>
      <c r="E4" s="108" t="s">
        <v>246</v>
      </c>
      <c r="F4" s="108" t="s">
        <v>255</v>
      </c>
      <c r="G4" s="91" t="s">
        <v>256</v>
      </c>
      <c r="H4" s="109" t="s">
        <v>257</v>
      </c>
      <c r="I4" s="91" t="s">
        <v>258</v>
      </c>
      <c r="J4" s="91" t="s">
        <v>259</v>
      </c>
      <c r="K4" s="91" t="s">
        <v>260</v>
      </c>
      <c r="L4" s="91" t="s">
        <v>261</v>
      </c>
      <c r="P4" s="100"/>
      <c r="AA4" s="251"/>
      <c r="AB4" s="253"/>
      <c r="AC4" s="251"/>
      <c r="AD4" s="251"/>
      <c r="AE4" s="251"/>
      <c r="AI4" s="1"/>
      <c r="AJ4" s="110" t="s">
        <v>253</v>
      </c>
      <c r="AK4" s="111" t="s">
        <v>254</v>
      </c>
      <c r="AL4" s="110" t="s">
        <v>262</v>
      </c>
      <c r="AM4" s="110" t="s">
        <v>246</v>
      </c>
      <c r="AN4" s="110" t="s">
        <v>255</v>
      </c>
      <c r="AO4" s="110" t="s">
        <v>256</v>
      </c>
      <c r="AP4" s="112" t="s">
        <v>257</v>
      </c>
      <c r="AQ4" s="91" t="s">
        <v>258</v>
      </c>
      <c r="AR4" s="91" t="s">
        <v>259</v>
      </c>
      <c r="AS4" s="91" t="s">
        <v>260</v>
      </c>
      <c r="AT4" s="91" t="s">
        <v>261</v>
      </c>
    </row>
    <row r="5" spans="1:46" ht="14.25" customHeight="1" x14ac:dyDescent="0.3">
      <c r="A5" s="266" t="s">
        <v>230</v>
      </c>
      <c r="B5" s="267" t="s">
        <v>235</v>
      </c>
      <c r="C5" s="124" t="s">
        <v>14</v>
      </c>
      <c r="D5" s="121">
        <f>I51/10</f>
        <v>6172.9629629629626</v>
      </c>
      <c r="E5" s="268">
        <f>H52</f>
        <v>13.757724845503091</v>
      </c>
      <c r="F5" s="118">
        <v>1</v>
      </c>
      <c r="G5" s="121">
        <f t="shared" ref="G5:G11" si="0">D5*E5</f>
        <v>84925.925925925927</v>
      </c>
      <c r="H5" s="120">
        <f t="shared" ref="H5:H11" si="1">G5*F5</f>
        <v>84925.925925925927</v>
      </c>
      <c r="I5" s="81">
        <f>VLOOKUP(B5,All_Ingredients!$A$1:$F$151,6,FALSE())</f>
        <v>0.37</v>
      </c>
      <c r="J5" s="119">
        <f>VLOOKUP(B5,All_Ingredients!$A$1:$J$151,10,FALSE())</f>
        <v>12</v>
      </c>
      <c r="K5" s="122">
        <f t="shared" ref="K5" si="2">(H5/I5)/1000</f>
        <v>229.52952952952953</v>
      </c>
      <c r="L5" s="122">
        <f t="shared" ref="L5" si="3">K5*J5</f>
        <v>2754.3543543543542</v>
      </c>
      <c r="M5" s="100"/>
      <c r="N5" s="100"/>
      <c r="O5" s="100"/>
      <c r="P5" s="100"/>
      <c r="AA5" s="92"/>
      <c r="AB5" s="133"/>
      <c r="AC5" s="254"/>
      <c r="AD5" s="135"/>
      <c r="AE5" s="136"/>
      <c r="AI5" s="1"/>
      <c r="AJ5" s="269" t="s">
        <v>235</v>
      </c>
      <c r="AK5" s="124" t="s">
        <v>238</v>
      </c>
      <c r="AL5" s="124">
        <v>10</v>
      </c>
      <c r="AM5" s="85">
        <f>$AO$1</f>
        <v>8.492592592592592</v>
      </c>
      <c r="AN5" s="127">
        <v>1</v>
      </c>
      <c r="AO5" s="119">
        <f>AL5*AM5</f>
        <v>84.925925925925924</v>
      </c>
      <c r="AP5" s="120">
        <f>AN5*AO5</f>
        <v>84.925925925925924</v>
      </c>
      <c r="AQ5" s="295"/>
      <c r="AR5" s="1171"/>
      <c r="AS5" s="175"/>
      <c r="AT5" s="1172"/>
    </row>
    <row r="6" spans="1:46" ht="14.25" customHeight="1" x14ac:dyDescent="0.3">
      <c r="A6" s="270" t="s">
        <v>13</v>
      </c>
      <c r="B6" s="267" t="s">
        <v>792</v>
      </c>
      <c r="C6" s="124" t="s">
        <v>14</v>
      </c>
      <c r="D6" s="125">
        <v>60</v>
      </c>
      <c r="E6" s="223">
        <f t="shared" ref="E6:E11" si="4">$I$1</f>
        <v>15.286666666666665</v>
      </c>
      <c r="F6" s="127">
        <v>0.95</v>
      </c>
      <c r="G6" s="121">
        <f t="shared" si="0"/>
        <v>917.19999999999993</v>
      </c>
      <c r="H6" s="120">
        <f t="shared" si="1"/>
        <v>871.33999999999992</v>
      </c>
      <c r="I6" s="81">
        <f>VLOOKUP(B6,All_Ingredients!$A$1:$F$151,6,FALSE())</f>
        <v>1</v>
      </c>
      <c r="J6" s="119">
        <f>VLOOKUP(B6,All_Ingredients!$A$1:$J$151,10,FALSE())</f>
        <v>10.5</v>
      </c>
      <c r="K6" s="122">
        <f t="shared" ref="K6:K11" si="5">(H6/I6)/1000</f>
        <v>0.87133999999999989</v>
      </c>
      <c r="L6" s="122">
        <f t="shared" ref="L6:L11" si="6">K6*J6</f>
        <v>9.1490699999999983</v>
      </c>
      <c r="AB6" s="133"/>
      <c r="AC6" s="133"/>
      <c r="AD6" s="135"/>
      <c r="AE6" s="136"/>
      <c r="AI6" s="1" t="s">
        <v>57</v>
      </c>
      <c r="AJ6" s="269" t="s">
        <v>56</v>
      </c>
      <c r="AK6" s="124" t="s">
        <v>14</v>
      </c>
      <c r="AL6" s="124">
        <v>200</v>
      </c>
      <c r="AM6" s="85">
        <f t="shared" ref="AM6:AM13" si="7">$AO$1</f>
        <v>8.492592592592592</v>
      </c>
      <c r="AN6" s="127">
        <v>1</v>
      </c>
      <c r="AO6" s="119">
        <f t="shared" ref="AO6:AO13" si="8">AL6*AM6</f>
        <v>1698.5185185185185</v>
      </c>
      <c r="AP6" s="120">
        <f t="shared" ref="AP6:AP13" si="9">AN6*AO6</f>
        <v>1698.5185185185185</v>
      </c>
      <c r="AQ6" s="1172">
        <f>VLOOKUP(AJ6,Marination_Ordering!$A:$J,6,FALSE)</f>
        <v>0.87</v>
      </c>
      <c r="AR6" s="1172">
        <f>VLOOKUP(AJ6,Marination_Ordering!$A:$J,10,FALSE)</f>
        <v>3.2</v>
      </c>
      <c r="AS6" s="175">
        <f>AP6/AQ6</f>
        <v>1952.3201362281823</v>
      </c>
      <c r="AT6" s="1172">
        <f>AR6*(AS6/1000)</f>
        <v>6.247424435930184</v>
      </c>
    </row>
    <row r="7" spans="1:46" ht="14.25" customHeight="1" x14ac:dyDescent="0.3">
      <c r="A7" s="270" t="s">
        <v>210</v>
      </c>
      <c r="B7" s="271" t="s">
        <v>216</v>
      </c>
      <c r="C7" s="124" t="s">
        <v>165</v>
      </c>
      <c r="D7" s="125">
        <v>10</v>
      </c>
      <c r="E7" s="223">
        <f t="shared" si="4"/>
        <v>15.286666666666665</v>
      </c>
      <c r="F7" s="127">
        <f>F6</f>
        <v>0.95</v>
      </c>
      <c r="G7" s="121">
        <f t="shared" si="0"/>
        <v>152.86666666666665</v>
      </c>
      <c r="H7" s="120">
        <f t="shared" si="1"/>
        <v>145.2233333333333</v>
      </c>
      <c r="I7" s="81">
        <f>VLOOKUP(B7,All_Ingredients!$A$1:$F$151,6,FALSE())</f>
        <v>1</v>
      </c>
      <c r="J7" s="119">
        <f>VLOOKUP(B7,All_Ingredients!$A$1:$J$151,10,FALSE())</f>
        <v>28.406666666666666</v>
      </c>
      <c r="K7" s="122">
        <f t="shared" si="5"/>
        <v>0.14522333333333329</v>
      </c>
      <c r="L7" s="122">
        <f t="shared" si="6"/>
        <v>4.1253108222222208</v>
      </c>
      <c r="AB7" s="133"/>
      <c r="AC7" s="133"/>
      <c r="AD7" s="135"/>
      <c r="AE7" s="136"/>
      <c r="AI7" s="1" t="s">
        <v>13</v>
      </c>
      <c r="AJ7" s="272" t="s">
        <v>792</v>
      </c>
      <c r="AK7" s="124" t="s">
        <v>14</v>
      </c>
      <c r="AL7" s="124">
        <v>150</v>
      </c>
      <c r="AM7" s="85">
        <f t="shared" si="7"/>
        <v>8.492592592592592</v>
      </c>
      <c r="AN7" s="127">
        <v>1</v>
      </c>
      <c r="AO7" s="119">
        <f t="shared" si="8"/>
        <v>1273.8888888888889</v>
      </c>
      <c r="AP7" s="120">
        <f t="shared" si="9"/>
        <v>1273.8888888888889</v>
      </c>
      <c r="AQ7" s="1172">
        <f>VLOOKUP(AJ7,Marination_Ordering!$A:$J,6,FALSE)</f>
        <v>1</v>
      </c>
      <c r="AR7" s="1172">
        <f>VLOOKUP(AJ7,Marination_Ordering!$A:$J,10,FALSE)</f>
        <v>10.5</v>
      </c>
      <c r="AS7" s="175">
        <f t="shared" ref="AS7:AS13" si="10">AP7/AQ7</f>
        <v>1273.8888888888889</v>
      </c>
      <c r="AT7" s="1172">
        <f t="shared" ref="AT7:AT13" si="11">AR7*(AS7/1000)</f>
        <v>13.375833333333333</v>
      </c>
    </row>
    <row r="8" spans="1:46" ht="14.25" customHeight="1" x14ac:dyDescent="0.3">
      <c r="A8" s="270" t="s">
        <v>158</v>
      </c>
      <c r="B8" s="267" t="s">
        <v>180</v>
      </c>
      <c r="C8" s="124" t="s">
        <v>165</v>
      </c>
      <c r="D8" s="125">
        <v>1200</v>
      </c>
      <c r="E8" s="223">
        <f t="shared" si="4"/>
        <v>15.286666666666665</v>
      </c>
      <c r="F8" s="127">
        <f>F7</f>
        <v>0.95</v>
      </c>
      <c r="G8" s="121">
        <f t="shared" si="0"/>
        <v>18344</v>
      </c>
      <c r="H8" s="120">
        <f t="shared" si="1"/>
        <v>17426.8</v>
      </c>
      <c r="I8" s="81">
        <f>VLOOKUP(B8,All_Ingredients!$A$1:$F$151,6,FALSE())</f>
        <v>1</v>
      </c>
      <c r="J8" s="119">
        <f>VLOOKUP(B8,All_Ingredients!$A$1:$J$151,10,FALSE())</f>
        <v>9.8958333333333339</v>
      </c>
      <c r="K8" s="122">
        <f t="shared" si="5"/>
        <v>17.4268</v>
      </c>
      <c r="L8" s="122">
        <f t="shared" si="6"/>
        <v>172.45270833333333</v>
      </c>
      <c r="AB8" s="133"/>
      <c r="AC8" s="133"/>
      <c r="AD8" s="135"/>
      <c r="AE8" s="136"/>
      <c r="AI8" s="1" t="s">
        <v>210</v>
      </c>
      <c r="AJ8" s="269" t="s">
        <v>219</v>
      </c>
      <c r="AK8" s="124" t="s">
        <v>165</v>
      </c>
      <c r="AL8" s="124">
        <v>450</v>
      </c>
      <c r="AM8" s="85">
        <f t="shared" si="7"/>
        <v>8.492592592592592</v>
      </c>
      <c r="AN8" s="127">
        <v>1</v>
      </c>
      <c r="AO8" s="119">
        <f t="shared" si="8"/>
        <v>3821.6666666666665</v>
      </c>
      <c r="AP8" s="120">
        <f t="shared" si="9"/>
        <v>3821.6666666666665</v>
      </c>
      <c r="AQ8" s="1172">
        <f>VLOOKUP(AJ8,Marination_Ordering!$A:$J,6,FALSE)</f>
        <v>1</v>
      </c>
      <c r="AR8" s="1172">
        <f>VLOOKUP(AJ8,Marination_Ordering!$A:$J,10,FALSE)</f>
        <v>5</v>
      </c>
      <c r="AS8" s="175">
        <f t="shared" si="10"/>
        <v>3821.6666666666665</v>
      </c>
      <c r="AT8" s="1172">
        <f t="shared" si="11"/>
        <v>19.108333333333331</v>
      </c>
    </row>
    <row r="9" spans="1:46" ht="14.25" customHeight="1" x14ac:dyDescent="0.3">
      <c r="A9" s="270" t="s">
        <v>97</v>
      </c>
      <c r="B9" s="267" t="s">
        <v>104</v>
      </c>
      <c r="C9" s="124" t="s">
        <v>14</v>
      </c>
      <c r="D9" s="125">
        <v>3</v>
      </c>
      <c r="E9" s="223">
        <f t="shared" si="4"/>
        <v>15.286666666666665</v>
      </c>
      <c r="F9" s="127">
        <f>F8</f>
        <v>0.95</v>
      </c>
      <c r="G9" s="121">
        <f t="shared" si="0"/>
        <v>45.86</v>
      </c>
      <c r="H9" s="120">
        <f t="shared" si="1"/>
        <v>43.567</v>
      </c>
      <c r="I9" s="81">
        <f>VLOOKUP(B9,All_Ingredients!$A$1:$F$151,6,FALSE())</f>
        <v>1</v>
      </c>
      <c r="J9" s="119">
        <f>VLOOKUP(B9,All_Ingredients!$A$1:$J$151,10,FALSE())</f>
        <v>47</v>
      </c>
      <c r="K9" s="122">
        <f t="shared" si="5"/>
        <v>4.3567000000000002E-2</v>
      </c>
      <c r="L9" s="122">
        <f t="shared" si="6"/>
        <v>2.0476490000000003</v>
      </c>
      <c r="AB9" s="133"/>
      <c r="AC9" s="133"/>
      <c r="AD9" s="135"/>
      <c r="AE9" s="136"/>
      <c r="AI9" s="1" t="s">
        <v>210</v>
      </c>
      <c r="AJ9" s="269" t="s">
        <v>215</v>
      </c>
      <c r="AK9" s="124" t="s">
        <v>165</v>
      </c>
      <c r="AL9" s="124">
        <v>100</v>
      </c>
      <c r="AM9" s="85">
        <f t="shared" si="7"/>
        <v>8.492592592592592</v>
      </c>
      <c r="AN9" s="127">
        <v>1</v>
      </c>
      <c r="AO9" s="119">
        <f t="shared" si="8"/>
        <v>849.25925925925924</v>
      </c>
      <c r="AP9" s="120">
        <f t="shared" si="9"/>
        <v>849.25925925925924</v>
      </c>
      <c r="AQ9" s="1172">
        <f>VLOOKUP(AJ9,Marination_Ordering!$A:$J,6,FALSE)</f>
        <v>1</v>
      </c>
      <c r="AR9" s="1172">
        <f>VLOOKUP(AJ9,Marination_Ordering!$A:$J,10,FALSE)</f>
        <v>2.1621621621621623</v>
      </c>
      <c r="AS9" s="175">
        <f t="shared" si="10"/>
        <v>849.25925925925924</v>
      </c>
      <c r="AT9" s="1172">
        <f t="shared" si="11"/>
        <v>1.8362362362362363</v>
      </c>
    </row>
    <row r="10" spans="1:46" ht="14.25" customHeight="1" x14ac:dyDescent="0.3">
      <c r="A10" s="270" t="s">
        <v>97</v>
      </c>
      <c r="B10" s="267" t="s">
        <v>96</v>
      </c>
      <c r="C10" s="124" t="s">
        <v>14</v>
      </c>
      <c r="D10" s="125">
        <v>11</v>
      </c>
      <c r="E10" s="223">
        <f t="shared" si="4"/>
        <v>15.286666666666665</v>
      </c>
      <c r="F10" s="127">
        <f>F9</f>
        <v>0.95</v>
      </c>
      <c r="G10" s="121">
        <f t="shared" si="0"/>
        <v>168.15333333333331</v>
      </c>
      <c r="H10" s="120">
        <f t="shared" si="1"/>
        <v>159.74566666666664</v>
      </c>
      <c r="I10" s="81">
        <f>VLOOKUP(B10,All_Ingredients!$A$1:$F$151,6,FALSE())</f>
        <v>1</v>
      </c>
      <c r="J10" s="119">
        <f>VLOOKUP(B10,All_Ingredients!$A$1:$J$151,10,FALSE())</f>
        <v>0.74</v>
      </c>
      <c r="K10" s="122">
        <f t="shared" si="5"/>
        <v>0.15974566666666665</v>
      </c>
      <c r="L10" s="122">
        <f t="shared" si="6"/>
        <v>0.11821179333333331</v>
      </c>
      <c r="AB10" s="133"/>
      <c r="AC10" s="133"/>
      <c r="AD10" s="135"/>
      <c r="AE10" s="136"/>
      <c r="AI10" s="1" t="s">
        <v>97</v>
      </c>
      <c r="AJ10" s="269" t="s">
        <v>96</v>
      </c>
      <c r="AK10" s="124" t="s">
        <v>14</v>
      </c>
      <c r="AL10" s="124">
        <v>2</v>
      </c>
      <c r="AM10" s="85">
        <f t="shared" si="7"/>
        <v>8.492592592592592</v>
      </c>
      <c r="AN10" s="127">
        <v>1</v>
      </c>
      <c r="AO10" s="119">
        <f t="shared" si="8"/>
        <v>16.985185185185184</v>
      </c>
      <c r="AP10" s="120">
        <f t="shared" si="9"/>
        <v>16.985185185185184</v>
      </c>
      <c r="AQ10" s="1172">
        <f>VLOOKUP(AJ10,Marination_Ordering!$A:$J,6,FALSE)</f>
        <v>1</v>
      </c>
      <c r="AR10" s="1172">
        <f>VLOOKUP(AJ10,Marination_Ordering!$A:$J,10,FALSE)</f>
        <v>0.74</v>
      </c>
      <c r="AS10" s="175">
        <f t="shared" si="10"/>
        <v>16.985185185185184</v>
      </c>
      <c r="AT10" s="1172">
        <f t="shared" si="11"/>
        <v>1.2569037037037035E-2</v>
      </c>
    </row>
    <row r="11" spans="1:46" x14ac:dyDescent="0.3">
      <c r="A11" s="270" t="s">
        <v>192</v>
      </c>
      <c r="B11" s="267" t="s">
        <v>193</v>
      </c>
      <c r="C11" s="124" t="s">
        <v>14</v>
      </c>
      <c r="D11" s="125">
        <v>30</v>
      </c>
      <c r="E11" s="223">
        <f t="shared" si="4"/>
        <v>15.286666666666665</v>
      </c>
      <c r="F11" s="127">
        <v>1</v>
      </c>
      <c r="G11" s="121">
        <f t="shared" si="0"/>
        <v>458.59999999999997</v>
      </c>
      <c r="H11" s="120">
        <f t="shared" si="1"/>
        <v>458.59999999999997</v>
      </c>
      <c r="I11" s="81">
        <f>VLOOKUP(B11,All_Ingredients!$A$1:$F$151,6,FALSE())</f>
        <v>0.9</v>
      </c>
      <c r="J11" s="119">
        <f>VLOOKUP(B11,All_Ingredients!$A$1:$J$151,10,FALSE())</f>
        <v>2.3199999999999998</v>
      </c>
      <c r="K11" s="122">
        <f t="shared" si="5"/>
        <v>0.50955555555555554</v>
      </c>
      <c r="L11" s="122">
        <f t="shared" si="6"/>
        <v>1.1821688888888888</v>
      </c>
      <c r="AB11" s="133"/>
      <c r="AC11" s="133"/>
      <c r="AD11" s="135"/>
      <c r="AE11" s="136"/>
      <c r="AI11" s="1" t="s">
        <v>97</v>
      </c>
      <c r="AJ11" s="269" t="s">
        <v>102</v>
      </c>
      <c r="AK11" s="124" t="s">
        <v>14</v>
      </c>
      <c r="AL11" s="124">
        <v>4</v>
      </c>
      <c r="AM11" s="85">
        <f t="shared" si="7"/>
        <v>8.492592592592592</v>
      </c>
      <c r="AN11" s="127">
        <v>1</v>
      </c>
      <c r="AO11" s="119">
        <f t="shared" si="8"/>
        <v>33.970370370370368</v>
      </c>
      <c r="AP11" s="120">
        <f t="shared" si="9"/>
        <v>33.970370370370368</v>
      </c>
      <c r="AQ11" s="1172">
        <f>VLOOKUP(AJ11,Marination_Ordering!$A:$J,6,FALSE)</f>
        <v>1</v>
      </c>
      <c r="AR11" s="1172">
        <f>VLOOKUP(AJ11,Marination_Ordering!$A:$J,10,FALSE)</f>
        <v>31</v>
      </c>
      <c r="AS11" s="175">
        <f t="shared" si="10"/>
        <v>33.970370370370368</v>
      </c>
      <c r="AT11" s="1172">
        <f t="shared" si="11"/>
        <v>1.0530814814814813</v>
      </c>
    </row>
    <row r="12" spans="1:46" ht="14.25" customHeight="1" x14ac:dyDescent="0.3">
      <c r="B12" s="100"/>
      <c r="E12" s="100"/>
      <c r="F12" s="100"/>
      <c r="L12" s="209"/>
      <c r="AD12" s="133"/>
      <c r="AE12" s="133"/>
      <c r="AF12" s="135"/>
      <c r="AG12" s="136"/>
      <c r="AI12" s="1" t="s">
        <v>97</v>
      </c>
      <c r="AJ12" s="269" t="s">
        <v>108</v>
      </c>
      <c r="AK12" s="124" t="s">
        <v>14</v>
      </c>
      <c r="AL12" s="124">
        <v>35</v>
      </c>
      <c r="AM12" s="85">
        <f t="shared" si="7"/>
        <v>8.492592592592592</v>
      </c>
      <c r="AN12" s="127">
        <v>1</v>
      </c>
      <c r="AO12" s="119">
        <f t="shared" si="8"/>
        <v>297.2407407407407</v>
      </c>
      <c r="AP12" s="120">
        <f t="shared" si="9"/>
        <v>297.2407407407407</v>
      </c>
      <c r="AQ12" s="1172">
        <f>VLOOKUP(AJ12,Marination_Ordering!$A:$J,6,FALSE)</f>
        <v>1</v>
      </c>
      <c r="AR12" s="1172">
        <f>VLOOKUP(AJ12,Marination_Ordering!$A:$J,10,FALSE)</f>
        <v>15</v>
      </c>
      <c r="AS12" s="175">
        <f t="shared" si="10"/>
        <v>297.2407407407407</v>
      </c>
      <c r="AT12" s="1172">
        <f t="shared" si="11"/>
        <v>4.4586111111111109</v>
      </c>
    </row>
    <row r="13" spans="1:46" ht="14.25" customHeight="1" x14ac:dyDescent="0.3">
      <c r="B13" s="100"/>
      <c r="E13" s="100"/>
      <c r="F13" s="100"/>
      <c r="L13" s="209"/>
      <c r="AD13" s="133"/>
      <c r="AE13" s="133"/>
      <c r="AF13" s="135"/>
      <c r="AG13" s="136"/>
      <c r="AI13" s="1" t="s">
        <v>196</v>
      </c>
      <c r="AJ13" s="269" t="s">
        <v>208</v>
      </c>
      <c r="AK13" s="124" t="s">
        <v>14</v>
      </c>
      <c r="AL13" s="124">
        <v>250</v>
      </c>
      <c r="AM13" s="85">
        <f t="shared" si="7"/>
        <v>8.492592592592592</v>
      </c>
      <c r="AN13" s="127">
        <v>1</v>
      </c>
      <c r="AO13" s="119">
        <f t="shared" si="8"/>
        <v>2123.1481481481478</v>
      </c>
      <c r="AP13" s="120">
        <f t="shared" si="9"/>
        <v>2123.1481481481478</v>
      </c>
      <c r="AQ13" s="1172">
        <f>VLOOKUP(AJ13,Marination_Ordering!$A:$J,6,FALSE)</f>
        <v>1</v>
      </c>
      <c r="AR13" s="1172">
        <f>VLOOKUP(AJ13,Marination_Ordering!$A:$J,10,FALSE)</f>
        <v>11.243386243386244</v>
      </c>
      <c r="AS13" s="175">
        <f t="shared" si="10"/>
        <v>2123.1481481481478</v>
      </c>
      <c r="AT13" s="1172">
        <f t="shared" si="11"/>
        <v>23.871374681559868</v>
      </c>
    </row>
    <row r="14" spans="1:46" ht="14.25" customHeight="1" x14ac:dyDescent="0.3">
      <c r="L14" s="209"/>
    </row>
    <row r="15" spans="1:46" ht="14.25" customHeight="1" x14ac:dyDescent="0.3">
      <c r="L15" s="209"/>
    </row>
    <row r="16" spans="1:46" ht="47.75" customHeight="1" x14ac:dyDescent="0.3">
      <c r="L16" s="209"/>
      <c r="R16" s="129" t="s">
        <v>312</v>
      </c>
    </row>
    <row r="17" spans="2:32" ht="14.25" customHeight="1" x14ac:dyDescent="0.3">
      <c r="L17" s="209"/>
      <c r="R17" s="275" t="s">
        <v>313</v>
      </c>
    </row>
    <row r="18" spans="2:32" ht="14.25" customHeight="1" x14ac:dyDescent="0.3">
      <c r="L18" s="209"/>
    </row>
    <row r="19" spans="2:32" ht="14.25" customHeight="1" x14ac:dyDescent="0.3">
      <c r="L19" s="209"/>
    </row>
    <row r="20" spans="2:32" ht="14.25" customHeight="1" x14ac:dyDescent="0.3">
      <c r="L20" s="209"/>
    </row>
    <row r="21" spans="2:32" ht="14.25" customHeight="1" x14ac:dyDescent="0.3">
      <c r="L21" s="209"/>
    </row>
    <row r="22" spans="2:32" ht="14.25" customHeight="1" x14ac:dyDescent="0.3">
      <c r="L22" s="209"/>
    </row>
    <row r="23" spans="2:32" ht="14.25" customHeight="1" x14ac:dyDescent="0.3">
      <c r="L23" s="209"/>
    </row>
    <row r="24" spans="2:32" ht="14.25" customHeight="1" x14ac:dyDescent="0.3">
      <c r="L24" s="209"/>
      <c r="Z24" s="1294"/>
    </row>
    <row r="25" spans="2:32" ht="14.25" customHeight="1" x14ac:dyDescent="0.35">
      <c r="L25" s="209"/>
      <c r="R25" s="1411" t="s">
        <v>314</v>
      </c>
      <c r="S25" s="1388"/>
      <c r="T25" s="1388"/>
      <c r="U25" s="1388"/>
      <c r="V25" s="1151"/>
      <c r="W25" s="146"/>
      <c r="Z25" s="141" t="s">
        <v>264</v>
      </c>
      <c r="AA25" s="142">
        <v>41160</v>
      </c>
      <c r="AB25" s="141" t="s">
        <v>261</v>
      </c>
      <c r="AC25" s="143">
        <f>(AA25*(4/3))*AF30+(AA30*(AB28/R1))</f>
        <v>2704.664232707386</v>
      </c>
      <c r="AD25" s="14"/>
    </row>
    <row r="26" spans="2:32" ht="14.25" customHeight="1" x14ac:dyDescent="0.3">
      <c r="L26" s="209"/>
      <c r="R26" s="1423" t="s">
        <v>309</v>
      </c>
      <c r="S26" s="1388"/>
      <c r="T26" s="1388"/>
      <c r="U26" s="1388"/>
      <c r="V26" s="1151"/>
      <c r="W26" s="146"/>
      <c r="Z26" s="14"/>
      <c r="AA26" s="14"/>
      <c r="AB26" s="14"/>
      <c r="AC26" s="14"/>
      <c r="AD26" s="14"/>
    </row>
    <row r="27" spans="2:32" ht="14.25" customHeight="1" thickBot="1" x14ac:dyDescent="0.35">
      <c r="B27" s="100"/>
      <c r="E27" s="100"/>
      <c r="F27" s="100"/>
      <c r="L27" s="209"/>
      <c r="R27" s="145" t="s">
        <v>266</v>
      </c>
      <c r="S27" s="146" t="s">
        <v>315</v>
      </c>
      <c r="T27" s="146" t="s">
        <v>268</v>
      </c>
      <c r="U27" s="146" t="s">
        <v>269</v>
      </c>
      <c r="V27" s="146" t="s">
        <v>839</v>
      </c>
      <c r="W27" s="146" t="s">
        <v>848</v>
      </c>
      <c r="Z27" s="141" t="s">
        <v>270</v>
      </c>
      <c r="AA27" s="1185" t="s">
        <v>324</v>
      </c>
      <c r="AB27" s="147" t="s">
        <v>271</v>
      </c>
      <c r="AC27" s="147" t="s">
        <v>272</v>
      </c>
      <c r="AD27" s="147" t="s">
        <v>273</v>
      </c>
      <c r="AE27" s="1186" t="s">
        <v>848</v>
      </c>
      <c r="AF27" s="147" t="s">
        <v>274</v>
      </c>
    </row>
    <row r="28" spans="2:32" ht="14.25" customHeight="1" thickBot="1" x14ac:dyDescent="0.35">
      <c r="B28" s="100"/>
      <c r="E28" s="100"/>
      <c r="F28" s="100"/>
      <c r="L28" s="209"/>
      <c r="R28" s="148" t="s">
        <v>275</v>
      </c>
      <c r="S28" s="150">
        <f>$Z$1</f>
        <v>44860</v>
      </c>
      <c r="T28" s="149"/>
      <c r="U28" s="155">
        <f>S28</f>
        <v>44860</v>
      </c>
      <c r="V28" s="149">
        <f>SUM(AP5:AP13)</f>
        <v>10199.603703703704</v>
      </c>
      <c r="W28" s="149">
        <f>H37</f>
        <v>8.64</v>
      </c>
      <c r="Z28" s="151"/>
      <c r="AA28" s="1188"/>
      <c r="AB28" s="152">
        <f>AA25*$S$40</f>
        <v>41160</v>
      </c>
      <c r="AC28" s="152">
        <f>AA25-AB28</f>
        <v>0</v>
      </c>
      <c r="AD28" s="153">
        <f>AA25*(1/3)</f>
        <v>13720</v>
      </c>
      <c r="AE28" s="1188"/>
      <c r="AF28" s="154">
        <f>SUM(AB28:AD28)</f>
        <v>54880</v>
      </c>
    </row>
    <row r="29" spans="2:32" ht="14.25" customHeight="1" thickBot="1" x14ac:dyDescent="0.35">
      <c r="B29" s="100"/>
      <c r="E29" s="100"/>
      <c r="F29" s="100"/>
      <c r="L29" s="209"/>
      <c r="R29" s="148" t="s">
        <v>276</v>
      </c>
      <c r="S29" s="155"/>
      <c r="T29" s="149">
        <f>S28*(1/3)</f>
        <v>14953.333333333332</v>
      </c>
      <c r="U29" s="149">
        <f>T29</f>
        <v>14953.333333333332</v>
      </c>
      <c r="V29" s="149"/>
      <c r="W29" s="149"/>
      <c r="Z29" s="151"/>
      <c r="AA29" s="1192"/>
      <c r="AB29" s="156">
        <f>AB28/$AF$28</f>
        <v>0.75</v>
      </c>
      <c r="AC29" s="156">
        <f>AC28/$AF$28</f>
        <v>0</v>
      </c>
      <c r="AD29" s="1194">
        <f>AD28/AF28</f>
        <v>0.25</v>
      </c>
      <c r="AE29" s="1192"/>
      <c r="AF29" s="156">
        <f>AF28/$AF$28</f>
        <v>1</v>
      </c>
    </row>
    <row r="30" spans="2:32" ht="14.25" customHeight="1" thickBot="1" x14ac:dyDescent="0.35">
      <c r="B30" s="100"/>
      <c r="E30" s="100"/>
      <c r="F30" s="100"/>
      <c r="L30" s="209"/>
      <c r="R30" s="148" t="s">
        <v>277</v>
      </c>
      <c r="S30" s="1236">
        <f>$AB$1</f>
        <v>1000</v>
      </c>
      <c r="T30" s="149">
        <f>S30*(1/3)</f>
        <v>333.33333333333331</v>
      </c>
      <c r="U30" s="155">
        <f>S30</f>
        <v>1000</v>
      </c>
      <c r="V30" s="1143"/>
      <c r="W30" s="1143"/>
      <c r="Z30" s="141" t="s">
        <v>278</v>
      </c>
      <c r="AA30" s="1196">
        <f>V35/(S32/R1)</f>
        <v>8.2381749609708238E-4</v>
      </c>
      <c r="AB30" s="157">
        <f>S35/(S32)</f>
        <v>6.006006006006006E-2</v>
      </c>
      <c r="AC30" s="154">
        <f>T35/T32</f>
        <v>1.2368629666666667E-2</v>
      </c>
      <c r="AD30" s="1191">
        <f>T35/T32</f>
        <v>1.2368629666666667E-2</v>
      </c>
      <c r="AE30" s="1199">
        <f>W35/U32</f>
        <v>1.8469633852225392E-6</v>
      </c>
      <c r="AF30" s="1202">
        <f>SUMPRODUCT(AB30:AD30,AB29:AD29)+(AE30)</f>
        <v>4.8139049425096933E-2</v>
      </c>
    </row>
    <row r="31" spans="2:32" ht="14.25" customHeight="1" thickBot="1" x14ac:dyDescent="0.35">
      <c r="B31" s="100"/>
      <c r="E31" s="100"/>
      <c r="F31" s="100"/>
      <c r="L31" s="209"/>
      <c r="R31" s="148" t="s">
        <v>279</v>
      </c>
      <c r="S31" s="155"/>
      <c r="T31" s="149"/>
      <c r="U31" s="149"/>
      <c r="V31" s="149"/>
      <c r="W31" s="149"/>
      <c r="AB31">
        <f>AB30*AB28</f>
        <v>2472.0720720720719</v>
      </c>
      <c r="AD31">
        <f>AD30*AD28</f>
        <v>169.69759902666667</v>
      </c>
    </row>
    <row r="32" spans="2:32" ht="14.25" customHeight="1" thickBot="1" x14ac:dyDescent="0.35">
      <c r="B32" s="100"/>
      <c r="E32" s="100"/>
      <c r="F32" s="100"/>
      <c r="L32" s="209"/>
      <c r="R32" s="160" t="s">
        <v>269</v>
      </c>
      <c r="S32" s="149">
        <f>SUM(S28:S30)</f>
        <v>45860</v>
      </c>
      <c r="T32" s="149">
        <f>SUM(T28:T30)</f>
        <v>15286.666666666666</v>
      </c>
      <c r="U32" s="149">
        <f>SUM(U28:U30)</f>
        <v>60813.333333333328</v>
      </c>
      <c r="V32" s="149"/>
      <c r="W32" s="149">
        <f>SUM(W28:W30)</f>
        <v>8.64</v>
      </c>
    </row>
    <row r="33" spans="2:23" ht="14.25" customHeight="1" thickBot="1" x14ac:dyDescent="0.35">
      <c r="B33" s="100"/>
      <c r="E33" s="100"/>
      <c r="F33" s="100"/>
      <c r="L33" s="209"/>
      <c r="R33" s="161" t="s">
        <v>280</v>
      </c>
      <c r="S33" s="155"/>
      <c r="T33" s="155"/>
      <c r="U33" s="155"/>
      <c r="V33" s="155"/>
      <c r="W33" s="155"/>
    </row>
    <row r="34" spans="2:23" ht="14.25" customHeight="1" thickBot="1" x14ac:dyDescent="0.35">
      <c r="B34" s="100"/>
      <c r="E34" s="100"/>
      <c r="F34" s="100"/>
      <c r="L34" s="209"/>
      <c r="R34" s="162" t="s">
        <v>281</v>
      </c>
      <c r="S34" s="155"/>
      <c r="T34" s="149"/>
      <c r="U34" s="155"/>
      <c r="V34" s="155"/>
      <c r="W34" s="155"/>
    </row>
    <row r="35" spans="2:23" ht="14.25" customHeight="1" thickBot="1" x14ac:dyDescent="0.35">
      <c r="B35" s="1418" t="s">
        <v>681</v>
      </c>
      <c r="C35" s="1419"/>
      <c r="D35" s="1419"/>
      <c r="E35" s="1419"/>
      <c r="F35" s="1420"/>
      <c r="G35" s="889"/>
      <c r="H35" s="889"/>
      <c r="I35" s="889"/>
      <c r="J35" s="889"/>
      <c r="K35" s="889"/>
      <c r="L35" s="889"/>
      <c r="R35" s="163" t="s">
        <v>261</v>
      </c>
      <c r="S35" s="1144">
        <f>$L$5</f>
        <v>2754.3543543543542</v>
      </c>
      <c r="T35" s="1144">
        <f>SUM(L6:L11)</f>
        <v>189.07511883777778</v>
      </c>
      <c r="U35" s="1144">
        <f>S35+T35+V35+W35</f>
        <v>3013.5052568421547</v>
      </c>
      <c r="V35" s="1144">
        <f>SUM(AT6:AT13)</f>
        <v>69.963463650022589</v>
      </c>
      <c r="W35" s="1203">
        <f>L37</f>
        <v>0.11232</v>
      </c>
    </row>
    <row r="36" spans="2:23" ht="14.25" customHeight="1" x14ac:dyDescent="0.3">
      <c r="B36" s="860" t="s">
        <v>253</v>
      </c>
      <c r="C36" s="860" t="s">
        <v>329</v>
      </c>
      <c r="D36" s="862" t="s">
        <v>671</v>
      </c>
      <c r="E36" s="859" t="s">
        <v>672</v>
      </c>
      <c r="F36" s="862" t="s">
        <v>673</v>
      </c>
      <c r="G36" s="882"/>
      <c r="H36" s="862" t="s">
        <v>673</v>
      </c>
      <c r="I36" s="862" t="s">
        <v>258</v>
      </c>
      <c r="J36" s="862" t="s">
        <v>259</v>
      </c>
      <c r="K36" s="862" t="s">
        <v>260</v>
      </c>
      <c r="L36" s="862" t="s">
        <v>261</v>
      </c>
    </row>
    <row r="37" spans="2:23" ht="14.25" customHeight="1" x14ac:dyDescent="0.3">
      <c r="B37" s="855" t="s">
        <v>760</v>
      </c>
      <c r="C37" s="856" t="s">
        <v>14</v>
      </c>
      <c r="D37" s="857">
        <v>0.03</v>
      </c>
      <c r="E37" s="855">
        <f>$AD$1</f>
        <v>288</v>
      </c>
      <c r="F37" s="855">
        <f>D37*E37</f>
        <v>8.64</v>
      </c>
      <c r="G37" s="881"/>
      <c r="H37" s="855">
        <f>F37</f>
        <v>8.64</v>
      </c>
      <c r="I37" s="855">
        <f>VLOOKUP(B37,All_Ingredients!$A$1:$F$151,6,FALSE())</f>
        <v>1</v>
      </c>
      <c r="J37" s="855">
        <f>VLOOKUP(B37,All_Ingredients!$A$1:$J$151,10,FALSE())</f>
        <v>13</v>
      </c>
      <c r="K37" s="855">
        <f>(H37/I37)/1000</f>
        <v>8.6400000000000001E-3</v>
      </c>
      <c r="L37" s="855">
        <f t="shared" ref="L37" si="12">K37*J37</f>
        <v>0.11232</v>
      </c>
    </row>
    <row r="38" spans="2:23" ht="14.25" customHeight="1" x14ac:dyDescent="0.3">
      <c r="B38" s="100"/>
      <c r="E38" s="100"/>
      <c r="F38" s="100"/>
      <c r="L38" s="209"/>
    </row>
    <row r="39" spans="2:23" ht="14.25" customHeight="1" x14ac:dyDescent="0.3">
      <c r="B39" s="100"/>
      <c r="E39" s="100"/>
      <c r="F39" s="100"/>
      <c r="L39" s="209"/>
    </row>
    <row r="40" spans="2:23" ht="16.25" customHeight="1" x14ac:dyDescent="0.3">
      <c r="L40" s="209"/>
      <c r="Q40" s="14"/>
      <c r="R40" s="165" t="s">
        <v>282</v>
      </c>
      <c r="S40" s="239">
        <v>1</v>
      </c>
      <c r="T40" s="165" t="s">
        <v>283</v>
      </c>
      <c r="U40" s="239">
        <v>0</v>
      </c>
      <c r="V40" s="168">
        <f>S40+U40</f>
        <v>1</v>
      </c>
      <c r="W40" s="14"/>
    </row>
    <row r="41" spans="2:23" ht="14.25" customHeight="1" x14ac:dyDescent="0.3">
      <c r="L41" s="209"/>
      <c r="Q41" s="14"/>
      <c r="R41" s="14"/>
      <c r="S41" s="14"/>
      <c r="T41" s="14"/>
      <c r="U41" s="169"/>
      <c r="V41" s="14"/>
      <c r="W41" s="14"/>
    </row>
    <row r="42" spans="2:23" ht="14.25" customHeight="1" x14ac:dyDescent="0.3">
      <c r="L42" s="209"/>
      <c r="Q42" s="14"/>
      <c r="R42" s="14"/>
      <c r="S42" s="14"/>
      <c r="T42" s="14"/>
      <c r="U42" s="14"/>
      <c r="V42" s="14"/>
      <c r="W42" s="14"/>
    </row>
    <row r="43" spans="2:23" ht="14.25" customHeight="1" x14ac:dyDescent="0.3">
      <c r="L43" s="209"/>
      <c r="Q43" s="170" t="s">
        <v>284</v>
      </c>
      <c r="R43" s="170" t="s">
        <v>285</v>
      </c>
      <c r="S43" s="170" t="s">
        <v>286</v>
      </c>
      <c r="T43" s="170" t="s">
        <v>287</v>
      </c>
      <c r="U43" s="170" t="s">
        <v>288</v>
      </c>
      <c r="V43" s="170" t="s">
        <v>289</v>
      </c>
      <c r="W43" s="258" t="s">
        <v>290</v>
      </c>
    </row>
    <row r="44" spans="2:23" ht="14.25" customHeight="1" x14ac:dyDescent="0.3">
      <c r="L44" s="209"/>
      <c r="Q44" s="172">
        <v>33334</v>
      </c>
      <c r="R44" s="173">
        <f>D51</f>
        <v>10000</v>
      </c>
      <c r="S44" s="174">
        <v>0</v>
      </c>
      <c r="T44" s="174">
        <v>1</v>
      </c>
      <c r="U44" s="242">
        <f>R44*S44</f>
        <v>0</v>
      </c>
      <c r="V44" s="176">
        <f>R44*T44</f>
        <v>10000</v>
      </c>
      <c r="W44" s="260">
        <f>Q44-U44</f>
        <v>33334</v>
      </c>
    </row>
    <row r="45" spans="2:23" ht="14.25" customHeight="1" x14ac:dyDescent="0.3">
      <c r="L45" s="209"/>
    </row>
    <row r="46" spans="2:23" ht="14.25" customHeight="1" x14ac:dyDescent="0.3">
      <c r="B46" s="100"/>
      <c r="E46" s="100"/>
      <c r="F46" s="100"/>
      <c r="L46" s="209"/>
    </row>
    <row r="47" spans="2:23" ht="14.25" customHeight="1" x14ac:dyDescent="0.3">
      <c r="B47" s="100"/>
      <c r="E47" s="100"/>
      <c r="F47" s="100"/>
      <c r="L47" s="209"/>
    </row>
    <row r="48" spans="2:23" ht="14.25" customHeight="1" x14ac:dyDescent="0.3">
      <c r="B48" s="100"/>
      <c r="E48" s="100"/>
      <c r="F48" s="100"/>
      <c r="L48" s="209"/>
    </row>
    <row r="49" spans="1:12" ht="14.25" customHeight="1" x14ac:dyDescent="0.3">
      <c r="B49" s="100"/>
      <c r="E49" s="100"/>
      <c r="F49" s="100"/>
      <c r="L49" s="209"/>
    </row>
    <row r="50" spans="1:12" ht="14.25" customHeight="1" x14ac:dyDescent="0.3">
      <c r="B50" s="276"/>
      <c r="C50" s="145" t="s">
        <v>245</v>
      </c>
      <c r="D50" s="145" t="s">
        <v>291</v>
      </c>
      <c r="F50" s="100"/>
      <c r="G50" s="145" t="s">
        <v>292</v>
      </c>
      <c r="H50" s="145" t="s">
        <v>245</v>
      </c>
      <c r="I50" s="145" t="s">
        <v>293</v>
      </c>
      <c r="J50" s="145" t="s">
        <v>294</v>
      </c>
      <c r="L50" s="209"/>
    </row>
    <row r="51" spans="1:12" ht="14.25" customHeight="1" x14ac:dyDescent="0.3">
      <c r="B51" s="180" t="s">
        <v>295</v>
      </c>
      <c r="C51" s="181">
        <f>10/$K$1</f>
        <v>10</v>
      </c>
      <c r="D51" s="182">
        <f>$C$1*10</f>
        <v>10000</v>
      </c>
      <c r="F51" s="100"/>
      <c r="G51" s="180" t="s">
        <v>295</v>
      </c>
      <c r="H51" s="277">
        <f>I51/$D$5</f>
        <v>10</v>
      </c>
      <c r="I51" s="181">
        <f>J51/$R$1</f>
        <v>61729.629629629628</v>
      </c>
      <c r="J51" s="181">
        <f>$W$44</f>
        <v>33334</v>
      </c>
      <c r="L51" s="209"/>
    </row>
    <row r="52" spans="1:12" ht="14.25" customHeight="1" x14ac:dyDescent="0.3">
      <c r="B52" s="231" t="s">
        <v>274</v>
      </c>
      <c r="C52" s="232">
        <f>$I$1</f>
        <v>15.286666666666665</v>
      </c>
      <c r="D52" s="233">
        <f>$E$1</f>
        <v>15286.666666666666</v>
      </c>
      <c r="F52" s="100"/>
      <c r="G52" s="148" t="s">
        <v>274</v>
      </c>
      <c r="H52" s="210">
        <f>I52/$D$5</f>
        <v>13.757724845503091</v>
      </c>
      <c r="I52" s="176">
        <f>J52/$R$1</f>
        <v>84925.925925925927</v>
      </c>
      <c r="J52" s="184">
        <f>$S$32</f>
        <v>45860</v>
      </c>
    </row>
    <row r="53" spans="1:12" ht="14.25" customHeight="1" x14ac:dyDescent="0.3">
      <c r="B53" s="231" t="s">
        <v>296</v>
      </c>
      <c r="C53" s="234">
        <f>MIN(C52, C51)</f>
        <v>10</v>
      </c>
      <c r="D53" s="233">
        <f>(C53*$K$1)*$C$1</f>
        <v>10000</v>
      </c>
      <c r="F53" s="100"/>
      <c r="G53" s="148" t="s">
        <v>296</v>
      </c>
      <c r="H53" s="187">
        <f>MIN(H52,H51)</f>
        <v>10</v>
      </c>
      <c r="I53" s="176">
        <f>J53/$R$1</f>
        <v>61729.629629629628</v>
      </c>
      <c r="J53" s="176">
        <f>MIN(J52,J51)</f>
        <v>33334</v>
      </c>
    </row>
    <row r="54" spans="1:12" ht="14.25" customHeight="1" x14ac:dyDescent="0.3">
      <c r="B54" s="231" t="s">
        <v>297</v>
      </c>
      <c r="C54" s="234">
        <f>MIN(MAX(C52-C53,0),C51)</f>
        <v>5.2866666666666653</v>
      </c>
      <c r="D54" s="233">
        <f>(C54*$K$1)*$C$1</f>
        <v>5286.6666666666652</v>
      </c>
      <c r="F54" s="100"/>
      <c r="G54" s="148" t="s">
        <v>297</v>
      </c>
      <c r="H54" s="187">
        <f>MIN(MAX(H52-H53),H51)</f>
        <v>3.7577248455030912</v>
      </c>
      <c r="I54" s="176">
        <f>J54/$R$1</f>
        <v>23196.296296296296</v>
      </c>
      <c r="J54" s="176">
        <f>MIN(MAX(J52-J53),J51)</f>
        <v>12526</v>
      </c>
    </row>
    <row r="55" spans="1:12" ht="14.25" customHeight="1" x14ac:dyDescent="0.3">
      <c r="B55" s="231" t="s">
        <v>298</v>
      </c>
      <c r="C55" s="234">
        <f>MIN(MAX(C52-C53-C54,0),C51)</f>
        <v>0</v>
      </c>
      <c r="D55" s="233">
        <f>(C55*$K$1)*$C$1</f>
        <v>0</v>
      </c>
      <c r="E55" s="100"/>
      <c r="F55" s="100"/>
      <c r="G55" s="145" t="s">
        <v>298</v>
      </c>
      <c r="H55" s="187">
        <f>MIN(MAX(H52-H53-H54),H51)</f>
        <v>0</v>
      </c>
      <c r="I55" s="176">
        <f>J55/$R$1</f>
        <v>0</v>
      </c>
      <c r="J55" s="176">
        <f>MIN(MAX(J52-J53-J54),J51)</f>
        <v>0</v>
      </c>
    </row>
    <row r="56" spans="1:12" ht="14.25" customHeight="1" x14ac:dyDescent="0.3">
      <c r="B56" s="100"/>
      <c r="E56" s="100"/>
      <c r="F56" s="100"/>
    </row>
    <row r="57" spans="1:12" ht="17.75" customHeight="1" x14ac:dyDescent="0.3">
      <c r="B57" s="278"/>
      <c r="C57" s="278"/>
      <c r="D57" s="278"/>
      <c r="E57" s="278"/>
      <c r="F57" s="278"/>
      <c r="G57" s="278"/>
      <c r="H57" s="278"/>
      <c r="I57" s="278"/>
      <c r="J57" s="278"/>
      <c r="K57" s="247"/>
    </row>
    <row r="58" spans="1:12" ht="17.75" customHeight="1" x14ac:dyDescent="0.3">
      <c r="B58" s="278"/>
      <c r="C58" s="278"/>
      <c r="D58" s="278"/>
      <c r="E58" s="278"/>
      <c r="F58" s="278"/>
      <c r="G58" s="278"/>
      <c r="H58" s="278"/>
      <c r="I58" s="278"/>
      <c r="J58" s="278"/>
      <c r="K58" s="247"/>
    </row>
    <row r="62" spans="1:12" ht="17.75" customHeight="1" x14ac:dyDescent="0.3">
      <c r="A62" s="938"/>
      <c r="B62" s="1413" t="str">
        <f>"بان فرايد فيش دفعة  1  / " &amp; COUNTIF($C$53:$C$55, "&gt;0")</f>
        <v>بان فرايد فيش دفعة  1  / 2</v>
      </c>
      <c r="C62" s="1421"/>
      <c r="D62" s="1421"/>
      <c r="E62" s="1421"/>
      <c r="F62" s="1421"/>
      <c r="G62" s="1421"/>
      <c r="H62" s="1421"/>
    </row>
    <row r="63" spans="1:12" ht="17.75" customHeight="1" x14ac:dyDescent="0.3">
      <c r="A63" s="938"/>
      <c r="B63" s="1382" t="str">
        <f>"Pan Fried Fish 1 / " &amp; COUNTIF($C$53:$C$55, "&gt;0")</f>
        <v>Pan Fried Fish 1 / 2</v>
      </c>
      <c r="C63" s="1383"/>
      <c r="D63" s="1383"/>
      <c r="E63" s="1383"/>
      <c r="F63" s="1383"/>
      <c r="G63" s="1383"/>
      <c r="H63" s="1383"/>
    </row>
    <row r="64" spans="1:12" ht="52.5" customHeight="1" x14ac:dyDescent="0.3">
      <c r="A64" s="91"/>
      <c r="B64" s="91" t="s">
        <v>253</v>
      </c>
      <c r="C64" s="107" t="s">
        <v>254</v>
      </c>
      <c r="D64" s="91" t="s">
        <v>243</v>
      </c>
      <c r="E64" s="108" t="s">
        <v>246</v>
      </c>
      <c r="F64" s="108" t="s">
        <v>255</v>
      </c>
      <c r="G64" s="91" t="s">
        <v>256</v>
      </c>
      <c r="H64" s="109" t="s">
        <v>257</v>
      </c>
    </row>
    <row r="65" spans="1:8" ht="14.25" customHeight="1" x14ac:dyDescent="0.3">
      <c r="A65" s="270" t="s">
        <v>230</v>
      </c>
      <c r="B65" s="123" t="str">
        <f t="shared" ref="B65:D71" si="13">B5</f>
        <v>Fillet Fish - سمك فيليه</v>
      </c>
      <c r="C65" s="123" t="str">
        <f t="shared" si="13"/>
        <v>gm</v>
      </c>
      <c r="D65" s="279">
        <f>D5</f>
        <v>6172.9629629629626</v>
      </c>
      <c r="E65" s="280">
        <f>H53</f>
        <v>10</v>
      </c>
      <c r="F65" s="127">
        <f t="shared" ref="F65:F71" si="14">F5</f>
        <v>1</v>
      </c>
      <c r="G65" s="121">
        <f t="shared" ref="G65:G71" si="15">D65*E65</f>
        <v>61729.629629629628</v>
      </c>
      <c r="H65" s="120">
        <f t="shared" ref="H65:H71" si="16">G65*F65</f>
        <v>61729.629629629628</v>
      </c>
    </row>
    <row r="66" spans="1:8" ht="14.25" customHeight="1" x14ac:dyDescent="0.3">
      <c r="A66" s="270" t="s">
        <v>13</v>
      </c>
      <c r="B66" s="123" t="str">
        <f t="shared" si="13"/>
        <v>Garlic - ثوم مقشر</v>
      </c>
      <c r="C66" s="123" t="str">
        <f t="shared" si="13"/>
        <v>gm</v>
      </c>
      <c r="D66" s="123">
        <f t="shared" si="13"/>
        <v>60</v>
      </c>
      <c r="E66" s="281">
        <f t="shared" ref="E66:E71" si="17">$C$53</f>
        <v>10</v>
      </c>
      <c r="F66" s="127">
        <f t="shared" si="14"/>
        <v>0.95</v>
      </c>
      <c r="G66" s="121">
        <f t="shared" si="15"/>
        <v>600</v>
      </c>
      <c r="H66" s="120">
        <f t="shared" si="16"/>
        <v>570</v>
      </c>
    </row>
    <row r="67" spans="1:8" ht="14.25" customHeight="1" x14ac:dyDescent="0.3">
      <c r="A67" s="270" t="s">
        <v>210</v>
      </c>
      <c r="B67" s="123" t="str">
        <f t="shared" si="13"/>
        <v>Balsamic Vinegar - خل بلسميك</v>
      </c>
      <c r="C67" s="123" t="str">
        <f t="shared" si="13"/>
        <v>ml</v>
      </c>
      <c r="D67" s="123">
        <f t="shared" si="13"/>
        <v>10</v>
      </c>
      <c r="E67" s="281">
        <f t="shared" si="17"/>
        <v>10</v>
      </c>
      <c r="F67" s="127">
        <f t="shared" si="14"/>
        <v>0.95</v>
      </c>
      <c r="G67" s="121">
        <f t="shared" si="15"/>
        <v>100</v>
      </c>
      <c r="H67" s="120">
        <f t="shared" si="16"/>
        <v>95</v>
      </c>
    </row>
    <row r="68" spans="1:8" ht="14.25" customHeight="1" x14ac:dyDescent="0.3">
      <c r="A68" s="270" t="s">
        <v>158</v>
      </c>
      <c r="B68" s="123" t="str">
        <f t="shared" si="13"/>
        <v>Coconut Milk - حليب جوز الهند</v>
      </c>
      <c r="C68" s="123" t="str">
        <f t="shared" si="13"/>
        <v>ml</v>
      </c>
      <c r="D68" s="123">
        <f t="shared" si="13"/>
        <v>1200</v>
      </c>
      <c r="E68" s="281">
        <f t="shared" si="17"/>
        <v>10</v>
      </c>
      <c r="F68" s="127">
        <f t="shared" si="14"/>
        <v>0.95</v>
      </c>
      <c r="G68" s="121">
        <f t="shared" si="15"/>
        <v>12000</v>
      </c>
      <c r="H68" s="120">
        <f t="shared" si="16"/>
        <v>11400</v>
      </c>
    </row>
    <row r="69" spans="1:8" ht="14.25" customHeight="1" x14ac:dyDescent="0.3">
      <c r="A69" s="270" t="s">
        <v>97</v>
      </c>
      <c r="B69" s="123" t="str">
        <f t="shared" si="13"/>
        <v>White Pepper - فلفل أبيض</v>
      </c>
      <c r="C69" s="123" t="str">
        <f t="shared" si="13"/>
        <v>gm</v>
      </c>
      <c r="D69" s="123">
        <f t="shared" si="13"/>
        <v>3</v>
      </c>
      <c r="E69" s="281">
        <f t="shared" si="17"/>
        <v>10</v>
      </c>
      <c r="F69" s="127">
        <f t="shared" si="14"/>
        <v>0.95</v>
      </c>
      <c r="G69" s="121">
        <f t="shared" si="15"/>
        <v>30</v>
      </c>
      <c r="H69" s="120">
        <f t="shared" si="16"/>
        <v>28.5</v>
      </c>
    </row>
    <row r="70" spans="1:8" ht="14.25" customHeight="1" x14ac:dyDescent="0.3">
      <c r="A70" s="270" t="s">
        <v>97</v>
      </c>
      <c r="B70" s="123" t="str">
        <f t="shared" si="13"/>
        <v>Salt - ملح</v>
      </c>
      <c r="C70" s="123" t="str">
        <f t="shared" si="13"/>
        <v>gm</v>
      </c>
      <c r="D70" s="123">
        <f t="shared" si="13"/>
        <v>11</v>
      </c>
      <c r="E70" s="281">
        <f t="shared" si="17"/>
        <v>10</v>
      </c>
      <c r="F70" s="127">
        <f t="shared" si="14"/>
        <v>0.95</v>
      </c>
      <c r="G70" s="121">
        <f t="shared" si="15"/>
        <v>110</v>
      </c>
      <c r="H70" s="120">
        <f t="shared" si="16"/>
        <v>104.5</v>
      </c>
    </row>
    <row r="71" spans="1:8" ht="14.25" customHeight="1" x14ac:dyDescent="0.3">
      <c r="A71" s="270" t="s">
        <v>192</v>
      </c>
      <c r="B71" s="123" t="str">
        <f t="shared" si="13"/>
        <v>Corn Starch - نشا ذرة</v>
      </c>
      <c r="C71" s="123" t="str">
        <f t="shared" si="13"/>
        <v>gm</v>
      </c>
      <c r="D71" s="123">
        <f t="shared" si="13"/>
        <v>30</v>
      </c>
      <c r="E71" s="281">
        <f t="shared" si="17"/>
        <v>10</v>
      </c>
      <c r="F71" s="127">
        <f t="shared" si="14"/>
        <v>1</v>
      </c>
      <c r="G71" s="121">
        <f t="shared" si="15"/>
        <v>300</v>
      </c>
      <c r="H71" s="120">
        <f t="shared" si="16"/>
        <v>300</v>
      </c>
    </row>
    <row r="72" spans="1:8" ht="20.25" customHeight="1" x14ac:dyDescent="0.3">
      <c r="A72" s="211"/>
      <c r="B72" s="198" t="s">
        <v>299</v>
      </c>
      <c r="C72" s="200" t="s">
        <v>285</v>
      </c>
      <c r="D72" s="14"/>
      <c r="E72" s="200" t="s">
        <v>300</v>
      </c>
      <c r="F72" s="14"/>
      <c r="G72" s="890" t="s">
        <v>276</v>
      </c>
      <c r="H72" s="890" t="s">
        <v>733</v>
      </c>
    </row>
    <row r="73" spans="1:8" ht="20" x14ac:dyDescent="0.4">
      <c r="A73" s="211"/>
      <c r="B73" s="199">
        <f>$J$53</f>
        <v>33334</v>
      </c>
      <c r="C73" s="199">
        <f>E73+G73</f>
        <v>10000</v>
      </c>
      <c r="D73" s="930"/>
      <c r="E73" s="199">
        <f>$D$53*$S$44</f>
        <v>0</v>
      </c>
      <c r="F73" s="934"/>
      <c r="G73" s="199">
        <f>$D$53*$T$44</f>
        <v>10000</v>
      </c>
      <c r="H73" s="199">
        <f>B73+E73</f>
        <v>33334</v>
      </c>
    </row>
    <row r="74" spans="1:8" ht="14.25" customHeight="1" x14ac:dyDescent="0.3">
      <c r="E74" s="100"/>
    </row>
    <row r="75" spans="1:8" x14ac:dyDescent="0.3">
      <c r="A75" s="938"/>
      <c r="B75" s="1413" t="str">
        <f>"بان فرايد فيش دفعة  2  / " &amp; COUNTIF($C$53:$C$55, "&gt;0")</f>
        <v>بان فرايد فيش دفعة  2  / 2</v>
      </c>
      <c r="C75" s="1421"/>
      <c r="D75" s="1421"/>
      <c r="E75" s="1421"/>
      <c r="F75" s="1421"/>
      <c r="G75" s="1421"/>
      <c r="H75" s="1421"/>
    </row>
    <row r="76" spans="1:8" x14ac:dyDescent="0.3">
      <c r="A76" s="938"/>
      <c r="B76" s="1382" t="str">
        <f>"Pan Fried Fish 2 / " &amp; COUNTIF($C$53:$C$55, "&gt;0")</f>
        <v>Pan Fried Fish 2 / 2</v>
      </c>
      <c r="C76" s="1383"/>
      <c r="D76" s="1383"/>
      <c r="E76" s="1383"/>
      <c r="F76" s="1383"/>
      <c r="G76" s="1383"/>
      <c r="H76" s="1383"/>
    </row>
    <row r="77" spans="1:8" ht="40.5" customHeight="1" x14ac:dyDescent="0.3">
      <c r="A77" s="91"/>
      <c r="B77" s="91" t="s">
        <v>253</v>
      </c>
      <c r="C77" s="107" t="s">
        <v>254</v>
      </c>
      <c r="D77" s="91" t="s">
        <v>243</v>
      </c>
      <c r="E77" s="108" t="s">
        <v>246</v>
      </c>
      <c r="F77" s="108" t="s">
        <v>255</v>
      </c>
      <c r="G77" s="91" t="s">
        <v>256</v>
      </c>
      <c r="H77" s="109" t="s">
        <v>257</v>
      </c>
    </row>
    <row r="78" spans="1:8" x14ac:dyDescent="0.3">
      <c r="A78" s="270" t="s">
        <v>230</v>
      </c>
      <c r="B78" s="123" t="str">
        <f t="shared" ref="B78:D84" si="18">B5</f>
        <v>Fillet Fish - سمك فيليه</v>
      </c>
      <c r="C78" s="123" t="str">
        <f t="shared" si="18"/>
        <v>gm</v>
      </c>
      <c r="D78" s="263">
        <f t="shared" si="18"/>
        <v>6172.9629629629626</v>
      </c>
      <c r="E78" s="280">
        <f>H54</f>
        <v>3.7577248455030912</v>
      </c>
      <c r="F78" s="127">
        <f>F5</f>
        <v>1</v>
      </c>
      <c r="G78" s="121">
        <f t="shared" ref="G78:G84" si="19">D78*E78</f>
        <v>23196.296296296303</v>
      </c>
      <c r="H78" s="120">
        <f t="shared" ref="H78:H84" si="20">G78*F78</f>
        <v>23196.296296296303</v>
      </c>
    </row>
    <row r="79" spans="1:8" x14ac:dyDescent="0.3">
      <c r="A79" s="270" t="s">
        <v>13</v>
      </c>
      <c r="B79" s="123" t="str">
        <f t="shared" si="18"/>
        <v>Garlic - ثوم مقشر</v>
      </c>
      <c r="C79" s="123" t="str">
        <f t="shared" si="18"/>
        <v>gm</v>
      </c>
      <c r="D79" s="123">
        <f t="shared" si="18"/>
        <v>60</v>
      </c>
      <c r="E79" s="281">
        <f t="shared" ref="E79:E84" si="21">$C$54</f>
        <v>5.2866666666666653</v>
      </c>
      <c r="F79" s="127">
        <f t="shared" ref="F79:F84" si="22">F6</f>
        <v>0.95</v>
      </c>
      <c r="G79" s="121">
        <f t="shared" si="19"/>
        <v>317.19999999999993</v>
      </c>
      <c r="H79" s="120">
        <f t="shared" si="20"/>
        <v>301.33999999999992</v>
      </c>
    </row>
    <row r="80" spans="1:8" x14ac:dyDescent="0.3">
      <c r="A80" s="270" t="s">
        <v>210</v>
      </c>
      <c r="B80" s="123" t="str">
        <f t="shared" si="18"/>
        <v>Balsamic Vinegar - خل بلسميك</v>
      </c>
      <c r="C80" s="123" t="str">
        <f t="shared" si="18"/>
        <v>ml</v>
      </c>
      <c r="D80" s="123">
        <f t="shared" si="18"/>
        <v>10</v>
      </c>
      <c r="E80" s="281">
        <f t="shared" si="21"/>
        <v>5.2866666666666653</v>
      </c>
      <c r="F80" s="127">
        <f t="shared" si="22"/>
        <v>0.95</v>
      </c>
      <c r="G80" s="121">
        <f t="shared" si="19"/>
        <v>52.866666666666653</v>
      </c>
      <c r="H80" s="120">
        <f t="shared" si="20"/>
        <v>50.223333333333315</v>
      </c>
    </row>
    <row r="81" spans="1:8" x14ac:dyDescent="0.3">
      <c r="A81" s="270" t="s">
        <v>158</v>
      </c>
      <c r="B81" s="123" t="str">
        <f t="shared" si="18"/>
        <v>Coconut Milk - حليب جوز الهند</v>
      </c>
      <c r="C81" s="123" t="str">
        <f t="shared" si="18"/>
        <v>ml</v>
      </c>
      <c r="D81" s="123">
        <f t="shared" si="18"/>
        <v>1200</v>
      </c>
      <c r="E81" s="281">
        <f t="shared" si="21"/>
        <v>5.2866666666666653</v>
      </c>
      <c r="F81" s="127">
        <f t="shared" si="22"/>
        <v>0.95</v>
      </c>
      <c r="G81" s="121">
        <f t="shared" si="19"/>
        <v>6343.9999999999982</v>
      </c>
      <c r="H81" s="120">
        <f t="shared" si="20"/>
        <v>6026.7999999999984</v>
      </c>
    </row>
    <row r="82" spans="1:8" x14ac:dyDescent="0.3">
      <c r="A82" s="270" t="s">
        <v>97</v>
      </c>
      <c r="B82" s="123" t="str">
        <f t="shared" si="18"/>
        <v>White Pepper - فلفل أبيض</v>
      </c>
      <c r="C82" s="123" t="str">
        <f t="shared" si="18"/>
        <v>gm</v>
      </c>
      <c r="D82" s="123">
        <f t="shared" si="18"/>
        <v>3</v>
      </c>
      <c r="E82" s="281">
        <f t="shared" si="21"/>
        <v>5.2866666666666653</v>
      </c>
      <c r="F82" s="127">
        <f t="shared" si="22"/>
        <v>0.95</v>
      </c>
      <c r="G82" s="121">
        <f t="shared" si="19"/>
        <v>15.859999999999996</v>
      </c>
      <c r="H82" s="120">
        <f t="shared" si="20"/>
        <v>15.066999999999995</v>
      </c>
    </row>
    <row r="83" spans="1:8" x14ac:dyDescent="0.3">
      <c r="A83" s="270" t="s">
        <v>97</v>
      </c>
      <c r="B83" s="123" t="str">
        <f t="shared" si="18"/>
        <v>Salt - ملح</v>
      </c>
      <c r="C83" s="123" t="str">
        <f t="shared" si="18"/>
        <v>gm</v>
      </c>
      <c r="D83" s="123">
        <f t="shared" si="18"/>
        <v>11</v>
      </c>
      <c r="E83" s="281">
        <f t="shared" si="21"/>
        <v>5.2866666666666653</v>
      </c>
      <c r="F83" s="127">
        <f t="shared" si="22"/>
        <v>0.95</v>
      </c>
      <c r="G83" s="121">
        <f t="shared" si="19"/>
        <v>58.153333333333322</v>
      </c>
      <c r="H83" s="120">
        <f t="shared" si="20"/>
        <v>55.245666666666651</v>
      </c>
    </row>
    <row r="84" spans="1:8" x14ac:dyDescent="0.3">
      <c r="A84" s="270" t="s">
        <v>192</v>
      </c>
      <c r="B84" s="123" t="str">
        <f t="shared" si="18"/>
        <v>Corn Starch - نشا ذرة</v>
      </c>
      <c r="C84" s="123" t="str">
        <f t="shared" si="18"/>
        <v>gm</v>
      </c>
      <c r="D84" s="123">
        <f t="shared" si="18"/>
        <v>30</v>
      </c>
      <c r="E84" s="281">
        <f t="shared" si="21"/>
        <v>5.2866666666666653</v>
      </c>
      <c r="F84" s="127">
        <f t="shared" si="22"/>
        <v>1</v>
      </c>
      <c r="G84" s="121">
        <f t="shared" si="19"/>
        <v>158.59999999999997</v>
      </c>
      <c r="H84" s="120">
        <f t="shared" si="20"/>
        <v>158.59999999999997</v>
      </c>
    </row>
    <row r="85" spans="1:8" ht="18" x14ac:dyDescent="0.3">
      <c r="A85" s="211"/>
      <c r="B85" s="198" t="s">
        <v>299</v>
      </c>
      <c r="C85" s="200" t="s">
        <v>285</v>
      </c>
      <c r="D85" s="14"/>
      <c r="E85" s="200" t="s">
        <v>300</v>
      </c>
      <c r="F85" s="14"/>
      <c r="G85" s="890" t="s">
        <v>276</v>
      </c>
      <c r="H85" s="890" t="s">
        <v>733</v>
      </c>
    </row>
    <row r="86" spans="1:8" ht="20" x14ac:dyDescent="0.4">
      <c r="A86" s="211"/>
      <c r="B86" s="199">
        <f>$J$54</f>
        <v>12526</v>
      </c>
      <c r="C86" s="199">
        <f>E86+G86</f>
        <v>5286.6666666666652</v>
      </c>
      <c r="D86" s="930"/>
      <c r="E86" s="199">
        <f>$D$54*$S$44</f>
        <v>0</v>
      </c>
      <c r="F86" s="934"/>
      <c r="G86" s="199">
        <f>$D$54*$T$44</f>
        <v>5286.6666666666652</v>
      </c>
      <c r="H86" s="199">
        <f>B86+E86</f>
        <v>12526</v>
      </c>
    </row>
  </sheetData>
  <mergeCells count="10">
    <mergeCell ref="B75:H75"/>
    <mergeCell ref="B76:H76"/>
    <mergeCell ref="AK2:AM2"/>
    <mergeCell ref="B63:H63"/>
    <mergeCell ref="AE2:AG3"/>
    <mergeCell ref="R26:U26"/>
    <mergeCell ref="B62:H62"/>
    <mergeCell ref="R25:U25"/>
    <mergeCell ref="F2:F3"/>
    <mergeCell ref="B35:F35"/>
  </mergeCells>
  <printOptions horizontalCentered="1"/>
  <pageMargins left="0.4" right="0.4" top="1" bottom="0.5" header="0.3" footer="0.511811023622047"/>
  <pageSetup paperSize="9" scale="44"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B050"/>
    <pageSetUpPr fitToPage="1"/>
  </sheetPr>
  <dimension ref="A1:AG91"/>
  <sheetViews>
    <sheetView topLeftCell="A8" zoomScale="70" zoomScaleNormal="70" workbookViewId="0">
      <selection activeCell="D53" sqref="D53"/>
    </sheetView>
  </sheetViews>
  <sheetFormatPr defaultColWidth="12.5" defaultRowHeight="14" x14ac:dyDescent="0.3"/>
  <cols>
    <col min="1" max="1" width="12.5" style="79" customWidth="1"/>
    <col min="2" max="2" width="32.582031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9" width="15.9140625" style="14" customWidth="1"/>
    <col min="10" max="10" width="13.08203125" style="14" customWidth="1"/>
    <col min="11" max="11" width="12.5" style="14" customWidth="1"/>
    <col min="12" max="12" width="8.33203125" style="14" customWidth="1"/>
    <col min="13" max="14" width="4.33203125" style="14" customWidth="1"/>
    <col min="15" max="17" width="12.5" style="14" customWidth="1"/>
    <col min="18" max="18" width="30.5" style="14" customWidth="1"/>
    <col min="19" max="19" width="12.5" style="14" customWidth="1"/>
    <col min="20" max="20" width="19" style="14" customWidth="1"/>
    <col min="21" max="23" width="12.5" style="14" customWidth="1"/>
    <col min="24" max="24" width="31.5" style="14" customWidth="1"/>
    <col min="25" max="25" width="12.5" style="14" customWidth="1"/>
    <col min="26" max="26" width="11.9140625" style="14" bestFit="1" customWidth="1"/>
    <col min="27" max="27" width="13.33203125" style="14" bestFit="1" customWidth="1"/>
    <col min="28" max="28" width="10" style="14" bestFit="1" customWidth="1"/>
    <col min="29" max="31" width="10.25" style="14" customWidth="1"/>
    <col min="32" max="16384" width="12.5" style="14"/>
  </cols>
  <sheetData>
    <row r="1" spans="1:33" s="250" customFormat="1" ht="33" customHeight="1" x14ac:dyDescent="0.25">
      <c r="A1" s="248"/>
      <c r="B1" s="80" t="s">
        <v>243</v>
      </c>
      <c r="C1" s="81">
        <v>1000</v>
      </c>
      <c r="D1" s="82" t="s">
        <v>244</v>
      </c>
      <c r="E1" s="117">
        <f>T32</f>
        <v>6110.7692307692369</v>
      </c>
      <c r="F1" s="80" t="s">
        <v>245</v>
      </c>
      <c r="G1" s="249">
        <f>E1/C1</f>
        <v>6.1107692307692369</v>
      </c>
      <c r="H1" s="80" t="s">
        <v>246</v>
      </c>
      <c r="I1" s="249">
        <f>(G1/K1)</f>
        <v>6.1107692307692369</v>
      </c>
      <c r="J1" s="86" t="s">
        <v>247</v>
      </c>
      <c r="K1" s="121">
        <v>1</v>
      </c>
      <c r="L1" s="92"/>
      <c r="M1" s="215"/>
      <c r="N1" s="216"/>
      <c r="O1" s="91" t="s">
        <v>248</v>
      </c>
      <c r="P1" s="92" t="s">
        <v>301</v>
      </c>
      <c r="Q1" s="93" t="s">
        <v>250</v>
      </c>
      <c r="R1" s="92">
        <v>0.51</v>
      </c>
      <c r="S1" s="92"/>
      <c r="T1" s="92"/>
      <c r="Y1" s="91" t="s">
        <v>479</v>
      </c>
      <c r="Z1" s="847">
        <v>26480</v>
      </c>
      <c r="AA1" s="91" t="s">
        <v>600</v>
      </c>
      <c r="AB1" s="847">
        <v>0</v>
      </c>
      <c r="AC1" s="91" t="s">
        <v>587</v>
      </c>
      <c r="AD1" s="847">
        <v>178</v>
      </c>
      <c r="AF1" s="252"/>
      <c r="AG1" s="92"/>
    </row>
    <row r="2" spans="1:33" ht="12.75" customHeight="1" x14ac:dyDescent="0.3">
      <c r="A2" s="97"/>
      <c r="B2" s="1387" t="s">
        <v>307</v>
      </c>
      <c r="C2" s="1389"/>
      <c r="D2" s="1389"/>
      <c r="E2" s="1389"/>
      <c r="F2" s="1389"/>
      <c r="G2" s="1389"/>
      <c r="H2" s="1389"/>
      <c r="I2" s="1389"/>
      <c r="J2" s="1389"/>
      <c r="K2" s="1387"/>
      <c r="L2" s="98"/>
      <c r="M2" s="99"/>
      <c r="N2" s="99"/>
      <c r="O2" s="100"/>
      <c r="P2" s="100"/>
      <c r="Q2" s="100"/>
      <c r="R2" s="100"/>
      <c r="S2" s="100"/>
      <c r="T2" s="100"/>
      <c r="U2" s="100"/>
      <c r="AE2" s="1391"/>
      <c r="AF2" s="1389"/>
      <c r="AG2" s="1389"/>
    </row>
    <row r="3" spans="1:33" ht="12.75" customHeight="1" x14ac:dyDescent="0.3">
      <c r="A3" s="97"/>
      <c r="B3" s="1388"/>
      <c r="C3" s="1388"/>
      <c r="D3" s="1388"/>
      <c r="E3" s="1388"/>
      <c r="F3" s="1388"/>
      <c r="G3" s="1388"/>
      <c r="H3" s="1388"/>
      <c r="I3" s="1388"/>
      <c r="J3" s="1388"/>
      <c r="K3" s="1388"/>
      <c r="L3" s="103"/>
      <c r="M3" s="99"/>
      <c r="N3" s="99"/>
      <c r="O3" s="100"/>
      <c r="P3" s="100"/>
      <c r="Q3" s="100"/>
      <c r="R3" s="100"/>
      <c r="S3" s="100"/>
      <c r="T3" s="100"/>
      <c r="U3" s="100"/>
      <c r="AE3" s="1389"/>
      <c r="AF3" s="1389"/>
      <c r="AG3" s="1389"/>
    </row>
    <row r="4" spans="1:33" ht="70.25" customHeight="1" x14ac:dyDescent="0.25">
      <c r="A4" s="91" t="s">
        <v>1</v>
      </c>
      <c r="B4" s="91" t="s">
        <v>253</v>
      </c>
      <c r="C4" s="107" t="s">
        <v>254</v>
      </c>
      <c r="D4" s="91" t="s">
        <v>243</v>
      </c>
      <c r="E4" s="108" t="s">
        <v>246</v>
      </c>
      <c r="F4" s="108" t="s">
        <v>255</v>
      </c>
      <c r="G4" s="91" t="s">
        <v>256</v>
      </c>
      <c r="H4" s="109" t="s">
        <v>257</v>
      </c>
      <c r="I4" s="91" t="s">
        <v>258</v>
      </c>
      <c r="J4" s="91" t="s">
        <v>259</v>
      </c>
      <c r="K4" s="91" t="s">
        <v>260</v>
      </c>
      <c r="L4" s="91" t="s">
        <v>261</v>
      </c>
      <c r="M4" s="100"/>
      <c r="N4" s="100"/>
      <c r="O4" s="100"/>
      <c r="P4" s="100"/>
      <c r="Q4" s="100"/>
      <c r="R4" s="100"/>
      <c r="S4" s="100"/>
      <c r="AA4" s="251"/>
      <c r="AB4" s="253"/>
      <c r="AE4" s="251"/>
    </row>
    <row r="5" spans="1:33" ht="14.25" customHeight="1" x14ac:dyDescent="0.25">
      <c r="A5" s="113" t="s">
        <v>230</v>
      </c>
      <c r="B5" s="22" t="s">
        <v>232</v>
      </c>
      <c r="C5" s="124" t="s">
        <v>14</v>
      </c>
      <c r="D5" s="121">
        <f>I51/10</f>
        <v>6536.0784313725489</v>
      </c>
      <c r="E5" s="223">
        <f>H52</f>
        <v>6.1106470178288737</v>
      </c>
      <c r="F5" s="127">
        <v>1</v>
      </c>
      <c r="G5" s="121">
        <f t="shared" ref="G5:G27" si="0">D5*E5</f>
        <v>39939.668174962288</v>
      </c>
      <c r="H5" s="120">
        <f t="shared" ref="H5:H27" si="1">G5*F5</f>
        <v>39939.668174962288</v>
      </c>
      <c r="I5" s="81">
        <f>VLOOKUP(B5,All_Ingredients!$A$1:$F$151,6,FALSE())</f>
        <v>0.55000000000000004</v>
      </c>
      <c r="J5" s="119">
        <f>VLOOKUP(B5,All_Ingredients!$A$1:$J$151,10,FALSE())</f>
        <v>26.666666666666668</v>
      </c>
      <c r="K5" s="122">
        <f t="shared" ref="K5" si="2">(H5/I5)/1000</f>
        <v>72.617578499931426</v>
      </c>
      <c r="L5" s="122">
        <f t="shared" ref="L5" si="3">K5*J5</f>
        <v>1936.4687599981714</v>
      </c>
      <c r="M5" s="100"/>
      <c r="N5" s="100"/>
      <c r="O5" s="100"/>
      <c r="P5" s="100"/>
      <c r="Q5" s="100"/>
      <c r="R5" s="100"/>
      <c r="S5" s="100"/>
      <c r="AA5" s="92"/>
      <c r="AB5" s="133"/>
      <c r="AE5" s="136"/>
    </row>
    <row r="6" spans="1:33" ht="14.25" customHeight="1" x14ac:dyDescent="0.3">
      <c r="A6" s="255" t="s">
        <v>13</v>
      </c>
      <c r="B6" s="256" t="s">
        <v>12</v>
      </c>
      <c r="C6" s="124" t="s">
        <v>14</v>
      </c>
      <c r="D6" s="125">
        <v>150</v>
      </c>
      <c r="E6" s="223">
        <f t="shared" ref="E6:E28" si="4">$I$1</f>
        <v>6.1107692307692369</v>
      </c>
      <c r="F6" s="127">
        <v>0.95</v>
      </c>
      <c r="G6" s="121">
        <f t="shared" si="0"/>
        <v>916.61538461538555</v>
      </c>
      <c r="H6" s="120">
        <f t="shared" si="1"/>
        <v>870.78461538461625</v>
      </c>
      <c r="I6" s="81">
        <f>VLOOKUP(B6,All_Ingredients!$A$1:$F$151,6,FALSE())</f>
        <v>0.9</v>
      </c>
      <c r="J6" s="119">
        <f>VLOOKUP(B6,All_Ingredients!$A$1:$J$151,10,FALSE())</f>
        <v>3</v>
      </c>
      <c r="K6" s="122">
        <f t="shared" ref="K6:K27" si="5">(H6/I6)/1000</f>
        <v>0.96753846153846246</v>
      </c>
      <c r="L6" s="122">
        <f t="shared" ref="L6:L27" si="6">K6*J6</f>
        <v>2.9026153846153875</v>
      </c>
    </row>
    <row r="7" spans="1:33" ht="14.25" customHeight="1" x14ac:dyDescent="0.3">
      <c r="A7" s="128" t="s">
        <v>13</v>
      </c>
      <c r="B7" s="256" t="s">
        <v>32</v>
      </c>
      <c r="C7" s="124" t="s">
        <v>14</v>
      </c>
      <c r="D7" s="125">
        <v>300</v>
      </c>
      <c r="E7" s="223">
        <f t="shared" si="4"/>
        <v>6.1107692307692369</v>
      </c>
      <c r="F7" s="127">
        <v>0.95</v>
      </c>
      <c r="G7" s="121">
        <f t="shared" si="0"/>
        <v>1833.2307692307711</v>
      </c>
      <c r="H7" s="120">
        <f t="shared" si="1"/>
        <v>1741.5692307692325</v>
      </c>
      <c r="I7" s="81">
        <f>VLOOKUP(B7,All_Ingredients!$A$1:$F$151,6,FALSE())</f>
        <v>0.96</v>
      </c>
      <c r="J7" s="119">
        <f>VLOOKUP(B7,All_Ingredients!$A$1:$J$151,10,FALSE())</f>
        <v>4</v>
      </c>
      <c r="K7" s="122">
        <f t="shared" si="5"/>
        <v>1.8141346153846174</v>
      </c>
      <c r="L7" s="122">
        <f t="shared" si="6"/>
        <v>7.2565384615384696</v>
      </c>
    </row>
    <row r="8" spans="1:33" ht="14.25" customHeight="1" x14ac:dyDescent="0.3">
      <c r="A8" s="128" t="s">
        <v>57</v>
      </c>
      <c r="B8" s="256" t="s">
        <v>56</v>
      </c>
      <c r="C8" s="124" t="s">
        <v>14</v>
      </c>
      <c r="D8" s="125">
        <v>50</v>
      </c>
      <c r="E8" s="223">
        <f t="shared" si="4"/>
        <v>6.1107692307692369</v>
      </c>
      <c r="F8" s="127">
        <v>1</v>
      </c>
      <c r="G8" s="121">
        <f t="shared" si="0"/>
        <v>305.53846153846183</v>
      </c>
      <c r="H8" s="120">
        <f t="shared" si="1"/>
        <v>305.53846153846183</v>
      </c>
      <c r="I8" s="81">
        <f>VLOOKUP(B8,All_Ingredients!$A$1:$F$151,6,FALSE())</f>
        <v>0.87</v>
      </c>
      <c r="J8" s="119">
        <f>VLOOKUP(B8,All_Ingredients!$A$1:$J$151,10,FALSE())</f>
        <v>7</v>
      </c>
      <c r="K8" s="122">
        <f t="shared" si="5"/>
        <v>0.35119363395225495</v>
      </c>
      <c r="L8" s="122">
        <f t="shared" si="6"/>
        <v>2.4583554376657846</v>
      </c>
    </row>
    <row r="9" spans="1:33" ht="14.25" customHeight="1" x14ac:dyDescent="0.3">
      <c r="A9" s="128" t="s">
        <v>13</v>
      </c>
      <c r="B9" s="256" t="s">
        <v>792</v>
      </c>
      <c r="C9" s="124" t="s">
        <v>14</v>
      </c>
      <c r="D9" s="125">
        <v>50</v>
      </c>
      <c r="E9" s="223">
        <f t="shared" si="4"/>
        <v>6.1107692307692369</v>
      </c>
      <c r="F9" s="127">
        <v>1</v>
      </c>
      <c r="G9" s="121">
        <f t="shared" si="0"/>
        <v>305.53846153846183</v>
      </c>
      <c r="H9" s="120">
        <f t="shared" si="1"/>
        <v>305.53846153846183</v>
      </c>
      <c r="I9" s="81">
        <f>VLOOKUP(B9,All_Ingredients!$A$1:$F$151,6,FALSE())</f>
        <v>1</v>
      </c>
      <c r="J9" s="119">
        <f>VLOOKUP(B9,All_Ingredients!$A$1:$J$151,10,FALSE())</f>
        <v>10.5</v>
      </c>
      <c r="K9" s="122">
        <f t="shared" si="5"/>
        <v>0.30553846153846181</v>
      </c>
      <c r="L9" s="122">
        <f t="shared" si="6"/>
        <v>3.208153846153849</v>
      </c>
    </row>
    <row r="10" spans="1:33" ht="14.25" customHeight="1" x14ac:dyDescent="0.3">
      <c r="A10" s="128" t="s">
        <v>196</v>
      </c>
      <c r="B10" s="256" t="s">
        <v>198</v>
      </c>
      <c r="C10" s="124" t="s">
        <v>165</v>
      </c>
      <c r="D10" s="125">
        <v>50</v>
      </c>
      <c r="E10" s="223">
        <f t="shared" si="4"/>
        <v>6.1107692307692369</v>
      </c>
      <c r="F10" s="127">
        <v>0.75</v>
      </c>
      <c r="G10" s="121">
        <f t="shared" si="0"/>
        <v>305.53846153846183</v>
      </c>
      <c r="H10" s="120">
        <f t="shared" si="1"/>
        <v>229.15384615384636</v>
      </c>
      <c r="I10" s="81">
        <f>VLOOKUP(B10,All_Ingredients!$A$1:$F$151,6,FALSE())</f>
        <v>1</v>
      </c>
      <c r="J10" s="119">
        <f>VLOOKUP(B10,All_Ingredients!$A$1:$J$151,10,FALSE())</f>
        <v>58.685446009389672</v>
      </c>
      <c r="K10" s="122">
        <f t="shared" si="5"/>
        <v>0.22915384615384635</v>
      </c>
      <c r="L10" s="122">
        <f t="shared" si="6"/>
        <v>13.447995666305538</v>
      </c>
    </row>
    <row r="11" spans="1:33" ht="14.25" customHeight="1" x14ac:dyDescent="0.3">
      <c r="A11" s="128" t="s">
        <v>196</v>
      </c>
      <c r="B11" s="256" t="s">
        <v>199</v>
      </c>
      <c r="C11" s="124" t="s">
        <v>165</v>
      </c>
      <c r="D11" s="125">
        <v>40</v>
      </c>
      <c r="E11" s="223">
        <f t="shared" si="4"/>
        <v>6.1107692307692369</v>
      </c>
      <c r="F11" s="127">
        <v>0.75</v>
      </c>
      <c r="G11" s="121">
        <f t="shared" si="0"/>
        <v>244.43076923076947</v>
      </c>
      <c r="H11" s="120">
        <f t="shared" si="1"/>
        <v>183.32307692307711</v>
      </c>
      <c r="I11" s="81">
        <f>VLOOKUP(B11,All_Ingredients!$A$1:$F$151,6,FALSE())</f>
        <v>1</v>
      </c>
      <c r="J11" s="119">
        <f>VLOOKUP(B11,All_Ingredients!$A$1:$J$151,10,FALSE())</f>
        <v>37.001287001286997</v>
      </c>
      <c r="K11" s="122">
        <f t="shared" si="5"/>
        <v>0.18332307692307712</v>
      </c>
      <c r="L11" s="122">
        <f t="shared" si="6"/>
        <v>6.7831897831897896</v>
      </c>
    </row>
    <row r="12" spans="1:33" ht="14.25" customHeight="1" x14ac:dyDescent="0.3">
      <c r="A12" s="128" t="s">
        <v>196</v>
      </c>
      <c r="B12" s="256" t="s">
        <v>202</v>
      </c>
      <c r="C12" s="124" t="s">
        <v>165</v>
      </c>
      <c r="D12" s="125">
        <v>200</v>
      </c>
      <c r="E12" s="223">
        <f t="shared" si="4"/>
        <v>6.1107692307692369</v>
      </c>
      <c r="F12" s="127">
        <v>0.95</v>
      </c>
      <c r="G12" s="121">
        <f t="shared" si="0"/>
        <v>1222.1538461538473</v>
      </c>
      <c r="H12" s="120">
        <f t="shared" si="1"/>
        <v>1161.046153846155</v>
      </c>
      <c r="I12" s="81">
        <f>VLOOKUP(B12,All_Ingredients!$A$1:$F$151,6,FALSE())</f>
        <v>1</v>
      </c>
      <c r="J12" s="119">
        <f>VLOOKUP(B12,All_Ingredients!$A$1:$J$151,10,FALSE())</f>
        <v>14.861111111111111</v>
      </c>
      <c r="K12" s="122">
        <f t="shared" si="5"/>
        <v>1.1610461538461549</v>
      </c>
      <c r="L12" s="122">
        <f t="shared" si="6"/>
        <v>17.254435897435915</v>
      </c>
    </row>
    <row r="13" spans="1:33" ht="14.25" customHeight="1" x14ac:dyDescent="0.3">
      <c r="A13" s="128" t="s">
        <v>196</v>
      </c>
      <c r="B13" s="256" t="s">
        <v>200</v>
      </c>
      <c r="C13" s="124" t="s">
        <v>165</v>
      </c>
      <c r="D13" s="125">
        <v>50</v>
      </c>
      <c r="E13" s="223">
        <f t="shared" si="4"/>
        <v>6.1107692307692369</v>
      </c>
      <c r="F13" s="127">
        <v>0.95</v>
      </c>
      <c r="G13" s="121">
        <f t="shared" si="0"/>
        <v>305.53846153846183</v>
      </c>
      <c r="H13" s="120">
        <f t="shared" si="1"/>
        <v>290.26153846153875</v>
      </c>
      <c r="I13" s="81">
        <f>VLOOKUP(B13,All_Ingredients!$A$1:$F$151,6,FALSE())</f>
        <v>1</v>
      </c>
      <c r="J13" s="119">
        <f>VLOOKUP(B13,All_Ingredients!$A$1:$J$151,10,FALSE())</f>
        <v>22.666666666666668</v>
      </c>
      <c r="K13" s="122">
        <f t="shared" si="5"/>
        <v>0.29026153846153874</v>
      </c>
      <c r="L13" s="122">
        <f t="shared" si="6"/>
        <v>6.5792615384615454</v>
      </c>
    </row>
    <row r="14" spans="1:33" ht="14.25" customHeight="1" x14ac:dyDescent="0.3">
      <c r="A14" s="128" t="s">
        <v>210</v>
      </c>
      <c r="B14" s="256" t="s">
        <v>209</v>
      </c>
      <c r="C14" s="124" t="s">
        <v>165</v>
      </c>
      <c r="D14" s="125">
        <v>15</v>
      </c>
      <c r="E14" s="223">
        <f t="shared" si="4"/>
        <v>6.1107692307692369</v>
      </c>
      <c r="F14" s="127">
        <v>1</v>
      </c>
      <c r="G14" s="121">
        <f t="shared" si="0"/>
        <v>91.661538461538555</v>
      </c>
      <c r="H14" s="120">
        <f t="shared" si="1"/>
        <v>91.661538461538555</v>
      </c>
      <c r="I14" s="81">
        <f>VLOOKUP(B14,All_Ingredients!$A$1:$F$151,6,FALSE())</f>
        <v>1</v>
      </c>
      <c r="J14" s="119">
        <f>VLOOKUP(B14,All_Ingredients!$A$1:$J$151,10,FALSE())</f>
        <v>0</v>
      </c>
      <c r="K14" s="122">
        <f t="shared" si="5"/>
        <v>9.1661538461538558E-2</v>
      </c>
      <c r="L14" s="122">
        <f t="shared" si="6"/>
        <v>0</v>
      </c>
    </row>
    <row r="15" spans="1:33" ht="14.25" customHeight="1" x14ac:dyDescent="0.3">
      <c r="A15" s="128" t="s">
        <v>97</v>
      </c>
      <c r="B15" s="256" t="s">
        <v>102</v>
      </c>
      <c r="C15" s="124" t="s">
        <v>14</v>
      </c>
      <c r="D15" s="125">
        <v>2</v>
      </c>
      <c r="E15" s="223">
        <f t="shared" si="4"/>
        <v>6.1107692307692369</v>
      </c>
      <c r="F15" s="127">
        <v>1</v>
      </c>
      <c r="G15" s="121">
        <f t="shared" si="0"/>
        <v>12.221538461538474</v>
      </c>
      <c r="H15" s="120">
        <f t="shared" si="1"/>
        <v>12.221538461538474</v>
      </c>
      <c r="I15" s="81">
        <f>VLOOKUP(B15,All_Ingredients!$A$1:$F$151,6,FALSE())</f>
        <v>1</v>
      </c>
      <c r="J15" s="119">
        <f>VLOOKUP(B15,All_Ingredients!$A$1:$J$151,10,FALSE())</f>
        <v>31</v>
      </c>
      <c r="K15" s="122">
        <f t="shared" si="5"/>
        <v>1.2221538461538475E-2</v>
      </c>
      <c r="L15" s="122">
        <f t="shared" si="6"/>
        <v>0.37886769230769274</v>
      </c>
    </row>
    <row r="16" spans="1:33" ht="14.25" customHeight="1" x14ac:dyDescent="0.3">
      <c r="A16" s="128" t="s">
        <v>192</v>
      </c>
      <c r="B16" s="256" t="s">
        <v>193</v>
      </c>
      <c r="C16" s="124" t="s">
        <v>14</v>
      </c>
      <c r="D16" s="125">
        <v>20</v>
      </c>
      <c r="E16" s="223">
        <f t="shared" si="4"/>
        <v>6.1107692307692369</v>
      </c>
      <c r="F16" s="127">
        <v>0.75</v>
      </c>
      <c r="G16" s="121">
        <f t="shared" si="0"/>
        <v>122.21538461538474</v>
      </c>
      <c r="H16" s="120">
        <f t="shared" si="1"/>
        <v>91.661538461538555</v>
      </c>
      <c r="I16" s="81">
        <f>VLOOKUP(B16,All_Ingredients!$A$1:$F$151,6,FALSE())</f>
        <v>0.9</v>
      </c>
      <c r="J16" s="119">
        <f>VLOOKUP(B16,All_Ingredients!$A$1:$J$151,10,FALSE())</f>
        <v>2.3199999999999998</v>
      </c>
      <c r="K16" s="122">
        <f t="shared" si="5"/>
        <v>0.10184615384615395</v>
      </c>
      <c r="L16" s="122">
        <f t="shared" si="6"/>
        <v>0.23628307692307715</v>
      </c>
    </row>
    <row r="17" spans="1:31" ht="14.25" customHeight="1" x14ac:dyDescent="0.3">
      <c r="A17" s="128" t="s">
        <v>186</v>
      </c>
      <c r="B17" s="256" t="s">
        <v>185</v>
      </c>
      <c r="C17" s="124" t="s">
        <v>14</v>
      </c>
      <c r="D17" s="125">
        <v>15</v>
      </c>
      <c r="E17" s="223">
        <f t="shared" si="4"/>
        <v>6.1107692307692369</v>
      </c>
      <c r="F17" s="127">
        <v>1</v>
      </c>
      <c r="G17" s="121">
        <f t="shared" si="0"/>
        <v>91.661538461538555</v>
      </c>
      <c r="H17" s="120">
        <f t="shared" si="1"/>
        <v>91.661538461538555</v>
      </c>
      <c r="I17" s="81">
        <f>VLOOKUP(B17,All_Ingredients!$A$1:$F$151,6,FALSE())</f>
        <v>1</v>
      </c>
      <c r="J17" s="119">
        <f>VLOOKUP(B17,All_Ingredients!$A$1:$J$151,10,FALSE())</f>
        <v>2.7</v>
      </c>
      <c r="K17" s="122">
        <f t="shared" si="5"/>
        <v>9.1661538461538558E-2</v>
      </c>
      <c r="L17" s="122">
        <f t="shared" si="6"/>
        <v>0.24748615384615413</v>
      </c>
    </row>
    <row r="18" spans="1:31" ht="14.25" customHeight="1" x14ac:dyDescent="0.3">
      <c r="A18" s="128" t="s">
        <v>97</v>
      </c>
      <c r="B18" s="256" t="s">
        <v>96</v>
      </c>
      <c r="C18" s="124" t="s">
        <v>14</v>
      </c>
      <c r="D18" s="125">
        <v>3</v>
      </c>
      <c r="E18" s="223">
        <f t="shared" si="4"/>
        <v>6.1107692307692369</v>
      </c>
      <c r="F18" s="127">
        <v>1</v>
      </c>
      <c r="G18" s="121">
        <f t="shared" si="0"/>
        <v>18.332307692307712</v>
      </c>
      <c r="H18" s="120">
        <f t="shared" si="1"/>
        <v>18.332307692307712</v>
      </c>
      <c r="I18" s="81">
        <f>VLOOKUP(B18,All_Ingredients!$A$1:$F$151,6,FALSE())</f>
        <v>1</v>
      </c>
      <c r="J18" s="119">
        <f>VLOOKUP(B18,All_Ingredients!$A$1:$J$151,10,FALSE())</f>
        <v>0.74</v>
      </c>
      <c r="K18" s="122">
        <f t="shared" si="5"/>
        <v>1.833230769230771E-2</v>
      </c>
      <c r="L18" s="122">
        <f t="shared" si="6"/>
        <v>1.3565907692307706E-2</v>
      </c>
    </row>
    <row r="19" spans="1:31" ht="14.25" customHeight="1" x14ac:dyDescent="0.3">
      <c r="A19" s="128" t="s">
        <v>158</v>
      </c>
      <c r="B19" s="256" t="s">
        <v>157</v>
      </c>
      <c r="C19" s="124" t="s">
        <v>14</v>
      </c>
      <c r="D19" s="125">
        <v>30</v>
      </c>
      <c r="E19" s="223">
        <f t="shared" si="4"/>
        <v>6.1107692307692369</v>
      </c>
      <c r="F19" s="127">
        <v>1</v>
      </c>
      <c r="G19" s="121">
        <f t="shared" si="0"/>
        <v>183.32307692307711</v>
      </c>
      <c r="H19" s="120">
        <f t="shared" si="1"/>
        <v>183.32307692307711</v>
      </c>
      <c r="I19" s="81">
        <f>VLOOKUP(B19,All_Ingredients!$A$1:$F$151,6,FALSE())</f>
        <v>1</v>
      </c>
      <c r="J19" s="119">
        <f>VLOOKUP(B19,All_Ingredients!$A$1:$J$151,10,FALSE())</f>
        <v>30</v>
      </c>
      <c r="K19" s="122">
        <f t="shared" si="5"/>
        <v>0.18332307692307712</v>
      </c>
      <c r="L19" s="122">
        <f t="shared" si="6"/>
        <v>5.4996923076923139</v>
      </c>
    </row>
    <row r="20" spans="1:31" ht="14.25" customHeight="1" x14ac:dyDescent="0.3">
      <c r="A20" s="128" t="s">
        <v>97</v>
      </c>
      <c r="B20" s="256" t="s">
        <v>100</v>
      </c>
      <c r="C20" s="124" t="s">
        <v>14</v>
      </c>
      <c r="D20" s="125">
        <v>2</v>
      </c>
      <c r="E20" s="223">
        <f t="shared" si="4"/>
        <v>6.1107692307692369</v>
      </c>
      <c r="F20" s="127">
        <v>1</v>
      </c>
      <c r="G20" s="121">
        <f t="shared" si="0"/>
        <v>12.221538461538474</v>
      </c>
      <c r="H20" s="120">
        <f t="shared" si="1"/>
        <v>12.221538461538474</v>
      </c>
      <c r="I20" s="81">
        <f>VLOOKUP(B20,All_Ingredients!$A$1:$F$151,6,FALSE())</f>
        <v>1</v>
      </c>
      <c r="J20" s="119">
        <f>VLOOKUP(B20,All_Ingredients!$A$1:$J$151,10,FALSE())</f>
        <v>38</v>
      </c>
      <c r="K20" s="122">
        <f t="shared" si="5"/>
        <v>1.2221538461538475E-2</v>
      </c>
      <c r="L20" s="122">
        <f t="shared" si="6"/>
        <v>0.46441846153846206</v>
      </c>
    </row>
    <row r="21" spans="1:31" ht="14.25" customHeight="1" x14ac:dyDescent="0.3">
      <c r="A21" s="128" t="s">
        <v>97</v>
      </c>
      <c r="B21" s="256" t="s">
        <v>106</v>
      </c>
      <c r="C21" s="124" t="s">
        <v>14</v>
      </c>
      <c r="D21" s="125">
        <v>2</v>
      </c>
      <c r="E21" s="223">
        <f t="shared" si="4"/>
        <v>6.1107692307692369</v>
      </c>
      <c r="F21" s="127">
        <v>1</v>
      </c>
      <c r="G21" s="121">
        <f t="shared" si="0"/>
        <v>12.221538461538474</v>
      </c>
      <c r="H21" s="120">
        <f t="shared" si="1"/>
        <v>12.221538461538474</v>
      </c>
      <c r="I21" s="81">
        <f>VLOOKUP(B21,All_Ingredients!$A$1:$F$151,6,FALSE())</f>
        <v>1</v>
      </c>
      <c r="J21" s="119">
        <f>VLOOKUP(B21,All_Ingredients!$A$1:$J$151,10,FALSE())</f>
        <v>19</v>
      </c>
      <c r="K21" s="122">
        <f t="shared" si="5"/>
        <v>1.2221538461538475E-2</v>
      </c>
      <c r="L21" s="122">
        <f t="shared" si="6"/>
        <v>0.23220923076923103</v>
      </c>
    </row>
    <row r="22" spans="1:31" ht="14.25" customHeight="1" x14ac:dyDescent="0.3">
      <c r="A22" s="128" t="s">
        <v>97</v>
      </c>
      <c r="B22" s="256" t="s">
        <v>128</v>
      </c>
      <c r="C22" s="124" t="s">
        <v>14</v>
      </c>
      <c r="D22" s="125">
        <v>2</v>
      </c>
      <c r="E22" s="223">
        <f t="shared" si="4"/>
        <v>6.1107692307692369</v>
      </c>
      <c r="F22" s="127">
        <v>1</v>
      </c>
      <c r="G22" s="121">
        <f t="shared" si="0"/>
        <v>12.221538461538474</v>
      </c>
      <c r="H22" s="120">
        <f t="shared" si="1"/>
        <v>12.221538461538474</v>
      </c>
      <c r="I22" s="81">
        <f>VLOOKUP(B22,All_Ingredients!$A$1:$F$151,6,FALSE())</f>
        <v>1</v>
      </c>
      <c r="J22" s="119">
        <f>VLOOKUP(B22,All_Ingredients!$A$1:$J$151,10,FALSE())</f>
        <v>37</v>
      </c>
      <c r="K22" s="122">
        <f t="shared" si="5"/>
        <v>1.2221538461538475E-2</v>
      </c>
      <c r="L22" s="122">
        <f t="shared" si="6"/>
        <v>0.45219692307692355</v>
      </c>
      <c r="U22"/>
    </row>
    <row r="23" spans="1:31" ht="14.25" customHeight="1" x14ac:dyDescent="0.3">
      <c r="A23" s="128" t="s">
        <v>97</v>
      </c>
      <c r="B23" s="256" t="s">
        <v>124</v>
      </c>
      <c r="C23" s="124" t="s">
        <v>14</v>
      </c>
      <c r="D23" s="125">
        <v>2</v>
      </c>
      <c r="E23" s="223">
        <f t="shared" si="4"/>
        <v>6.1107692307692369</v>
      </c>
      <c r="F23" s="127">
        <v>1</v>
      </c>
      <c r="G23" s="121">
        <f t="shared" si="0"/>
        <v>12.221538461538474</v>
      </c>
      <c r="H23" s="120">
        <f t="shared" si="1"/>
        <v>12.221538461538474</v>
      </c>
      <c r="I23" s="81">
        <f>VLOOKUP(B23,All_Ingredients!$A$1:$F$151,6,FALSE())</f>
        <v>1</v>
      </c>
      <c r="J23" s="119">
        <f>VLOOKUP(B23,All_Ingredients!$A$1:$J$151,10,FALSE())</f>
        <v>15</v>
      </c>
      <c r="K23" s="122">
        <f t="shared" si="5"/>
        <v>1.2221538461538475E-2</v>
      </c>
      <c r="L23" s="122">
        <f t="shared" si="6"/>
        <v>0.18332307692307712</v>
      </c>
    </row>
    <row r="24" spans="1:31" ht="14.25" customHeight="1" x14ac:dyDescent="0.3">
      <c r="A24" s="128" t="s">
        <v>97</v>
      </c>
      <c r="B24" s="256" t="s">
        <v>130</v>
      </c>
      <c r="C24" s="124" t="s">
        <v>14</v>
      </c>
      <c r="D24" s="125">
        <v>2</v>
      </c>
      <c r="E24" s="223">
        <f t="shared" si="4"/>
        <v>6.1107692307692369</v>
      </c>
      <c r="F24" s="127">
        <v>1</v>
      </c>
      <c r="G24" s="121">
        <f t="shared" si="0"/>
        <v>12.221538461538474</v>
      </c>
      <c r="H24" s="120">
        <f t="shared" si="1"/>
        <v>12.221538461538474</v>
      </c>
      <c r="I24" s="81">
        <f>VLOOKUP(B24,All_Ingredients!$A$1:$F$151,6,FALSE())</f>
        <v>1</v>
      </c>
      <c r="J24" s="119">
        <f>VLOOKUP(B24,All_Ingredients!$A$1:$J$151,10,FALSE())</f>
        <v>125</v>
      </c>
      <c r="K24" s="122">
        <f t="shared" si="5"/>
        <v>1.2221538461538475E-2</v>
      </c>
      <c r="L24" s="122">
        <f t="shared" si="6"/>
        <v>1.5276923076923092</v>
      </c>
      <c r="Z24" s="1234"/>
    </row>
    <row r="25" spans="1:31" ht="14.25" customHeight="1" x14ac:dyDescent="0.35">
      <c r="A25" s="128" t="s">
        <v>97</v>
      </c>
      <c r="B25" s="256" t="s">
        <v>134</v>
      </c>
      <c r="C25" s="124" t="s">
        <v>14</v>
      </c>
      <c r="D25" s="125">
        <v>1</v>
      </c>
      <c r="E25" s="223">
        <f t="shared" si="4"/>
        <v>6.1107692307692369</v>
      </c>
      <c r="F25" s="127">
        <v>1</v>
      </c>
      <c r="G25" s="121">
        <f t="shared" si="0"/>
        <v>6.1107692307692369</v>
      </c>
      <c r="H25" s="120">
        <f t="shared" si="1"/>
        <v>6.1107692307692369</v>
      </c>
      <c r="I25" s="81">
        <f>VLOOKUP(B25,All_Ingredients!$A$1:$F$151,6,FALSE())</f>
        <v>1</v>
      </c>
      <c r="J25" s="119">
        <f>VLOOKUP(B25,All_Ingredients!$A$1:$J$151,10,FALSE())</f>
        <v>31.5</v>
      </c>
      <c r="K25" s="122">
        <f t="shared" si="5"/>
        <v>6.1107692307692373E-3</v>
      </c>
      <c r="L25" s="122">
        <f t="shared" si="6"/>
        <v>0.19248923076923097</v>
      </c>
      <c r="R25" s="1411" t="s">
        <v>308</v>
      </c>
      <c r="S25" s="1388"/>
      <c r="T25" s="1388"/>
      <c r="U25" s="1388"/>
      <c r="Z25" s="141" t="s">
        <v>264</v>
      </c>
      <c r="AA25" s="1232">
        <v>29710</v>
      </c>
      <c r="AB25" s="141" t="s">
        <v>261</v>
      </c>
      <c r="AC25" s="1237">
        <f>AE30*AA25</f>
        <v>2250.4511906220559</v>
      </c>
    </row>
    <row r="26" spans="1:31" ht="14.25" customHeight="1" x14ac:dyDescent="0.3">
      <c r="A26" s="128" t="s">
        <v>97</v>
      </c>
      <c r="B26" s="256" t="s">
        <v>96</v>
      </c>
      <c r="C26" s="124" t="s">
        <v>14</v>
      </c>
      <c r="D26" s="125">
        <v>5</v>
      </c>
      <c r="E26" s="223">
        <f t="shared" si="4"/>
        <v>6.1107692307692369</v>
      </c>
      <c r="F26" s="127">
        <v>1</v>
      </c>
      <c r="G26" s="121">
        <f t="shared" si="0"/>
        <v>30.553846153846184</v>
      </c>
      <c r="H26" s="120">
        <f t="shared" si="1"/>
        <v>30.553846153846184</v>
      </c>
      <c r="I26" s="81">
        <f>VLOOKUP(B26,All_Ingredients!$A$1:$F$151,6,FALSE())</f>
        <v>1</v>
      </c>
      <c r="J26" s="119">
        <f>VLOOKUP(B26,All_Ingredients!$A$1:$J$151,10,FALSE())</f>
        <v>0.74</v>
      </c>
      <c r="K26" s="122">
        <f t="shared" si="5"/>
        <v>3.0553846153846185E-2</v>
      </c>
      <c r="L26" s="122">
        <f t="shared" si="6"/>
        <v>2.2609846153846178E-2</v>
      </c>
      <c r="R26" s="1409" t="s">
        <v>309</v>
      </c>
      <c r="S26" s="1410"/>
      <c r="T26" s="1410"/>
      <c r="U26" s="1410"/>
      <c r="V26"/>
    </row>
    <row r="27" spans="1:31" ht="14.25" customHeight="1" thickBot="1" x14ac:dyDescent="0.35">
      <c r="A27" s="128" t="s">
        <v>13</v>
      </c>
      <c r="B27" s="256" t="s">
        <v>792</v>
      </c>
      <c r="C27" s="124" t="s">
        <v>14</v>
      </c>
      <c r="D27" s="125">
        <v>5</v>
      </c>
      <c r="E27" s="223">
        <f t="shared" si="4"/>
        <v>6.1107692307692369</v>
      </c>
      <c r="F27" s="127">
        <v>1</v>
      </c>
      <c r="G27" s="121">
        <f t="shared" si="0"/>
        <v>30.553846153846184</v>
      </c>
      <c r="H27" s="120">
        <f t="shared" si="1"/>
        <v>30.553846153846184</v>
      </c>
      <c r="I27" s="81">
        <f>VLOOKUP(B27,All_Ingredients!$A$1:$F$151,6,FALSE())</f>
        <v>1</v>
      </c>
      <c r="J27" s="119">
        <f>VLOOKUP(B27,All_Ingredients!$A$1:$J$151,10,FALSE())</f>
        <v>10.5</v>
      </c>
      <c r="K27" s="122">
        <f t="shared" si="5"/>
        <v>3.0553846153846185E-2</v>
      </c>
      <c r="L27" s="122">
        <f t="shared" si="6"/>
        <v>0.32081538461538495</v>
      </c>
      <c r="R27" s="145" t="s">
        <v>266</v>
      </c>
      <c r="S27" s="146" t="s">
        <v>310</v>
      </c>
      <c r="T27" s="146" t="s">
        <v>268</v>
      </c>
      <c r="U27" s="146" t="s">
        <v>269</v>
      </c>
      <c r="V27" s="146" t="s">
        <v>848</v>
      </c>
      <c r="Z27" s="141" t="s">
        <v>270</v>
      </c>
      <c r="AA27" s="147" t="s">
        <v>271</v>
      </c>
      <c r="AB27" s="147" t="s">
        <v>272</v>
      </c>
      <c r="AC27" s="147" t="s">
        <v>273</v>
      </c>
      <c r="AD27" s="1186" t="s">
        <v>848</v>
      </c>
      <c r="AE27" s="147" t="s">
        <v>274</v>
      </c>
    </row>
    <row r="28" spans="1:31" ht="14.25" customHeight="1" thickBot="1" x14ac:dyDescent="0.35">
      <c r="B28" s="220" t="s">
        <v>213</v>
      </c>
      <c r="C28" s="124" t="s">
        <v>165</v>
      </c>
      <c r="D28" s="1149">
        <v>300</v>
      </c>
      <c r="E28" s="223">
        <f t="shared" si="4"/>
        <v>6.1107692307692369</v>
      </c>
      <c r="F28" s="127">
        <v>1</v>
      </c>
      <c r="G28" s="121">
        <f t="shared" ref="G28" si="7">D28*E28</f>
        <v>1833.2307692307711</v>
      </c>
      <c r="H28" s="120">
        <f t="shared" ref="H28" si="8">G28*F28</f>
        <v>1833.2307692307711</v>
      </c>
      <c r="I28" s="81">
        <f>VLOOKUP(B28,All_Ingredients!$A$1:$F$151,6,FALSE())</f>
        <v>1</v>
      </c>
      <c r="J28" s="119">
        <f>VLOOKUP(B28,All_Ingredients!$A$1:$J$151,10,FALSE())</f>
        <v>0</v>
      </c>
      <c r="K28" s="122">
        <f t="shared" ref="K28" si="9">(H28/I28)/1000</f>
        <v>1.833230769230771</v>
      </c>
      <c r="L28" s="122">
        <f t="shared" ref="L28" si="10">K28*J28</f>
        <v>0</v>
      </c>
      <c r="R28" s="148" t="s">
        <v>275</v>
      </c>
      <c r="S28" s="149">
        <f>U28*S40</f>
        <v>20369.230769230766</v>
      </c>
      <c r="T28" s="149">
        <f>U28*U40</f>
        <v>6110.7692307692369</v>
      </c>
      <c r="U28" s="150">
        <f>$Z$1</f>
        <v>26480</v>
      </c>
      <c r="V28" s="149">
        <f>G37</f>
        <v>0</v>
      </c>
      <c r="Z28" s="151"/>
      <c r="AA28" s="152">
        <f>AA25*$S$40</f>
        <v>22853.846153846149</v>
      </c>
      <c r="AB28" s="152">
        <f>AA25*U40</f>
        <v>6856.153846153853</v>
      </c>
      <c r="AC28" s="153"/>
      <c r="AD28" s="1188"/>
      <c r="AE28" s="154">
        <f>SUM(AA28:AC28)</f>
        <v>29710</v>
      </c>
    </row>
    <row r="29" spans="1:31" ht="14.25" customHeight="1" thickBot="1" x14ac:dyDescent="0.35">
      <c r="R29" s="148" t="s">
        <v>276</v>
      </c>
      <c r="S29" s="155"/>
      <c r="T29" s="149"/>
      <c r="U29" s="149">
        <f>T29</f>
        <v>0</v>
      </c>
      <c r="V29" s="149"/>
      <c r="Z29" s="151"/>
      <c r="AA29" s="1226">
        <f>AA28/$AE$28</f>
        <v>0.76923076923076905</v>
      </c>
      <c r="AB29" s="1226">
        <f>AB28/$AE$28</f>
        <v>0.230769230769231</v>
      </c>
      <c r="AC29" s="156"/>
      <c r="AD29" s="1192"/>
      <c r="AE29" s="156">
        <f>AE28/$AE$28</f>
        <v>1</v>
      </c>
    </row>
    <row r="30" spans="1:31" ht="14.25" customHeight="1" thickBot="1" x14ac:dyDescent="0.35">
      <c r="R30" s="148" t="s">
        <v>277</v>
      </c>
      <c r="S30" s="1143">
        <f>U30*S40</f>
        <v>0</v>
      </c>
      <c r="T30" s="149">
        <f>U30*U40</f>
        <v>0</v>
      </c>
      <c r="U30" s="1236">
        <f>$AB$1</f>
        <v>0</v>
      </c>
      <c r="V30" s="1143"/>
      <c r="Z30" s="141" t="s">
        <v>278</v>
      </c>
      <c r="AA30" s="157">
        <f>S35/(S32)</f>
        <v>9.5068330362448009E-2</v>
      </c>
      <c r="AB30" s="158">
        <f>T35/T32</f>
        <v>1.1343706130409878E-2</v>
      </c>
      <c r="AC30" s="158"/>
      <c r="AD30" s="1198">
        <f>V35/U32</f>
        <v>3.2576109690913316E-5</v>
      </c>
      <c r="AE30" s="1148">
        <f>SUMPRODUCT(AA30:AC30,AA29:AC29)</f>
        <v>7.5747263231977655E-2</v>
      </c>
    </row>
    <row r="31" spans="1:31" ht="14.25" customHeight="1" thickBot="1" x14ac:dyDescent="0.35">
      <c r="R31" s="148" t="s">
        <v>279</v>
      </c>
      <c r="S31" s="155"/>
      <c r="T31" s="149"/>
      <c r="U31" s="149"/>
      <c r="V31" s="149"/>
    </row>
    <row r="32" spans="1:31" ht="14.25" customHeight="1" thickBot="1" x14ac:dyDescent="0.35">
      <c r="R32" s="160" t="s">
        <v>269</v>
      </c>
      <c r="S32" s="149">
        <f>SUM(S28:S30)</f>
        <v>20369.230769230766</v>
      </c>
      <c r="T32" s="149">
        <f>SUM(T28:T30)</f>
        <v>6110.7692307692369</v>
      </c>
      <c r="U32" s="149">
        <f>SUM(U28:U30)</f>
        <v>26480</v>
      </c>
      <c r="V32" s="149">
        <f>SUM(V28:V30)</f>
        <v>0</v>
      </c>
    </row>
    <row r="33" spans="2:24" ht="14.25" customHeight="1" thickBot="1" x14ac:dyDescent="0.35">
      <c r="R33" s="161" t="s">
        <v>280</v>
      </c>
      <c r="S33" s="155"/>
      <c r="T33" s="155"/>
      <c r="U33" s="155"/>
      <c r="V33" s="155"/>
    </row>
    <row r="34" spans="2:24" ht="14.25" customHeight="1" thickBot="1" x14ac:dyDescent="0.35">
      <c r="R34" s="162" t="s">
        <v>281</v>
      </c>
      <c r="S34" s="155"/>
      <c r="T34" s="149"/>
      <c r="U34" s="155"/>
      <c r="V34" s="155"/>
    </row>
    <row r="35" spans="2:24" ht="20.25" customHeight="1" thickBot="1" x14ac:dyDescent="0.35">
      <c r="B35" s="1418" t="s">
        <v>682</v>
      </c>
      <c r="C35" s="1419"/>
      <c r="D35" s="1419"/>
      <c r="E35" s="1419"/>
      <c r="F35" s="1420"/>
      <c r="G35" s="889"/>
      <c r="H35" s="889"/>
      <c r="I35" s="889"/>
      <c r="J35" s="889"/>
      <c r="K35" s="889"/>
      <c r="L35" s="889"/>
      <c r="R35" s="163" t="s">
        <v>261</v>
      </c>
      <c r="S35" s="164">
        <f>$L$5</f>
        <v>1936.4687599981714</v>
      </c>
      <c r="T35" s="164">
        <f>SUM(L6:L25)</f>
        <v>69.318770384597045</v>
      </c>
      <c r="U35" s="1239">
        <f>S35+T35</f>
        <v>2005.7875303827684</v>
      </c>
      <c r="V35" s="1203">
        <f>SUM(L37)</f>
        <v>0.86261538461538456</v>
      </c>
    </row>
    <row r="36" spans="2:24" ht="24" customHeight="1" x14ac:dyDescent="0.3">
      <c r="B36" s="860" t="s">
        <v>253</v>
      </c>
      <c r="C36" s="860" t="s">
        <v>329</v>
      </c>
      <c r="D36" s="862" t="s">
        <v>671</v>
      </c>
      <c r="E36" s="859" t="s">
        <v>672</v>
      </c>
      <c r="F36" s="862" t="s">
        <v>673</v>
      </c>
      <c r="G36" s="882"/>
      <c r="H36" s="862" t="s">
        <v>673</v>
      </c>
      <c r="I36" s="862" t="s">
        <v>258</v>
      </c>
      <c r="J36" s="862" t="s">
        <v>259</v>
      </c>
      <c r="K36" s="862" t="s">
        <v>260</v>
      </c>
      <c r="L36" s="862" t="s">
        <v>261</v>
      </c>
    </row>
    <row r="37" spans="2:24" x14ac:dyDescent="0.3">
      <c r="B37" s="855" t="s">
        <v>746</v>
      </c>
      <c r="C37" s="856" t="s">
        <v>14</v>
      </c>
      <c r="D37" s="857">
        <v>7.0000000000000007E-2</v>
      </c>
      <c r="E37" s="855">
        <f>$AD$1</f>
        <v>178</v>
      </c>
      <c r="F37" s="855">
        <f>D37*E37</f>
        <v>12.46</v>
      </c>
      <c r="G37" s="881"/>
      <c r="H37" s="855">
        <f>F37</f>
        <v>12.46</v>
      </c>
      <c r="I37" s="855">
        <f>VLOOKUP(B37,All_Ingredients!$A$1:$F$151,6,FALSE())</f>
        <v>0.65</v>
      </c>
      <c r="J37" s="855">
        <f>VLOOKUP(B37,All_Ingredients!$A$1:$J$151,10,FALSE())</f>
        <v>45</v>
      </c>
      <c r="K37" s="855">
        <f>(H37/I37)/1000</f>
        <v>1.9169230769230768E-2</v>
      </c>
      <c r="L37" s="855">
        <f t="shared" ref="L37" si="11">K37*J37</f>
        <v>0.86261538461538456</v>
      </c>
      <c r="S37" s="257"/>
    </row>
    <row r="38" spans="2:24" x14ac:dyDescent="0.3">
      <c r="B38" s="855" t="s">
        <v>114</v>
      </c>
      <c r="C38" s="856" t="s">
        <v>14</v>
      </c>
      <c r="D38" s="857">
        <v>0.05</v>
      </c>
      <c r="E38" s="855">
        <f>$AD$1</f>
        <v>178</v>
      </c>
      <c r="F38" s="855">
        <f>D38*E38</f>
        <v>8.9</v>
      </c>
      <c r="G38" s="881"/>
      <c r="H38" s="855">
        <f>F38</f>
        <v>8.9</v>
      </c>
      <c r="I38" s="855">
        <f>VLOOKUP(B38,All_Ingredients!$A$1:$F$151,6,FALSE())</f>
        <v>1</v>
      </c>
      <c r="J38" s="855">
        <f>VLOOKUP(B38,All_Ingredients!$A$1:$J$151,10,FALSE())</f>
        <v>64.243759177679877</v>
      </c>
      <c r="K38" s="855">
        <f>(H38/I38)/1000</f>
        <v>8.8999999999999999E-3</v>
      </c>
      <c r="L38" s="855">
        <f t="shared" ref="L38" si="12">K38*J38</f>
        <v>0.57176945668135093</v>
      </c>
    </row>
    <row r="40" spans="2:24" ht="16.5" customHeight="1" x14ac:dyDescent="0.3">
      <c r="B40" s="371"/>
      <c r="C40" s="348"/>
      <c r="D40" s="264"/>
      <c r="E40" s="371"/>
      <c r="F40" s="371"/>
      <c r="G40" s="264"/>
      <c r="H40" s="55"/>
      <c r="R40" s="165" t="s">
        <v>282</v>
      </c>
      <c r="S40" s="166">
        <v>0.76923076923076905</v>
      </c>
      <c r="T40" s="165" t="s">
        <v>283</v>
      </c>
      <c r="U40" s="167">
        <v>0.230769230769231</v>
      </c>
      <c r="V40" s="168">
        <f>S40+U40</f>
        <v>1</v>
      </c>
    </row>
    <row r="41" spans="2:24" ht="14.25" customHeight="1" x14ac:dyDescent="0.3">
      <c r="U41" s="169"/>
    </row>
    <row r="43" spans="2:24" ht="14.25" customHeight="1" x14ac:dyDescent="0.3">
      <c r="Q43" s="170" t="s">
        <v>284</v>
      </c>
      <c r="R43" s="170" t="s">
        <v>285</v>
      </c>
      <c r="S43" s="170" t="s">
        <v>286</v>
      </c>
      <c r="T43" s="170" t="s">
        <v>287</v>
      </c>
      <c r="U43" s="170" t="s">
        <v>288</v>
      </c>
      <c r="V43" s="170" t="s">
        <v>289</v>
      </c>
      <c r="W43" s="258" t="s">
        <v>290</v>
      </c>
      <c r="X43" s="259"/>
    </row>
    <row r="44" spans="2:24" ht="14.25" customHeight="1" x14ac:dyDescent="0.3">
      <c r="Q44" s="172">
        <v>43334</v>
      </c>
      <c r="R44" s="173">
        <f>D51</f>
        <v>10000</v>
      </c>
      <c r="S44" s="174">
        <v>1</v>
      </c>
      <c r="T44" s="174">
        <v>0</v>
      </c>
      <c r="U44" s="242">
        <f>R44*S44</f>
        <v>10000</v>
      </c>
      <c r="V44" s="176">
        <f>R44*T44</f>
        <v>0</v>
      </c>
      <c r="W44" s="260">
        <f>Q44-U44</f>
        <v>33334</v>
      </c>
      <c r="X44" s="261"/>
    </row>
    <row r="50" spans="1:10" x14ac:dyDescent="0.3">
      <c r="B50" s="145"/>
      <c r="C50" s="145" t="s">
        <v>245</v>
      </c>
      <c r="D50" s="145" t="s">
        <v>291</v>
      </c>
      <c r="E50" s="100"/>
      <c r="F50" s="100"/>
      <c r="G50" s="145" t="s">
        <v>292</v>
      </c>
      <c r="H50" s="145" t="s">
        <v>245</v>
      </c>
      <c r="I50" s="145" t="s">
        <v>293</v>
      </c>
      <c r="J50" s="145" t="s">
        <v>294</v>
      </c>
    </row>
    <row r="51" spans="1:10" x14ac:dyDescent="0.3">
      <c r="B51" s="180" t="s">
        <v>295</v>
      </c>
      <c r="C51" s="181">
        <f>10/$K$1</f>
        <v>10</v>
      </c>
      <c r="D51" s="182">
        <f>$C$1*10</f>
        <v>10000</v>
      </c>
      <c r="E51" s="183"/>
      <c r="F51" s="100"/>
      <c r="G51" s="180" t="s">
        <v>295</v>
      </c>
      <c r="H51" s="181">
        <f>I51/$D$5</f>
        <v>10</v>
      </c>
      <c r="I51" s="181">
        <f>J51/$R$1</f>
        <v>65360.784313725489</v>
      </c>
      <c r="J51" s="181">
        <f>$W$44</f>
        <v>33334</v>
      </c>
    </row>
    <row r="52" spans="1:10" x14ac:dyDescent="0.3">
      <c r="B52" s="231" t="s">
        <v>274</v>
      </c>
      <c r="C52" s="232">
        <f>$I$1</f>
        <v>6.1107692307692369</v>
      </c>
      <c r="D52" s="233">
        <f>$E$1</f>
        <v>6110.7692307692369</v>
      </c>
      <c r="E52" s="183"/>
      <c r="F52" s="100"/>
      <c r="G52" s="148" t="s">
        <v>274</v>
      </c>
      <c r="H52" s="176">
        <f>I52/$D$5</f>
        <v>6.1106470178288737</v>
      </c>
      <c r="I52" s="176">
        <f>J52/$R$1</f>
        <v>39939.668174962288</v>
      </c>
      <c r="J52" s="184">
        <f>$S$32</f>
        <v>20369.230769230766</v>
      </c>
    </row>
    <row r="53" spans="1:10" x14ac:dyDescent="0.3">
      <c r="B53" s="231" t="s">
        <v>296</v>
      </c>
      <c r="C53" s="234">
        <f>MIN($C$52, $C$51)</f>
        <v>6.1107692307692369</v>
      </c>
      <c r="D53" s="233">
        <f>(C53*$K$1)*$C$1</f>
        <v>6110.7692307692369</v>
      </c>
      <c r="E53" s="100"/>
      <c r="F53" s="100"/>
      <c r="G53" s="148" t="s">
        <v>296</v>
      </c>
      <c r="H53" s="187">
        <f>MIN(H52,H51)</f>
        <v>6.1106470178288737</v>
      </c>
      <c r="I53" s="176">
        <f>J53/$R$1</f>
        <v>39939.668174962288</v>
      </c>
      <c r="J53" s="176">
        <f>MIN(J52,J51)</f>
        <v>20369.230769230766</v>
      </c>
    </row>
    <row r="54" spans="1:10" x14ac:dyDescent="0.3">
      <c r="B54" s="231" t="s">
        <v>297</v>
      </c>
      <c r="C54" s="234">
        <f>MIN(MAX($C$53-C52-C53,0),C51)</f>
        <v>0</v>
      </c>
      <c r="D54" s="233">
        <f>(C54*$K$1)*$C$1</f>
        <v>0</v>
      </c>
      <c r="E54" s="100"/>
      <c r="F54" s="100"/>
      <c r="G54" s="148" t="s">
        <v>297</v>
      </c>
      <c r="H54" s="187">
        <f>MIN(MAX(H52-H53),H51)</f>
        <v>0</v>
      </c>
      <c r="I54" s="176">
        <f>J54/$R$1</f>
        <v>0</v>
      </c>
      <c r="J54" s="176">
        <f>MIN(MAX(J52-J53),J51)</f>
        <v>0</v>
      </c>
    </row>
    <row r="55" spans="1:10" x14ac:dyDescent="0.3">
      <c r="B55" s="231" t="s">
        <v>298</v>
      </c>
      <c r="C55" s="234">
        <f>MIN(MAX($C$52-C53-C54,0),C51)</f>
        <v>0</v>
      </c>
      <c r="D55" s="233">
        <f>(C55*$K$1)*$C$1</f>
        <v>0</v>
      </c>
      <c r="E55" s="100"/>
      <c r="F55" s="100"/>
      <c r="G55" s="145" t="s">
        <v>298</v>
      </c>
      <c r="H55" s="187">
        <f>MIN(MAX(H52-H53-H54),H51)</f>
        <v>0</v>
      </c>
      <c r="I55" s="176">
        <f>J55/$R$1</f>
        <v>0</v>
      </c>
      <c r="J55" s="176">
        <f>MIN(MAX(J52-J53-J54),J51)</f>
        <v>0</v>
      </c>
    </row>
    <row r="61" spans="1:10" ht="14.25" customHeight="1" x14ac:dyDescent="0.3"/>
    <row r="62" spans="1:10" ht="18" customHeight="1" x14ac:dyDescent="0.3">
      <c r="A62" s="937"/>
      <c r="B62" s="1413" t="str">
        <f>"بيف شيلي دراي الدفعة 1  / " &amp; COUNTIF($C$53:$C$55, "&gt;0")</f>
        <v>بيف شيلي دراي الدفعة 1  / 1</v>
      </c>
      <c r="C62" s="1413"/>
      <c r="D62" s="1413"/>
      <c r="E62" s="1413"/>
      <c r="F62" s="1413"/>
      <c r="G62" s="1413"/>
      <c r="H62" s="1413"/>
    </row>
    <row r="63" spans="1:10" ht="17.75" customHeight="1" x14ac:dyDescent="0.3">
      <c r="A63" s="937"/>
      <c r="B63" s="1382" t="str">
        <f>"Beef Chili Dry 1 / " &amp; COUNTIF($C$53:$C$55, "&gt;0")</f>
        <v>Beef Chili Dry 1 / 1</v>
      </c>
      <c r="C63" s="1382"/>
      <c r="D63" s="1382"/>
      <c r="E63" s="1382"/>
      <c r="F63" s="1382"/>
      <c r="G63" s="1382"/>
      <c r="H63" s="1382"/>
    </row>
    <row r="64" spans="1:10" ht="47.75" customHeight="1" x14ac:dyDescent="0.25">
      <c r="A64" s="106"/>
      <c r="B64" s="91" t="s">
        <v>253</v>
      </c>
      <c r="C64" s="107" t="s">
        <v>254</v>
      </c>
      <c r="D64" s="91" t="s">
        <v>243</v>
      </c>
      <c r="E64" s="108" t="s">
        <v>246</v>
      </c>
      <c r="F64" s="108" t="s">
        <v>255</v>
      </c>
      <c r="G64" s="91" t="s">
        <v>256</v>
      </c>
      <c r="H64" s="109" t="s">
        <v>257</v>
      </c>
    </row>
    <row r="65" spans="1:8" ht="17.75" customHeight="1" x14ac:dyDescent="0.3">
      <c r="A65" s="128" t="s">
        <v>230</v>
      </c>
      <c r="B65" s="123" t="str">
        <f t="shared" ref="B65:D88" si="13">B5</f>
        <v>Indian Meat Alana  - لحم هندى ألانا</v>
      </c>
      <c r="C65" s="123" t="str">
        <f t="shared" si="13"/>
        <v>gm</v>
      </c>
      <c r="D65" s="263">
        <f t="shared" si="13"/>
        <v>6536.0784313725489</v>
      </c>
      <c r="E65" s="126">
        <f>H53</f>
        <v>6.1106470178288737</v>
      </c>
      <c r="F65" s="127">
        <f t="shared" ref="F65:F88" si="14">F5</f>
        <v>1</v>
      </c>
      <c r="G65" s="117">
        <f t="shared" ref="G65:G87" si="15">D65*E65</f>
        <v>39939.668174962288</v>
      </c>
      <c r="H65" s="120">
        <f t="shared" ref="H65:H87" si="16">G65*F65</f>
        <v>39939.668174962288</v>
      </c>
    </row>
    <row r="66" spans="1:8" x14ac:dyDescent="0.3">
      <c r="A66" s="128" t="s">
        <v>13</v>
      </c>
      <c r="B66" s="123" t="str">
        <f t="shared" si="13"/>
        <v>Onion - بصل</v>
      </c>
      <c r="C66" s="123" t="str">
        <f t="shared" si="13"/>
        <v>gm</v>
      </c>
      <c r="D66" s="123">
        <f t="shared" si="13"/>
        <v>150</v>
      </c>
      <c r="E66" s="126">
        <f t="shared" ref="E66:E88" si="17">$C$53</f>
        <v>6.1107692307692369</v>
      </c>
      <c r="F66" s="127">
        <f t="shared" si="14"/>
        <v>0.95</v>
      </c>
      <c r="G66" s="117">
        <f t="shared" si="15"/>
        <v>916.61538461538555</v>
      </c>
      <c r="H66" s="120">
        <f t="shared" si="16"/>
        <v>870.78461538461625</v>
      </c>
    </row>
    <row r="67" spans="1:8" ht="14.25" customHeight="1" x14ac:dyDescent="0.3">
      <c r="A67" s="128" t="s">
        <v>13</v>
      </c>
      <c r="B67" s="123" t="str">
        <f t="shared" si="13"/>
        <v>Green Bell Pepper - فلفل أخضر رومى</v>
      </c>
      <c r="C67" s="123" t="str">
        <f t="shared" si="13"/>
        <v>gm</v>
      </c>
      <c r="D67" s="123">
        <f t="shared" si="13"/>
        <v>300</v>
      </c>
      <c r="E67" s="126">
        <f t="shared" si="17"/>
        <v>6.1107692307692369</v>
      </c>
      <c r="F67" s="127">
        <f t="shared" si="14"/>
        <v>0.95</v>
      </c>
      <c r="G67" s="117">
        <f t="shared" si="15"/>
        <v>1833.2307692307711</v>
      </c>
      <c r="H67" s="120">
        <f t="shared" si="16"/>
        <v>1741.5692307692325</v>
      </c>
    </row>
    <row r="68" spans="1:8" ht="14.25" customHeight="1" x14ac:dyDescent="0.3">
      <c r="A68" s="128" t="s">
        <v>57</v>
      </c>
      <c r="B68" s="123" t="str">
        <f t="shared" si="13"/>
        <v>Ginger - زنجبيل</v>
      </c>
      <c r="C68" s="123" t="str">
        <f t="shared" si="13"/>
        <v>gm</v>
      </c>
      <c r="D68" s="123">
        <f t="shared" si="13"/>
        <v>50</v>
      </c>
      <c r="E68" s="126">
        <f t="shared" si="17"/>
        <v>6.1107692307692369</v>
      </c>
      <c r="F68" s="127">
        <f t="shared" si="14"/>
        <v>1</v>
      </c>
      <c r="G68" s="117">
        <f t="shared" si="15"/>
        <v>305.53846153846183</v>
      </c>
      <c r="H68" s="120">
        <f t="shared" si="16"/>
        <v>305.53846153846183</v>
      </c>
    </row>
    <row r="69" spans="1:8" ht="14.25" customHeight="1" x14ac:dyDescent="0.3">
      <c r="A69" s="128" t="s">
        <v>13</v>
      </c>
      <c r="B69" s="123" t="str">
        <f t="shared" si="13"/>
        <v>Garlic - ثوم مقشر</v>
      </c>
      <c r="C69" s="123" t="str">
        <f t="shared" si="13"/>
        <v>gm</v>
      </c>
      <c r="D69" s="123">
        <f t="shared" si="13"/>
        <v>50</v>
      </c>
      <c r="E69" s="126">
        <f t="shared" si="17"/>
        <v>6.1107692307692369</v>
      </c>
      <c r="F69" s="127">
        <f t="shared" si="14"/>
        <v>1</v>
      </c>
      <c r="G69" s="117">
        <f t="shared" si="15"/>
        <v>305.53846153846183</v>
      </c>
      <c r="H69" s="120">
        <f t="shared" si="16"/>
        <v>305.53846153846183</v>
      </c>
    </row>
    <row r="70" spans="1:8" ht="14.25" customHeight="1" x14ac:dyDescent="0.3">
      <c r="A70" s="128" t="s">
        <v>196</v>
      </c>
      <c r="B70" s="123" t="str">
        <f t="shared" si="13"/>
        <v>Sriracha Sauce - صوص سريراتشا</v>
      </c>
      <c r="C70" s="123" t="str">
        <f t="shared" si="13"/>
        <v>ml</v>
      </c>
      <c r="D70" s="123">
        <f t="shared" si="13"/>
        <v>50</v>
      </c>
      <c r="E70" s="126">
        <f t="shared" si="17"/>
        <v>6.1107692307692369</v>
      </c>
      <c r="F70" s="127">
        <f t="shared" si="14"/>
        <v>0.75</v>
      </c>
      <c r="G70" s="117">
        <f t="shared" si="15"/>
        <v>305.53846153846183</v>
      </c>
      <c r="H70" s="120">
        <f t="shared" si="16"/>
        <v>229.15384615384636</v>
      </c>
    </row>
    <row r="71" spans="1:8" ht="14.25" customHeight="1" x14ac:dyDescent="0.3">
      <c r="A71" s="128" t="s">
        <v>196</v>
      </c>
      <c r="B71" s="123" t="str">
        <f t="shared" si="13"/>
        <v>Light Soy Sauce - صويا صوص خفيف</v>
      </c>
      <c r="C71" s="123" t="str">
        <f t="shared" si="13"/>
        <v>ml</v>
      </c>
      <c r="D71" s="123">
        <f t="shared" si="13"/>
        <v>40</v>
      </c>
      <c r="E71" s="126">
        <f t="shared" si="17"/>
        <v>6.1107692307692369</v>
      </c>
      <c r="F71" s="127">
        <f t="shared" si="14"/>
        <v>0.75</v>
      </c>
      <c r="G71" s="117">
        <f t="shared" si="15"/>
        <v>244.43076923076947</v>
      </c>
      <c r="H71" s="120">
        <f t="shared" si="16"/>
        <v>183.32307692307711</v>
      </c>
    </row>
    <row r="72" spans="1:8" ht="14.25" customHeight="1" x14ac:dyDescent="0.3">
      <c r="A72" s="128" t="s">
        <v>196</v>
      </c>
      <c r="B72" s="123" t="str">
        <f t="shared" si="13"/>
        <v>Oyster Sauce - صوص محار</v>
      </c>
      <c r="C72" s="123" t="str">
        <f t="shared" si="13"/>
        <v>ml</v>
      </c>
      <c r="D72" s="123">
        <f t="shared" si="13"/>
        <v>200</v>
      </c>
      <c r="E72" s="126">
        <f t="shared" si="17"/>
        <v>6.1107692307692369</v>
      </c>
      <c r="F72" s="127">
        <f t="shared" si="14"/>
        <v>0.95</v>
      </c>
      <c r="G72" s="117">
        <f t="shared" si="15"/>
        <v>1222.1538461538473</v>
      </c>
      <c r="H72" s="120">
        <f t="shared" si="16"/>
        <v>1161.046153846155</v>
      </c>
    </row>
    <row r="73" spans="1:8" ht="14.25" customHeight="1" x14ac:dyDescent="0.3">
      <c r="A73" s="128" t="s">
        <v>196</v>
      </c>
      <c r="B73" s="123" t="str">
        <f t="shared" si="13"/>
        <v>Sweet Soy Sauce - صويا صوص حلو</v>
      </c>
      <c r="C73" s="123" t="str">
        <f t="shared" si="13"/>
        <v>ml</v>
      </c>
      <c r="D73" s="123">
        <f t="shared" si="13"/>
        <v>50</v>
      </c>
      <c r="E73" s="126">
        <f t="shared" si="17"/>
        <v>6.1107692307692369</v>
      </c>
      <c r="F73" s="127">
        <f t="shared" si="14"/>
        <v>0.95</v>
      </c>
      <c r="G73" s="117">
        <f t="shared" si="15"/>
        <v>305.53846153846183</v>
      </c>
      <c r="H73" s="120">
        <f t="shared" si="16"/>
        <v>290.26153846153875</v>
      </c>
    </row>
    <row r="74" spans="1:8" ht="14.25" customHeight="1" x14ac:dyDescent="0.3">
      <c r="A74" s="128" t="s">
        <v>210</v>
      </c>
      <c r="B74" s="123" t="str">
        <f t="shared" si="13"/>
        <v>Water - ماء</v>
      </c>
      <c r="C74" s="123" t="str">
        <f t="shared" si="13"/>
        <v>ml</v>
      </c>
      <c r="D74" s="123">
        <f t="shared" si="13"/>
        <v>15</v>
      </c>
      <c r="E74" s="126">
        <f t="shared" si="17"/>
        <v>6.1107692307692369</v>
      </c>
      <c r="F74" s="127">
        <f t="shared" si="14"/>
        <v>1</v>
      </c>
      <c r="G74" s="117">
        <f t="shared" si="15"/>
        <v>91.661538461538555</v>
      </c>
      <c r="H74" s="120">
        <f t="shared" si="16"/>
        <v>91.661538461538555</v>
      </c>
    </row>
    <row r="75" spans="1:8" ht="14.25" customHeight="1" x14ac:dyDescent="0.3">
      <c r="A75" s="128" t="s">
        <v>97</v>
      </c>
      <c r="B75" s="123" t="str">
        <f t="shared" si="13"/>
        <v>Black Pepper Powder - فلفل أسود مطحون</v>
      </c>
      <c r="C75" s="123" t="str">
        <f t="shared" si="13"/>
        <v>gm</v>
      </c>
      <c r="D75" s="123">
        <f t="shared" si="13"/>
        <v>2</v>
      </c>
      <c r="E75" s="126">
        <f t="shared" si="17"/>
        <v>6.1107692307692369</v>
      </c>
      <c r="F75" s="127">
        <f t="shared" si="14"/>
        <v>1</v>
      </c>
      <c r="G75" s="117">
        <f t="shared" si="15"/>
        <v>12.221538461538474</v>
      </c>
      <c r="H75" s="120">
        <f t="shared" si="16"/>
        <v>12.221538461538474</v>
      </c>
    </row>
    <row r="76" spans="1:8" ht="14.25" customHeight="1" x14ac:dyDescent="0.3">
      <c r="A76" s="128" t="s">
        <v>192</v>
      </c>
      <c r="B76" s="123" t="str">
        <f t="shared" si="13"/>
        <v>Corn Starch - نشا ذرة</v>
      </c>
      <c r="C76" s="123" t="str">
        <f t="shared" si="13"/>
        <v>gm</v>
      </c>
      <c r="D76" s="123">
        <f t="shared" si="13"/>
        <v>20</v>
      </c>
      <c r="E76" s="126">
        <f t="shared" si="17"/>
        <v>6.1107692307692369</v>
      </c>
      <c r="F76" s="127">
        <f t="shared" si="14"/>
        <v>0.75</v>
      </c>
      <c r="G76" s="117">
        <f t="shared" si="15"/>
        <v>122.21538461538474</v>
      </c>
      <c r="H76" s="120">
        <f t="shared" si="16"/>
        <v>91.661538461538555</v>
      </c>
    </row>
    <row r="77" spans="1:8" ht="14.25" customHeight="1" x14ac:dyDescent="0.3">
      <c r="A77" s="128" t="s">
        <v>186</v>
      </c>
      <c r="B77" s="123" t="str">
        <f t="shared" si="13"/>
        <v>Sugar - سكر</v>
      </c>
      <c r="C77" s="123" t="str">
        <f t="shared" si="13"/>
        <v>gm</v>
      </c>
      <c r="D77" s="123">
        <f t="shared" si="13"/>
        <v>15</v>
      </c>
      <c r="E77" s="126">
        <f t="shared" si="17"/>
        <v>6.1107692307692369</v>
      </c>
      <c r="F77" s="127">
        <f t="shared" si="14"/>
        <v>1</v>
      </c>
      <c r="G77" s="117">
        <f t="shared" si="15"/>
        <v>91.661538461538555</v>
      </c>
      <c r="H77" s="120">
        <f t="shared" si="16"/>
        <v>91.661538461538555</v>
      </c>
    </row>
    <row r="78" spans="1:8" ht="14.25" customHeight="1" x14ac:dyDescent="0.3">
      <c r="A78" s="128" t="s">
        <v>97</v>
      </c>
      <c r="B78" s="123" t="str">
        <f t="shared" si="13"/>
        <v>Salt - ملح</v>
      </c>
      <c r="C78" s="123" t="str">
        <f t="shared" si="13"/>
        <v>gm</v>
      </c>
      <c r="D78" s="123">
        <f t="shared" si="13"/>
        <v>3</v>
      </c>
      <c r="E78" s="126">
        <f t="shared" si="17"/>
        <v>6.1107692307692369</v>
      </c>
      <c r="F78" s="127">
        <f t="shared" si="14"/>
        <v>1</v>
      </c>
      <c r="G78" s="117">
        <f t="shared" si="15"/>
        <v>18.332307692307712</v>
      </c>
      <c r="H78" s="120">
        <f t="shared" si="16"/>
        <v>18.332307692307712</v>
      </c>
    </row>
    <row r="79" spans="1:8" ht="14.25" customHeight="1" x14ac:dyDescent="0.3">
      <c r="A79" s="128" t="s">
        <v>158</v>
      </c>
      <c r="B79" s="123" t="str">
        <f t="shared" si="13"/>
        <v>Butter - زبدة</v>
      </c>
      <c r="C79" s="123" t="str">
        <f t="shared" si="13"/>
        <v>gm</v>
      </c>
      <c r="D79" s="123">
        <f t="shared" si="13"/>
        <v>30</v>
      </c>
      <c r="E79" s="126">
        <f t="shared" si="17"/>
        <v>6.1107692307692369</v>
      </c>
      <c r="F79" s="127">
        <f t="shared" si="14"/>
        <v>1</v>
      </c>
      <c r="G79" s="117">
        <f t="shared" si="15"/>
        <v>183.32307692307711</v>
      </c>
      <c r="H79" s="120">
        <f t="shared" si="16"/>
        <v>183.32307692307711</v>
      </c>
    </row>
    <row r="80" spans="1:8" ht="14.25" customHeight="1" x14ac:dyDescent="0.3">
      <c r="A80" s="128" t="s">
        <v>97</v>
      </c>
      <c r="B80" s="123" t="str">
        <f t="shared" si="13"/>
        <v>Black Pepper Whole - فلفل أسود حب</v>
      </c>
      <c r="C80" s="123" t="str">
        <f t="shared" si="13"/>
        <v>gm</v>
      </c>
      <c r="D80" s="123">
        <f t="shared" si="13"/>
        <v>2</v>
      </c>
      <c r="E80" s="126">
        <f t="shared" si="17"/>
        <v>6.1107692307692369</v>
      </c>
      <c r="F80" s="127">
        <f t="shared" si="14"/>
        <v>1</v>
      </c>
      <c r="G80" s="117">
        <f t="shared" si="15"/>
        <v>12.221538461538474</v>
      </c>
      <c r="H80" s="120">
        <f t="shared" si="16"/>
        <v>12.221538461538474</v>
      </c>
    </row>
    <row r="81" spans="1:10" ht="14.25" customHeight="1" x14ac:dyDescent="0.3">
      <c r="A81" s="128" t="s">
        <v>97</v>
      </c>
      <c r="B81" s="123" t="str">
        <f t="shared" si="13"/>
        <v>Cumin Whole - كمون حب</v>
      </c>
      <c r="C81" s="123" t="str">
        <f t="shared" si="13"/>
        <v>gm</v>
      </c>
      <c r="D81" s="123">
        <f t="shared" si="13"/>
        <v>2</v>
      </c>
      <c r="E81" s="126">
        <f t="shared" si="17"/>
        <v>6.1107692307692369</v>
      </c>
      <c r="F81" s="127">
        <f t="shared" si="14"/>
        <v>1</v>
      </c>
      <c r="G81" s="117">
        <f t="shared" si="15"/>
        <v>12.221538461538474</v>
      </c>
      <c r="H81" s="120">
        <f t="shared" si="16"/>
        <v>12.221538461538474</v>
      </c>
    </row>
    <row r="82" spans="1:10" ht="14.25" customHeight="1" x14ac:dyDescent="0.3">
      <c r="A82" s="128" t="s">
        <v>97</v>
      </c>
      <c r="B82" s="123" t="str">
        <f t="shared" si="13"/>
        <v>Cloves Whole - قرنفل حب</v>
      </c>
      <c r="C82" s="123" t="str">
        <f t="shared" si="13"/>
        <v>gm</v>
      </c>
      <c r="D82" s="123">
        <f t="shared" si="13"/>
        <v>2</v>
      </c>
      <c r="E82" s="126">
        <f t="shared" si="17"/>
        <v>6.1107692307692369</v>
      </c>
      <c r="F82" s="127">
        <f t="shared" si="14"/>
        <v>1</v>
      </c>
      <c r="G82" s="117">
        <f t="shared" si="15"/>
        <v>12.221538461538474</v>
      </c>
      <c r="H82" s="120">
        <f t="shared" si="16"/>
        <v>12.221538461538474</v>
      </c>
    </row>
    <row r="83" spans="1:10" ht="14.25" customHeight="1" x14ac:dyDescent="0.3">
      <c r="A83" s="128" t="s">
        <v>97</v>
      </c>
      <c r="B83" s="123" t="str">
        <f t="shared" si="13"/>
        <v>Cinnamon Whole - قرفة أعواد</v>
      </c>
      <c r="C83" s="123" t="str">
        <f t="shared" si="13"/>
        <v>gm</v>
      </c>
      <c r="D83" s="123">
        <f t="shared" si="13"/>
        <v>2</v>
      </c>
      <c r="E83" s="126">
        <f t="shared" si="17"/>
        <v>6.1107692307692369</v>
      </c>
      <c r="F83" s="127">
        <f t="shared" si="14"/>
        <v>1</v>
      </c>
      <c r="G83" s="117">
        <f t="shared" si="15"/>
        <v>12.221538461538474</v>
      </c>
      <c r="H83" s="120">
        <f t="shared" si="16"/>
        <v>12.221538461538474</v>
      </c>
    </row>
    <row r="84" spans="1:10" ht="14.25" customHeight="1" x14ac:dyDescent="0.3">
      <c r="A84" s="128" t="s">
        <v>97</v>
      </c>
      <c r="B84" s="123" t="str">
        <f t="shared" si="13"/>
        <v>Cardamom Whole - هيل حب</v>
      </c>
      <c r="C84" s="123" t="str">
        <f t="shared" si="13"/>
        <v>gm</v>
      </c>
      <c r="D84" s="123">
        <f t="shared" si="13"/>
        <v>2</v>
      </c>
      <c r="E84" s="126">
        <f t="shared" si="17"/>
        <v>6.1107692307692369</v>
      </c>
      <c r="F84" s="127">
        <f t="shared" si="14"/>
        <v>1</v>
      </c>
      <c r="G84" s="117">
        <f t="shared" si="15"/>
        <v>12.221538461538474</v>
      </c>
      <c r="H84" s="120">
        <f t="shared" si="16"/>
        <v>12.221538461538474</v>
      </c>
    </row>
    <row r="85" spans="1:10" ht="14.25" customHeight="1" x14ac:dyDescent="0.3">
      <c r="A85" s="128" t="s">
        <v>97</v>
      </c>
      <c r="B85" s="123" t="str">
        <f t="shared" si="13"/>
        <v>Star Anise - ينسون نجمي</v>
      </c>
      <c r="C85" s="123" t="str">
        <f t="shared" si="13"/>
        <v>gm</v>
      </c>
      <c r="D85" s="123">
        <f t="shared" si="13"/>
        <v>1</v>
      </c>
      <c r="E85" s="126">
        <f t="shared" si="17"/>
        <v>6.1107692307692369</v>
      </c>
      <c r="F85" s="127">
        <f t="shared" si="14"/>
        <v>1</v>
      </c>
      <c r="G85" s="117">
        <f t="shared" si="15"/>
        <v>6.1107692307692369</v>
      </c>
      <c r="H85" s="120">
        <f t="shared" si="16"/>
        <v>6.1107692307692369</v>
      </c>
    </row>
    <row r="86" spans="1:10" ht="14.25" customHeight="1" x14ac:dyDescent="0.3">
      <c r="A86" s="128" t="s">
        <v>97</v>
      </c>
      <c r="B86" s="123" t="str">
        <f t="shared" si="13"/>
        <v>Salt - ملح</v>
      </c>
      <c r="C86" s="123" t="str">
        <f t="shared" si="13"/>
        <v>gm</v>
      </c>
      <c r="D86" s="123">
        <f t="shared" si="13"/>
        <v>5</v>
      </c>
      <c r="E86" s="126">
        <f t="shared" si="17"/>
        <v>6.1107692307692369</v>
      </c>
      <c r="F86" s="127">
        <f t="shared" si="14"/>
        <v>1</v>
      </c>
      <c r="G86" s="117">
        <f t="shared" si="15"/>
        <v>30.553846153846184</v>
      </c>
      <c r="H86" s="120">
        <f t="shared" si="16"/>
        <v>30.553846153846184</v>
      </c>
    </row>
    <row r="87" spans="1:10" ht="14.25" customHeight="1" x14ac:dyDescent="0.3">
      <c r="A87" s="128" t="s">
        <v>97</v>
      </c>
      <c r="B87" s="123" t="str">
        <f t="shared" si="13"/>
        <v>Garlic - ثوم مقشر</v>
      </c>
      <c r="C87" s="123" t="str">
        <f t="shared" si="13"/>
        <v>gm</v>
      </c>
      <c r="D87" s="123">
        <f t="shared" si="13"/>
        <v>5</v>
      </c>
      <c r="E87" s="126">
        <f t="shared" si="17"/>
        <v>6.1107692307692369</v>
      </c>
      <c r="F87" s="127">
        <f t="shared" si="14"/>
        <v>1</v>
      </c>
      <c r="G87" s="117">
        <f t="shared" si="15"/>
        <v>30.553846153846184</v>
      </c>
      <c r="H87" s="120">
        <f t="shared" si="16"/>
        <v>30.553846153846184</v>
      </c>
    </row>
    <row r="88" spans="1:10" ht="14.25" customHeight="1" x14ac:dyDescent="0.3">
      <c r="A88" s="128" t="s">
        <v>97</v>
      </c>
      <c r="B88" s="123" t="str">
        <f t="shared" si="13"/>
        <v>Beef Stock - مرق لحم بقري</v>
      </c>
      <c r="C88" s="123" t="str">
        <f t="shared" si="13"/>
        <v>ml</v>
      </c>
      <c r="D88" s="123">
        <f t="shared" si="13"/>
        <v>300</v>
      </c>
      <c r="E88" s="126">
        <f t="shared" si="17"/>
        <v>6.1107692307692369</v>
      </c>
      <c r="F88" s="127">
        <f t="shared" si="14"/>
        <v>1</v>
      </c>
      <c r="G88" s="117">
        <f t="shared" ref="G88" si="18">D88*E88</f>
        <v>1833.2307692307711</v>
      </c>
      <c r="H88" s="120">
        <f t="shared" ref="H88" si="19">G88*F88</f>
        <v>1833.2307692307711</v>
      </c>
    </row>
    <row r="89" spans="1:10" ht="20.25" customHeight="1" x14ac:dyDescent="0.4">
      <c r="A89" s="211"/>
      <c r="B89" s="198" t="s">
        <v>299</v>
      </c>
      <c r="C89" s="200" t="s">
        <v>285</v>
      </c>
      <c r="E89" s="200" t="s">
        <v>300</v>
      </c>
      <c r="G89" s="890" t="s">
        <v>276</v>
      </c>
      <c r="H89" s="890" t="s">
        <v>733</v>
      </c>
      <c r="I89" s="204"/>
      <c r="J89" s="203"/>
    </row>
    <row r="90" spans="1:10" ht="24" customHeight="1" x14ac:dyDescent="0.4">
      <c r="A90" s="211"/>
      <c r="B90" s="199">
        <f>$J$53</f>
        <v>20369.230769230766</v>
      </c>
      <c r="C90" s="199">
        <f>E90+G90</f>
        <v>6110.7692307692369</v>
      </c>
      <c r="D90" s="930"/>
      <c r="E90" s="199">
        <f>$D$53*$S$44</f>
        <v>6110.7692307692369</v>
      </c>
      <c r="F90" s="934"/>
      <c r="G90" s="199">
        <f>$D$53*$T$44</f>
        <v>0</v>
      </c>
      <c r="H90" s="199">
        <f>B90+E90</f>
        <v>26480.000000000004</v>
      </c>
    </row>
    <row r="91" spans="1:10" ht="20.25" customHeight="1" x14ac:dyDescent="0.3"/>
  </sheetData>
  <mergeCells count="8">
    <mergeCell ref="B62:H62"/>
    <mergeCell ref="B63:H63"/>
    <mergeCell ref="B2:J3"/>
    <mergeCell ref="AE2:AG3"/>
    <mergeCell ref="R26:U26"/>
    <mergeCell ref="R25:U25"/>
    <mergeCell ref="K2:K3"/>
    <mergeCell ref="B35:F35"/>
  </mergeCells>
  <printOptions horizontalCentered="1"/>
  <pageMargins left="0.5" right="0.5" top="1" bottom="0.5" header="0.3" footer="0.511811023622047"/>
  <pageSetup paperSize="9" scale="31"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B050"/>
    <pageSetUpPr fitToPage="1"/>
  </sheetPr>
  <dimension ref="A1:AE148"/>
  <sheetViews>
    <sheetView topLeftCell="A15" zoomScale="68" zoomScaleNormal="40" workbookViewId="0">
      <selection activeCell="D53" sqref="D53:D55"/>
    </sheetView>
  </sheetViews>
  <sheetFormatPr defaultColWidth="12.5" defaultRowHeight="14" x14ac:dyDescent="0.3"/>
  <cols>
    <col min="1" max="1" width="12.5" style="1" customWidth="1"/>
    <col min="2" max="2" width="33.75" customWidth="1"/>
    <col min="3" max="3" width="23.9140625" customWidth="1"/>
    <col min="4" max="4" width="19" customWidth="1"/>
    <col min="5" max="5" width="16.1640625" customWidth="1"/>
    <col min="6" max="6" width="23.08203125" customWidth="1"/>
    <col min="7" max="7" width="25.1640625" customWidth="1"/>
    <col min="8" max="8" width="36.1640625" customWidth="1"/>
    <col min="12" max="12" width="8.33203125" customWidth="1"/>
    <col min="13" max="14" width="4.5" customWidth="1"/>
    <col min="18" max="18" width="30.5" customWidth="1"/>
    <col min="27" max="27" width="13.25" bestFit="1" customWidth="1"/>
    <col min="28" max="28" width="10.33203125" bestFit="1" customWidth="1"/>
  </cols>
  <sheetData>
    <row r="1" spans="1:30" ht="35.25" customHeight="1" x14ac:dyDescent="0.3">
      <c r="B1" s="80" t="s">
        <v>243</v>
      </c>
      <c r="C1" s="81">
        <v>1000</v>
      </c>
      <c r="D1" s="82" t="s">
        <v>244</v>
      </c>
      <c r="E1" s="117">
        <f>T32</f>
        <v>27401.84615384616</v>
      </c>
      <c r="F1" s="80" t="s">
        <v>245</v>
      </c>
      <c r="G1" s="121">
        <f>E1/C1</f>
        <v>27.401846153846158</v>
      </c>
      <c r="H1" s="80" t="s">
        <v>246</v>
      </c>
      <c r="I1" s="282">
        <f>(G1/K1)</f>
        <v>28.844048582995956</v>
      </c>
      <c r="J1" s="86" t="s">
        <v>247</v>
      </c>
      <c r="K1" s="283">
        <f>9.5/10</f>
        <v>0.95</v>
      </c>
      <c r="L1" s="100"/>
      <c r="M1" s="89"/>
      <c r="N1" s="90"/>
      <c r="O1" s="91" t="s">
        <v>248</v>
      </c>
      <c r="P1" s="92" t="s">
        <v>301</v>
      </c>
      <c r="Q1" s="93" t="s">
        <v>250</v>
      </c>
      <c r="R1" s="92">
        <v>0.51</v>
      </c>
      <c r="Y1" s="91" t="s">
        <v>479</v>
      </c>
      <c r="Z1" s="847">
        <v>29440</v>
      </c>
      <c r="AA1" s="91" t="s">
        <v>600</v>
      </c>
      <c r="AB1" s="847">
        <v>1000</v>
      </c>
      <c r="AC1" s="91" t="s">
        <v>587</v>
      </c>
      <c r="AD1" s="847">
        <v>206</v>
      </c>
    </row>
    <row r="2" spans="1:30" ht="12.75" customHeight="1" x14ac:dyDescent="0.3">
      <c r="A2" s="265"/>
      <c r="B2" s="1387" t="s">
        <v>316</v>
      </c>
      <c r="C2" s="1422"/>
      <c r="D2" s="1422"/>
      <c r="E2" s="1422"/>
      <c r="F2" s="1422"/>
      <c r="G2" s="1422"/>
      <c r="H2" s="1422"/>
      <c r="I2" s="1422"/>
      <c r="J2" s="1422"/>
      <c r="K2" s="1422"/>
      <c r="L2" s="98"/>
      <c r="Q2" s="100"/>
      <c r="R2" s="100"/>
    </row>
    <row r="3" spans="1:30" ht="12.75" customHeight="1" x14ac:dyDescent="0.3">
      <c r="A3" s="265"/>
      <c r="B3" s="1388"/>
      <c r="C3" s="1388"/>
      <c r="D3" s="1388"/>
      <c r="E3" s="1388"/>
      <c r="F3" s="1388"/>
      <c r="G3" s="1388"/>
      <c r="H3" s="1388"/>
      <c r="I3" s="1388"/>
      <c r="J3" s="1388"/>
      <c r="K3" s="1388"/>
      <c r="L3" s="103"/>
      <c r="Q3" s="100"/>
      <c r="R3" s="100"/>
    </row>
    <row r="4" spans="1:30" ht="35.25" customHeight="1" x14ac:dyDescent="0.3">
      <c r="A4" s="91" t="s">
        <v>1</v>
      </c>
      <c r="B4" s="91" t="s">
        <v>253</v>
      </c>
      <c r="C4" s="107" t="s">
        <v>254</v>
      </c>
      <c r="D4" s="91" t="s">
        <v>243</v>
      </c>
      <c r="E4" s="108" t="s">
        <v>246</v>
      </c>
      <c r="F4" s="108" t="s">
        <v>255</v>
      </c>
      <c r="G4" s="91" t="s">
        <v>256</v>
      </c>
      <c r="H4" s="109" t="s">
        <v>257</v>
      </c>
      <c r="I4" s="91" t="s">
        <v>258</v>
      </c>
      <c r="J4" s="91" t="s">
        <v>259</v>
      </c>
      <c r="K4" s="91" t="s">
        <v>260</v>
      </c>
      <c r="L4" s="91" t="s">
        <v>261</v>
      </c>
      <c r="AA4" s="251"/>
      <c r="AB4" s="253"/>
    </row>
    <row r="5" spans="1:30" ht="14.25" customHeight="1" x14ac:dyDescent="0.3">
      <c r="A5" s="266" t="s">
        <v>230</v>
      </c>
      <c r="B5" s="220" t="s">
        <v>232</v>
      </c>
      <c r="C5" s="124" t="s">
        <v>14</v>
      </c>
      <c r="D5" s="121">
        <f>I51/10</f>
        <v>1620.7843137254902</v>
      </c>
      <c r="E5" s="223">
        <f>H52</f>
        <v>27.396750358279508</v>
      </c>
      <c r="F5" s="127">
        <v>1</v>
      </c>
      <c r="G5" s="119">
        <f t="shared" ref="G5:G19" si="0">D5*E5</f>
        <v>44404.223227752627</v>
      </c>
      <c r="H5" s="120">
        <f t="shared" ref="H5:H19" si="1">G5*F5</f>
        <v>44404.223227752627</v>
      </c>
      <c r="I5" s="81">
        <f>VLOOKUP(B5,All_Ingredients!$A$1:$F$151,6,FALSE())</f>
        <v>0.55000000000000004</v>
      </c>
      <c r="J5" s="119">
        <f>VLOOKUP(B5,All_Ingredients!$A$1:$J$151,10,FALSE())</f>
        <v>26.666666666666668</v>
      </c>
      <c r="K5" s="122">
        <f t="shared" ref="K5" si="2">(H5/I5)/1000</f>
        <v>80.734951323186593</v>
      </c>
      <c r="L5" s="122">
        <f t="shared" ref="L5" si="3">K5*J5</f>
        <v>2152.9320352849759</v>
      </c>
      <c r="AA5" s="92"/>
      <c r="AB5" s="133"/>
    </row>
    <row r="6" spans="1:30" ht="14.25" customHeight="1" x14ac:dyDescent="0.3">
      <c r="A6" s="270" t="s">
        <v>13</v>
      </c>
      <c r="B6" s="220" t="s">
        <v>12</v>
      </c>
      <c r="C6" s="124" t="s">
        <v>14</v>
      </c>
      <c r="D6" s="125">
        <v>150</v>
      </c>
      <c r="E6" s="223">
        <f t="shared" ref="E6:E19" si="4">$I$1</f>
        <v>28.844048582995956</v>
      </c>
      <c r="F6" s="127">
        <v>1</v>
      </c>
      <c r="G6" s="119">
        <f t="shared" si="0"/>
        <v>4326.6072874493939</v>
      </c>
      <c r="H6" s="120">
        <f t="shared" si="1"/>
        <v>4326.6072874493939</v>
      </c>
      <c r="I6" s="81">
        <f>VLOOKUP(B6,All_Ingredients!$A$1:$F$151,6,FALSE())</f>
        <v>0.9</v>
      </c>
      <c r="J6" s="119">
        <f>VLOOKUP(B6,All_Ingredients!$A$1:$J$151,10,FALSE())</f>
        <v>3</v>
      </c>
      <c r="K6" s="122">
        <f t="shared" ref="K6:K19" si="5">(H6/I6)/1000</f>
        <v>4.8073414304993269</v>
      </c>
      <c r="L6" s="122">
        <f t="shared" ref="L6:L19" si="6">K6*J6</f>
        <v>14.42202429149798</v>
      </c>
    </row>
    <row r="7" spans="1:30" ht="14.25" customHeight="1" x14ac:dyDescent="0.3">
      <c r="A7" s="270" t="s">
        <v>13</v>
      </c>
      <c r="B7" s="220" t="s">
        <v>17</v>
      </c>
      <c r="C7" s="124" t="s">
        <v>14</v>
      </c>
      <c r="D7" s="125">
        <v>400</v>
      </c>
      <c r="E7" s="223">
        <f t="shared" si="4"/>
        <v>28.844048582995956</v>
      </c>
      <c r="F7" s="127">
        <v>1</v>
      </c>
      <c r="G7" s="119">
        <f t="shared" si="0"/>
        <v>11537.619433198382</v>
      </c>
      <c r="H7" s="120">
        <f t="shared" si="1"/>
        <v>11537.619433198382</v>
      </c>
      <c r="I7" s="81">
        <f>VLOOKUP(B7,All_Ingredients!$A$1:$F$151,6,FALSE())</f>
        <v>0.98</v>
      </c>
      <c r="J7" s="119">
        <f>VLOOKUP(B7,All_Ingredients!$A$1:$J$151,10,FALSE())</f>
        <v>3.5</v>
      </c>
      <c r="K7" s="122">
        <f t="shared" si="5"/>
        <v>11.773081054284065</v>
      </c>
      <c r="L7" s="122">
        <f t="shared" si="6"/>
        <v>41.205783689994227</v>
      </c>
    </row>
    <row r="8" spans="1:30" ht="14.25" customHeight="1" x14ac:dyDescent="0.3">
      <c r="A8" s="270" t="s">
        <v>13</v>
      </c>
      <c r="B8" s="220" t="s">
        <v>792</v>
      </c>
      <c r="C8" s="124" t="s">
        <v>14</v>
      </c>
      <c r="D8" s="125">
        <v>35</v>
      </c>
      <c r="E8" s="223">
        <f t="shared" si="4"/>
        <v>28.844048582995956</v>
      </c>
      <c r="F8" s="127">
        <v>1</v>
      </c>
      <c r="G8" s="119">
        <f t="shared" si="0"/>
        <v>1009.5417004048585</v>
      </c>
      <c r="H8" s="120">
        <f t="shared" si="1"/>
        <v>1009.5417004048585</v>
      </c>
      <c r="I8" s="81">
        <f>VLOOKUP(B8,All_Ingredients!$A$1:$F$151,6,FALSE())</f>
        <v>1</v>
      </c>
      <c r="J8" s="119">
        <f>VLOOKUP(B8,All_Ingredients!$A$1:$J$151,10,FALSE())</f>
        <v>10.5</v>
      </c>
      <c r="K8" s="122">
        <f t="shared" si="5"/>
        <v>1.0095417004048586</v>
      </c>
      <c r="L8" s="122">
        <f t="shared" si="6"/>
        <v>10.600187854251015</v>
      </c>
    </row>
    <row r="9" spans="1:30" ht="14.25" customHeight="1" x14ac:dyDescent="0.3">
      <c r="A9" s="270" t="s">
        <v>97</v>
      </c>
      <c r="B9" s="220" t="s">
        <v>102</v>
      </c>
      <c r="C9" s="124" t="s">
        <v>14</v>
      </c>
      <c r="D9" s="125">
        <v>3</v>
      </c>
      <c r="E9" s="223">
        <f t="shared" si="4"/>
        <v>28.844048582995956</v>
      </c>
      <c r="F9" s="127">
        <v>1</v>
      </c>
      <c r="G9" s="119">
        <f t="shared" si="0"/>
        <v>86.532145748987872</v>
      </c>
      <c r="H9" s="120">
        <f t="shared" si="1"/>
        <v>86.532145748987872</v>
      </c>
      <c r="I9" s="81">
        <f>VLOOKUP(B9,All_Ingredients!$A$1:$F$151,6,FALSE())</f>
        <v>1</v>
      </c>
      <c r="J9" s="119">
        <f>VLOOKUP(B9,All_Ingredients!$A$1:$J$151,10,FALSE())</f>
        <v>31</v>
      </c>
      <c r="K9" s="122">
        <f t="shared" si="5"/>
        <v>8.6532145748987876E-2</v>
      </c>
      <c r="L9" s="122">
        <f t="shared" si="6"/>
        <v>2.682496518218624</v>
      </c>
    </row>
    <row r="10" spans="1:30" ht="14.25" customHeight="1" x14ac:dyDescent="0.3">
      <c r="A10" s="270" t="s">
        <v>97</v>
      </c>
      <c r="B10" s="220" t="s">
        <v>108</v>
      </c>
      <c r="C10" s="124" t="s">
        <v>14</v>
      </c>
      <c r="D10" s="125">
        <v>5</v>
      </c>
      <c r="E10" s="223">
        <f t="shared" si="4"/>
        <v>28.844048582995956</v>
      </c>
      <c r="F10" s="127">
        <v>0.75</v>
      </c>
      <c r="G10" s="119">
        <f t="shared" si="0"/>
        <v>144.22024291497979</v>
      </c>
      <c r="H10" s="120">
        <f t="shared" si="1"/>
        <v>108.16518218623484</v>
      </c>
      <c r="I10" s="81">
        <f>VLOOKUP(B10,All_Ingredients!$A$1:$F$151,6,FALSE())</f>
        <v>1</v>
      </c>
      <c r="J10" s="119">
        <f>VLOOKUP(B10,All_Ingredients!$A$1:$J$151,10,FALSE())</f>
        <v>15</v>
      </c>
      <c r="K10" s="122">
        <f t="shared" si="5"/>
        <v>0.10816518218623485</v>
      </c>
      <c r="L10" s="122">
        <f t="shared" si="6"/>
        <v>1.6224777327935227</v>
      </c>
    </row>
    <row r="11" spans="1:30" ht="14.25" customHeight="1" x14ac:dyDescent="0.3">
      <c r="A11" s="270" t="s">
        <v>97</v>
      </c>
      <c r="B11" s="220" t="s">
        <v>110</v>
      </c>
      <c r="C11" s="124" t="s">
        <v>14</v>
      </c>
      <c r="D11" s="125">
        <v>5</v>
      </c>
      <c r="E11" s="223">
        <f t="shared" si="4"/>
        <v>28.844048582995956</v>
      </c>
      <c r="F11" s="127">
        <v>0.75</v>
      </c>
      <c r="G11" s="119">
        <f t="shared" si="0"/>
        <v>144.22024291497979</v>
      </c>
      <c r="H11" s="120">
        <f t="shared" si="1"/>
        <v>108.16518218623484</v>
      </c>
      <c r="I11" s="81">
        <f>VLOOKUP(B11,All_Ingredients!$A$1:$F$151,6,FALSE())</f>
        <v>1</v>
      </c>
      <c r="J11" s="119">
        <f>VLOOKUP(B11,All_Ingredients!$A$1:$J$151,10,FALSE())</f>
        <v>8</v>
      </c>
      <c r="K11" s="122">
        <f t="shared" si="5"/>
        <v>0.10816518218623485</v>
      </c>
      <c r="L11" s="122">
        <f t="shared" si="6"/>
        <v>0.86532145748987876</v>
      </c>
    </row>
    <row r="12" spans="1:30" ht="14.25" customHeight="1" x14ac:dyDescent="0.3">
      <c r="A12" s="270" t="s">
        <v>97</v>
      </c>
      <c r="B12" s="220" t="s">
        <v>126</v>
      </c>
      <c r="C12" s="124" t="s">
        <v>14</v>
      </c>
      <c r="D12" s="125">
        <v>2</v>
      </c>
      <c r="E12" s="223">
        <f t="shared" si="4"/>
        <v>28.844048582995956</v>
      </c>
      <c r="F12" s="127">
        <v>0.75</v>
      </c>
      <c r="G12" s="119">
        <f t="shared" si="0"/>
        <v>57.688097165991913</v>
      </c>
      <c r="H12" s="120">
        <f t="shared" si="1"/>
        <v>43.266072874493936</v>
      </c>
      <c r="I12" s="81">
        <f>VLOOKUP(B12,All_Ingredients!$A$1:$F$151,6,FALSE())</f>
        <v>1</v>
      </c>
      <c r="J12" s="119">
        <f>VLOOKUP(B12,All_Ingredients!$A$1:$J$151,10,FALSE())</f>
        <v>14</v>
      </c>
      <c r="K12" s="122">
        <f t="shared" si="5"/>
        <v>4.3266072874493938E-2</v>
      </c>
      <c r="L12" s="122">
        <f t="shared" si="6"/>
        <v>0.60572502024291519</v>
      </c>
    </row>
    <row r="13" spans="1:30" ht="14.25" customHeight="1" x14ac:dyDescent="0.3">
      <c r="A13" s="270" t="s">
        <v>97</v>
      </c>
      <c r="B13" s="220" t="s">
        <v>96</v>
      </c>
      <c r="C13" s="124" t="s">
        <v>14</v>
      </c>
      <c r="D13" s="125">
        <v>11</v>
      </c>
      <c r="E13" s="223">
        <f t="shared" si="4"/>
        <v>28.844048582995956</v>
      </c>
      <c r="F13" s="127">
        <v>0.75</v>
      </c>
      <c r="G13" s="119">
        <f t="shared" si="0"/>
        <v>317.28453441295551</v>
      </c>
      <c r="H13" s="120">
        <f t="shared" si="1"/>
        <v>237.96340080971663</v>
      </c>
      <c r="I13" s="81">
        <f>VLOOKUP(B13,All_Ingredients!$A$1:$F$151,6,FALSE())</f>
        <v>1</v>
      </c>
      <c r="J13" s="119">
        <f>VLOOKUP(B13,All_Ingredients!$A$1:$J$151,10,FALSE())</f>
        <v>0.74</v>
      </c>
      <c r="K13" s="122">
        <f t="shared" si="5"/>
        <v>0.23796340080971662</v>
      </c>
      <c r="L13" s="122">
        <f t="shared" si="6"/>
        <v>0.1760929165991903</v>
      </c>
    </row>
    <row r="14" spans="1:30" ht="14.25" customHeight="1" x14ac:dyDescent="0.3">
      <c r="A14" s="270" t="s">
        <v>196</v>
      </c>
      <c r="B14" s="220" t="s">
        <v>761</v>
      </c>
      <c r="C14" s="124" t="s">
        <v>14</v>
      </c>
      <c r="D14" s="125">
        <v>250</v>
      </c>
      <c r="E14" s="223">
        <f t="shared" si="4"/>
        <v>28.844048582995956</v>
      </c>
      <c r="F14" s="127">
        <v>1</v>
      </c>
      <c r="G14" s="119">
        <f t="shared" si="0"/>
        <v>7211.0121457489895</v>
      </c>
      <c r="H14" s="120">
        <f t="shared" si="1"/>
        <v>7211.0121457489895</v>
      </c>
      <c r="I14" s="81">
        <f>VLOOKUP(B14,All_Ingredients!$A$1:$F$151,6,FALSE())</f>
        <v>1</v>
      </c>
      <c r="J14" s="119">
        <f>VLOOKUP(B14,All_Ingredients!$A$1:$J$151,10,FALSE())</f>
        <v>8.1520833333333336</v>
      </c>
      <c r="K14" s="122">
        <f t="shared" si="5"/>
        <v>7.2110121457489891</v>
      </c>
      <c r="L14" s="122">
        <f t="shared" si="6"/>
        <v>58.784771929824572</v>
      </c>
    </row>
    <row r="15" spans="1:30" ht="14.25" customHeight="1" x14ac:dyDescent="0.3">
      <c r="A15" s="270" t="s">
        <v>13</v>
      </c>
      <c r="B15" s="220" t="s">
        <v>763</v>
      </c>
      <c r="C15" s="124" t="s">
        <v>14</v>
      </c>
      <c r="D15" s="125">
        <v>400</v>
      </c>
      <c r="E15" s="223">
        <f t="shared" si="4"/>
        <v>28.844048582995956</v>
      </c>
      <c r="F15" s="127">
        <v>1</v>
      </c>
      <c r="G15" s="119">
        <f t="shared" si="0"/>
        <v>11537.619433198382</v>
      </c>
      <c r="H15" s="120">
        <f t="shared" si="1"/>
        <v>11537.619433198382</v>
      </c>
      <c r="I15" s="81">
        <f>VLOOKUP(B15,All_Ingredients!$A$1:$F$151,6,FALSE())</f>
        <v>1</v>
      </c>
      <c r="J15" s="119">
        <f>VLOOKUP(B15,All_Ingredients!$A$1:$J$151,10,FALSE())</f>
        <v>16.25</v>
      </c>
      <c r="K15" s="122">
        <f t="shared" si="5"/>
        <v>11.537619433198383</v>
      </c>
      <c r="L15" s="122">
        <f t="shared" si="6"/>
        <v>187.48631578947374</v>
      </c>
    </row>
    <row r="16" spans="1:30" ht="14.25" customHeight="1" x14ac:dyDescent="0.3">
      <c r="A16" s="270" t="s">
        <v>210</v>
      </c>
      <c r="B16" s="220" t="s">
        <v>213</v>
      </c>
      <c r="C16" s="124" t="s">
        <v>165</v>
      </c>
      <c r="D16" s="125">
        <v>500</v>
      </c>
      <c r="E16" s="223">
        <f t="shared" si="4"/>
        <v>28.844048582995956</v>
      </c>
      <c r="F16" s="127">
        <v>1</v>
      </c>
      <c r="G16" s="119">
        <f t="shared" si="0"/>
        <v>14422.024291497979</v>
      </c>
      <c r="H16" s="120">
        <f t="shared" si="1"/>
        <v>14422.024291497979</v>
      </c>
      <c r="I16" s="81">
        <f>VLOOKUP(B16,All_Ingredients!$A$1:$F$151,6,FALSE())</f>
        <v>1</v>
      </c>
      <c r="J16" s="119">
        <f>VLOOKUP(B16,All_Ingredients!$A$1:$J$151,10,FALSE())</f>
        <v>0</v>
      </c>
      <c r="K16" s="122">
        <f t="shared" si="5"/>
        <v>14.422024291497978</v>
      </c>
      <c r="L16" s="122">
        <f t="shared" si="6"/>
        <v>0</v>
      </c>
    </row>
    <row r="17" spans="1:31" ht="14.25" customHeight="1" x14ac:dyDescent="0.3">
      <c r="A17" s="270" t="s">
        <v>158</v>
      </c>
      <c r="B17" s="220" t="s">
        <v>157</v>
      </c>
      <c r="C17" s="124" t="s">
        <v>14</v>
      </c>
      <c r="D17" s="125">
        <v>15</v>
      </c>
      <c r="E17" s="223">
        <f t="shared" si="4"/>
        <v>28.844048582995956</v>
      </c>
      <c r="F17" s="127">
        <v>1</v>
      </c>
      <c r="G17" s="119">
        <f t="shared" si="0"/>
        <v>432.66072874493932</v>
      </c>
      <c r="H17" s="120">
        <f t="shared" si="1"/>
        <v>432.66072874493932</v>
      </c>
      <c r="I17" s="81">
        <f>VLOOKUP(B17,All_Ingredients!$A$1:$F$151,6,FALSE())</f>
        <v>1</v>
      </c>
      <c r="J17" s="119">
        <f>VLOOKUP(B17,All_Ingredients!$A$1:$J$151,10,FALSE())</f>
        <v>30</v>
      </c>
      <c r="K17" s="122">
        <f t="shared" si="5"/>
        <v>0.43266072874493933</v>
      </c>
      <c r="L17" s="122">
        <f t="shared" si="6"/>
        <v>12.97982186234818</v>
      </c>
    </row>
    <row r="18" spans="1:31" ht="14.25" customHeight="1" x14ac:dyDescent="0.3">
      <c r="A18" s="270" t="s">
        <v>97</v>
      </c>
      <c r="B18" s="220" t="s">
        <v>144</v>
      </c>
      <c r="C18" s="124" t="s">
        <v>14</v>
      </c>
      <c r="D18" s="125">
        <v>10</v>
      </c>
      <c r="E18" s="223">
        <f t="shared" si="4"/>
        <v>28.844048582995956</v>
      </c>
      <c r="F18" s="127">
        <v>0.75</v>
      </c>
      <c r="G18" s="119">
        <f t="shared" si="0"/>
        <v>288.44048582995958</v>
      </c>
      <c r="H18" s="120">
        <f t="shared" si="1"/>
        <v>216.33036437246969</v>
      </c>
      <c r="I18" s="81">
        <f>VLOOKUP(B18,All_Ingredients!$A$1:$F$151,6,FALSE())</f>
        <v>1</v>
      </c>
      <c r="J18" s="119">
        <f>VLOOKUP(B18,All_Ingredients!$A$1:$J$151,10,FALSE())</f>
        <v>15.277777777777779</v>
      </c>
      <c r="K18" s="122">
        <f t="shared" si="5"/>
        <v>0.21633036437246969</v>
      </c>
      <c r="L18" s="122">
        <f t="shared" si="6"/>
        <v>3.305047233468287</v>
      </c>
    </row>
    <row r="19" spans="1:31" ht="14.25" customHeight="1" x14ac:dyDescent="0.3">
      <c r="A19" s="270" t="s">
        <v>97</v>
      </c>
      <c r="B19" s="220" t="s">
        <v>96</v>
      </c>
      <c r="C19" s="124" t="s">
        <v>14</v>
      </c>
      <c r="D19" s="125">
        <v>5</v>
      </c>
      <c r="E19" s="223">
        <f t="shared" si="4"/>
        <v>28.844048582995956</v>
      </c>
      <c r="F19" s="127">
        <v>1</v>
      </c>
      <c r="G19" s="119">
        <f t="shared" si="0"/>
        <v>144.22024291497979</v>
      </c>
      <c r="H19" s="120">
        <f t="shared" si="1"/>
        <v>144.22024291497979</v>
      </c>
      <c r="I19" s="81">
        <f>VLOOKUP(B19,All_Ingredients!$A$1:$F$151,6,FALSE())</f>
        <v>1</v>
      </c>
      <c r="J19" s="119">
        <f>VLOOKUP(B19,All_Ingredients!$A$1:$J$151,10,FALSE())</f>
        <v>0.74</v>
      </c>
      <c r="K19" s="122">
        <f t="shared" si="5"/>
        <v>0.14422024291497978</v>
      </c>
      <c r="L19" s="122">
        <f t="shared" si="6"/>
        <v>0.10672297975708504</v>
      </c>
    </row>
    <row r="20" spans="1:31" ht="14.25" customHeight="1" x14ac:dyDescent="0.3">
      <c r="B20" s="100"/>
      <c r="E20" s="100"/>
      <c r="F20" s="100"/>
      <c r="L20" s="209"/>
    </row>
    <row r="21" spans="1:31" ht="14.25" customHeight="1" x14ac:dyDescent="0.3">
      <c r="B21" s="100"/>
      <c r="E21" s="100"/>
      <c r="F21" s="100"/>
      <c r="L21" s="209"/>
    </row>
    <row r="22" spans="1:31" ht="14.25" customHeight="1" x14ac:dyDescent="0.3">
      <c r="L22" s="209"/>
    </row>
    <row r="23" spans="1:31" ht="14.25" customHeight="1" x14ac:dyDescent="0.3">
      <c r="L23" s="209"/>
      <c r="Z23" s="1294"/>
    </row>
    <row r="24" spans="1:31" ht="14.25" customHeight="1" x14ac:dyDescent="0.3">
      <c r="L24" s="209"/>
      <c r="R24" s="5"/>
    </row>
    <row r="25" spans="1:31" ht="14.25" customHeight="1" x14ac:dyDescent="0.35">
      <c r="L25" s="209"/>
      <c r="R25" s="1411" t="s">
        <v>684</v>
      </c>
      <c r="S25" s="1388"/>
      <c r="T25" s="1388"/>
      <c r="U25" s="1388"/>
      <c r="Z25" s="141" t="s">
        <v>264</v>
      </c>
      <c r="AA25" s="142">
        <v>33210</v>
      </c>
      <c r="AB25" s="141" t="s">
        <v>261</v>
      </c>
      <c r="AC25" s="143">
        <f>(AA25*(17/10))*AE30</f>
        <v>2807.4781155614878</v>
      </c>
      <c r="AD25" s="14"/>
    </row>
    <row r="26" spans="1:31" ht="14.25" customHeight="1" x14ac:dyDescent="0.3">
      <c r="L26" s="209"/>
      <c r="R26" s="1423" t="s">
        <v>317</v>
      </c>
      <c r="S26" s="1388"/>
      <c r="T26" s="1388"/>
      <c r="U26" s="1388"/>
      <c r="Z26" s="14"/>
      <c r="AA26" s="14"/>
      <c r="AB26" s="14"/>
      <c r="AC26" s="14"/>
      <c r="AD26" s="14"/>
    </row>
    <row r="27" spans="1:31" ht="14.25" customHeight="1" thickBot="1" x14ac:dyDescent="0.35">
      <c r="R27" s="145" t="s">
        <v>266</v>
      </c>
      <c r="S27" s="146" t="s">
        <v>318</v>
      </c>
      <c r="T27" s="146" t="s">
        <v>268</v>
      </c>
      <c r="U27" s="146" t="s">
        <v>269</v>
      </c>
      <c r="V27" s="146" t="s">
        <v>848</v>
      </c>
      <c r="Z27" s="141" t="s">
        <v>270</v>
      </c>
      <c r="AA27" s="147" t="s">
        <v>271</v>
      </c>
      <c r="AB27" s="147" t="s">
        <v>272</v>
      </c>
      <c r="AC27" s="147" t="s">
        <v>273</v>
      </c>
      <c r="AD27" s="1186" t="s">
        <v>848</v>
      </c>
      <c r="AE27" s="147" t="s">
        <v>274</v>
      </c>
    </row>
    <row r="28" spans="1:31" ht="14.25" customHeight="1" thickBot="1" x14ac:dyDescent="0.35">
      <c r="B28" s="100"/>
      <c r="E28" s="100"/>
      <c r="F28" s="100"/>
      <c r="R28" s="148" t="s">
        <v>275</v>
      </c>
      <c r="S28" s="149">
        <f>U28*S40</f>
        <v>22646.15384615384</v>
      </c>
      <c r="T28" s="149">
        <f>U28*U40</f>
        <v>6793.8461538461606</v>
      </c>
      <c r="U28" s="150">
        <f>$Z$1</f>
        <v>29440</v>
      </c>
      <c r="V28" s="149">
        <f>H37</f>
        <v>14.420000000000002</v>
      </c>
      <c r="Z28" s="151"/>
      <c r="AA28" s="152">
        <f>AA25*$S$40</f>
        <v>25546.15384615384</v>
      </c>
      <c r="AB28" s="152">
        <f>AA25-AA28</f>
        <v>7663.8461538461597</v>
      </c>
      <c r="AC28" s="153">
        <f>AA25*0.7</f>
        <v>23247</v>
      </c>
      <c r="AD28" s="1188"/>
      <c r="AE28" s="154">
        <f>SUM(AA28:AC28)</f>
        <v>56457</v>
      </c>
    </row>
    <row r="29" spans="1:31" ht="14.25" customHeight="1" thickBot="1" x14ac:dyDescent="0.35">
      <c r="B29" s="100"/>
      <c r="E29" s="100"/>
      <c r="F29" s="100"/>
      <c r="R29" s="148" t="s">
        <v>276</v>
      </c>
      <c r="S29" s="155"/>
      <c r="T29" s="149">
        <f>U28*0.7</f>
        <v>20608</v>
      </c>
      <c r="U29" s="149">
        <f>T29</f>
        <v>20608</v>
      </c>
      <c r="V29" s="149"/>
      <c r="Z29" s="151"/>
      <c r="AA29" s="156">
        <f>AA28/$AE$28</f>
        <v>0.45248868778280532</v>
      </c>
      <c r="AB29" s="156">
        <f>AB28/$AE$28</f>
        <v>0.13574660633484173</v>
      </c>
      <c r="AC29" s="156">
        <f>AC28/$AE$28</f>
        <v>0.41176470588235292</v>
      </c>
      <c r="AD29" s="1192"/>
      <c r="AE29" s="156">
        <f>AE28/$AE$28</f>
        <v>1</v>
      </c>
    </row>
    <row r="30" spans="1:31" ht="14.75" customHeight="1" thickBot="1" x14ac:dyDescent="0.35">
      <c r="R30" s="148" t="s">
        <v>277</v>
      </c>
      <c r="S30" s="1143">
        <f>U30*S40</f>
        <v>0</v>
      </c>
      <c r="T30" s="1143">
        <f>U30*U40</f>
        <v>0</v>
      </c>
      <c r="U30" s="1236"/>
      <c r="V30" s="1143"/>
      <c r="Z30" s="141" t="s">
        <v>278</v>
      </c>
      <c r="AA30" s="157">
        <f>S35/(S32)</f>
        <v>9.5068330362448009E-2</v>
      </c>
      <c r="AB30" s="158">
        <f>T35/T32</f>
        <v>1.22197164160401E-2</v>
      </c>
      <c r="AC30" s="158">
        <f>T35/T32</f>
        <v>1.22197164160401E-2</v>
      </c>
      <c r="AD30" s="1199">
        <f>V35/U32</f>
        <v>1.9947004721621091E-5</v>
      </c>
      <c r="AE30" s="1201">
        <f>SUMPRODUCT(AA30:AC30,AA29:AC29)+(AD30)</f>
        <v>4.9727724029996062E-2</v>
      </c>
    </row>
    <row r="31" spans="1:31" ht="42.5" customHeight="1" thickBot="1" x14ac:dyDescent="0.35">
      <c r="K31" s="284"/>
      <c r="R31" s="148" t="s">
        <v>279</v>
      </c>
      <c r="S31" s="155"/>
      <c r="T31" s="149"/>
      <c r="U31" s="149"/>
      <c r="V31" s="149"/>
    </row>
    <row r="32" spans="1:31" ht="25.25" customHeight="1" thickBot="1" x14ac:dyDescent="0.35">
      <c r="K32" s="262"/>
      <c r="R32" s="160" t="s">
        <v>269</v>
      </c>
      <c r="S32" s="149">
        <f>SUM(S28:S30)</f>
        <v>22646.15384615384</v>
      </c>
      <c r="T32" s="149">
        <f>SUM(T28:T30)</f>
        <v>27401.84615384616</v>
      </c>
      <c r="U32" s="149">
        <f>SUM(U28:U30)</f>
        <v>50048</v>
      </c>
      <c r="V32" s="149">
        <f>SUM(V28:V30)</f>
        <v>14.420000000000002</v>
      </c>
    </row>
    <row r="33" spans="2:24" ht="14.25" customHeight="1" thickBot="1" x14ac:dyDescent="0.35">
      <c r="B33" s="100"/>
      <c r="E33" s="100"/>
      <c r="F33" s="100"/>
      <c r="R33" s="161" t="s">
        <v>280</v>
      </c>
      <c r="S33" s="155"/>
      <c r="T33" s="155"/>
      <c r="U33" s="155"/>
      <c r="V33" s="155"/>
    </row>
    <row r="34" spans="2:24" ht="14.25" customHeight="1" thickBot="1" x14ac:dyDescent="0.35">
      <c r="R34" s="285" t="s">
        <v>281</v>
      </c>
      <c r="S34" s="155"/>
      <c r="T34" s="149"/>
      <c r="U34" s="155"/>
      <c r="V34" s="155"/>
    </row>
    <row r="35" spans="2:24" ht="14.25" customHeight="1" thickBot="1" x14ac:dyDescent="0.35">
      <c r="B35" s="1418" t="s">
        <v>683</v>
      </c>
      <c r="C35" s="1419"/>
      <c r="D35" s="1419"/>
      <c r="E35" s="1419"/>
      <c r="F35" s="1420"/>
      <c r="G35" s="889"/>
      <c r="H35" s="889"/>
      <c r="I35" s="889"/>
      <c r="J35" s="889"/>
      <c r="K35" s="889"/>
      <c r="L35" s="889"/>
      <c r="R35" s="163" t="s">
        <v>261</v>
      </c>
      <c r="S35" s="1144">
        <f>$L$5</f>
        <v>2152.9320352849759</v>
      </c>
      <c r="T35" s="1144">
        <f>SUM(L6:L19)</f>
        <v>334.84278927595921</v>
      </c>
      <c r="U35" s="1203">
        <f>S35+T35+V35</f>
        <v>2488.7731322532427</v>
      </c>
      <c r="V35" s="1203">
        <f>SUM(L37)</f>
        <v>0.99830769230769234</v>
      </c>
    </row>
    <row r="36" spans="2:24" ht="46.5" x14ac:dyDescent="0.3">
      <c r="B36" s="860" t="s">
        <v>253</v>
      </c>
      <c r="C36" s="860" t="s">
        <v>329</v>
      </c>
      <c r="D36" s="862" t="s">
        <v>671</v>
      </c>
      <c r="E36" s="859" t="s">
        <v>672</v>
      </c>
      <c r="F36" s="862" t="s">
        <v>673</v>
      </c>
      <c r="G36" s="882"/>
      <c r="H36" s="862" t="s">
        <v>673</v>
      </c>
      <c r="I36" s="862" t="s">
        <v>258</v>
      </c>
      <c r="J36" s="862" t="s">
        <v>259</v>
      </c>
      <c r="K36" s="862" t="s">
        <v>260</v>
      </c>
      <c r="L36" s="862" t="s">
        <v>261</v>
      </c>
    </row>
    <row r="37" spans="2:24" x14ac:dyDescent="0.3">
      <c r="B37" s="855" t="s">
        <v>746</v>
      </c>
      <c r="C37" s="856" t="s">
        <v>14</v>
      </c>
      <c r="D37" s="857">
        <v>7.0000000000000007E-2</v>
      </c>
      <c r="E37" s="855">
        <f>$AD$1</f>
        <v>206</v>
      </c>
      <c r="F37" s="855">
        <f>D37*E37</f>
        <v>14.420000000000002</v>
      </c>
      <c r="H37" s="855">
        <f>F37</f>
        <v>14.420000000000002</v>
      </c>
      <c r="I37" s="855">
        <f>VLOOKUP(B37,All_Ingredients!$A$1:$F$151,6,FALSE())</f>
        <v>0.65</v>
      </c>
      <c r="J37" s="855">
        <f>VLOOKUP(B37,All_Ingredients!$A$1:$J$151,10,FALSE())</f>
        <v>45</v>
      </c>
      <c r="K37" s="855">
        <f>(H37/I37)/1000</f>
        <v>2.2184615384615386E-2</v>
      </c>
      <c r="L37" s="855">
        <f t="shared" ref="L37" si="7">K37*J37</f>
        <v>0.99830769230769234</v>
      </c>
    </row>
    <row r="40" spans="2:24" ht="13.25" customHeight="1" x14ac:dyDescent="0.3">
      <c r="Q40" s="14"/>
      <c r="R40" s="165" t="s">
        <v>282</v>
      </c>
      <c r="S40" s="166">
        <v>0.76923076923076905</v>
      </c>
      <c r="T40" s="165" t="s">
        <v>283</v>
      </c>
      <c r="U40" s="167">
        <v>0.230769230769231</v>
      </c>
      <c r="V40" s="168">
        <f>S40+U40</f>
        <v>1</v>
      </c>
      <c r="W40" s="14"/>
      <c r="X40" s="14"/>
    </row>
    <row r="41" spans="2:24" ht="14.25" customHeight="1" x14ac:dyDescent="0.3">
      <c r="Q41" s="14"/>
      <c r="R41" s="14"/>
      <c r="S41" s="14"/>
      <c r="T41" s="14"/>
      <c r="U41" s="169"/>
      <c r="V41" s="14"/>
      <c r="W41" s="14"/>
      <c r="X41" s="14"/>
    </row>
    <row r="42" spans="2:24" ht="14.25" customHeight="1" x14ac:dyDescent="0.3">
      <c r="Q42" s="14"/>
      <c r="R42" s="14"/>
      <c r="S42" s="14"/>
      <c r="T42" s="14"/>
      <c r="U42" s="14"/>
      <c r="V42" s="14"/>
      <c r="W42" s="14"/>
      <c r="X42" s="14"/>
    </row>
    <row r="43" spans="2:24" ht="14.25" customHeight="1" x14ac:dyDescent="0.3">
      <c r="Q43" s="170" t="s">
        <v>284</v>
      </c>
      <c r="R43" s="170" t="s">
        <v>285</v>
      </c>
      <c r="S43" s="170" t="s">
        <v>286</v>
      </c>
      <c r="T43" s="170" t="s">
        <v>287</v>
      </c>
      <c r="U43" s="170" t="s">
        <v>288</v>
      </c>
      <c r="V43" s="170" t="s">
        <v>289</v>
      </c>
      <c r="W43" s="258" t="s">
        <v>290</v>
      </c>
      <c r="X43" s="321"/>
    </row>
    <row r="44" spans="2:24" ht="14.25" customHeight="1" x14ac:dyDescent="0.3">
      <c r="Q44" s="172">
        <v>10745</v>
      </c>
      <c r="R44" s="173">
        <f>D51</f>
        <v>10000</v>
      </c>
      <c r="S44" s="174">
        <v>0.24790000000000001</v>
      </c>
      <c r="T44" s="174">
        <v>0.75209999999999999</v>
      </c>
      <c r="U44" s="242">
        <f>R44*S44</f>
        <v>2479</v>
      </c>
      <c r="V44" s="176">
        <f>R44*T44</f>
        <v>7521</v>
      </c>
      <c r="W44" s="260">
        <f>Q44-U44</f>
        <v>8266</v>
      </c>
      <c r="X44" s="298"/>
    </row>
    <row r="50" spans="1:10" x14ac:dyDescent="0.3">
      <c r="B50" s="145"/>
      <c r="C50" s="145" t="s">
        <v>245</v>
      </c>
      <c r="D50" s="145" t="s">
        <v>291</v>
      </c>
      <c r="E50" s="183"/>
      <c r="F50" s="100"/>
      <c r="G50" s="145" t="s">
        <v>292</v>
      </c>
      <c r="H50" s="145" t="s">
        <v>245</v>
      </c>
      <c r="I50" s="145" t="s">
        <v>293</v>
      </c>
      <c r="J50" s="145" t="s">
        <v>294</v>
      </c>
    </row>
    <row r="51" spans="1:10" x14ac:dyDescent="0.3">
      <c r="B51" s="180" t="s">
        <v>295</v>
      </c>
      <c r="C51" s="181">
        <f>10/$K$1</f>
        <v>10.526315789473685</v>
      </c>
      <c r="D51" s="182">
        <f>$C$1*10</f>
        <v>10000</v>
      </c>
      <c r="E51" s="100"/>
      <c r="F51" s="100"/>
      <c r="G51" s="180" t="s">
        <v>295</v>
      </c>
      <c r="H51" s="277">
        <f>I51/$D$5</f>
        <v>10</v>
      </c>
      <c r="I51" s="181">
        <f t="shared" ref="I51:I56" si="8">J51/$R$1</f>
        <v>16207.843137254902</v>
      </c>
      <c r="J51" s="181">
        <f>$W$44</f>
        <v>8266</v>
      </c>
    </row>
    <row r="52" spans="1:10" ht="17.25" customHeight="1" x14ac:dyDescent="0.3">
      <c r="B52" s="231" t="s">
        <v>274</v>
      </c>
      <c r="C52" s="232">
        <f>$I$1</f>
        <v>28.844048582995956</v>
      </c>
      <c r="D52" s="233">
        <f>$E$1</f>
        <v>27401.84615384616</v>
      </c>
      <c r="E52" s="100"/>
      <c r="F52" s="100"/>
      <c r="G52" s="148" t="s">
        <v>274</v>
      </c>
      <c r="H52" s="210">
        <f>I52/$D$5</f>
        <v>27.396750358279508</v>
      </c>
      <c r="I52" s="176">
        <f t="shared" si="8"/>
        <v>44404.223227752627</v>
      </c>
      <c r="J52" s="184">
        <f>$S$32</f>
        <v>22646.15384615384</v>
      </c>
    </row>
    <row r="53" spans="1:10" ht="22.25" customHeight="1" x14ac:dyDescent="0.3">
      <c r="B53" s="231" t="s">
        <v>296</v>
      </c>
      <c r="C53" s="234">
        <f>MIN(C52, C51)</f>
        <v>10.526315789473685</v>
      </c>
      <c r="D53" s="233">
        <f>(C53*$K$1)*$C$1</f>
        <v>10000</v>
      </c>
      <c r="E53" s="100"/>
      <c r="F53" s="100"/>
      <c r="G53" s="148" t="s">
        <v>296</v>
      </c>
      <c r="H53" s="187">
        <f>MIN(H52,H51)</f>
        <v>10</v>
      </c>
      <c r="I53" s="176">
        <f t="shared" si="8"/>
        <v>16207.843137254902</v>
      </c>
      <c r="J53" s="176">
        <f>MIN(J52,J51)</f>
        <v>8266</v>
      </c>
    </row>
    <row r="54" spans="1:10" x14ac:dyDescent="0.3">
      <c r="B54" s="231" t="s">
        <v>297</v>
      </c>
      <c r="C54" s="234">
        <f>MIN(MAX(C52-C53,0),C51)</f>
        <v>10.526315789473685</v>
      </c>
      <c r="D54" s="233">
        <f>(C54*$K$1)*$C$1</f>
        <v>10000</v>
      </c>
      <c r="E54" s="100"/>
      <c r="F54" s="100"/>
      <c r="G54" s="148" t="s">
        <v>297</v>
      </c>
      <c r="H54" s="187">
        <f>MIN(MAX(H52-H53),H51)</f>
        <v>10</v>
      </c>
      <c r="I54" s="176">
        <f t="shared" si="8"/>
        <v>16207.843137254902</v>
      </c>
      <c r="J54" s="176">
        <f>MIN(MAX(J52-J53),J51)</f>
        <v>8266</v>
      </c>
    </row>
    <row r="55" spans="1:10" x14ac:dyDescent="0.3">
      <c r="B55" s="231" t="s">
        <v>298</v>
      </c>
      <c r="C55" s="234">
        <f>MIN(MAX(C52-C53-C54,0),C51)</f>
        <v>7.7914170040485864</v>
      </c>
      <c r="D55" s="233">
        <f>(C55*$K$1)*$C$1</f>
        <v>7401.846153846157</v>
      </c>
      <c r="E55" s="100"/>
      <c r="F55" s="100"/>
      <c r="G55" s="145" t="s">
        <v>298</v>
      </c>
      <c r="H55" s="187">
        <f>MIN(MAX(H52-H53-H54),H51)</f>
        <v>7.3967503582795082</v>
      </c>
      <c r="I55" s="176">
        <f t="shared" si="8"/>
        <v>11988.536953242823</v>
      </c>
      <c r="J55" s="176">
        <f>MIN(MAX(J52-J53-J54),J51)</f>
        <v>6114.1538461538403</v>
      </c>
    </row>
    <row r="56" spans="1:10" x14ac:dyDescent="0.3">
      <c r="B56" s="231" t="s">
        <v>305</v>
      </c>
      <c r="C56" s="234">
        <f>MIN(MAX(C52-C53-C54-C55,0),C51)</f>
        <v>0</v>
      </c>
      <c r="D56" s="233">
        <f>(C56*$K$1)*$C$1</f>
        <v>0</v>
      </c>
      <c r="G56" s="145" t="s">
        <v>305</v>
      </c>
      <c r="H56" s="187">
        <f>MIN(MAX(H52-H53-H54-H55),H51)</f>
        <v>0</v>
      </c>
      <c r="I56" s="176">
        <f t="shared" si="8"/>
        <v>0</v>
      </c>
      <c r="J56" s="176">
        <f>MIN(MAX(J52-J53-J54-J55),J51)</f>
        <v>0</v>
      </c>
    </row>
    <row r="62" spans="1:10" ht="17.75" customHeight="1" x14ac:dyDescent="0.3">
      <c r="A62" s="938"/>
      <c r="B62" s="1413" t="str">
        <f>"بامية لحم 1 / " &amp; COUNTIF($C$53:$C$56, "&gt;0")</f>
        <v>بامية لحم 1 / 3</v>
      </c>
      <c r="C62" s="1421"/>
      <c r="D62" s="1421"/>
      <c r="E62" s="1421"/>
      <c r="F62" s="1421"/>
      <c r="G62" s="1421"/>
      <c r="H62" s="1421"/>
    </row>
    <row r="63" spans="1:10" ht="17.75" customHeight="1" x14ac:dyDescent="0.3">
      <c r="A63" s="938"/>
      <c r="B63" s="1382" t="str">
        <f>"Meat with Bamiya 1 / " &amp; COUNTIF($C$53:$C$56, "&gt;0")</f>
        <v>Meat with Bamiya 1 / 3</v>
      </c>
      <c r="C63" s="1383"/>
      <c r="D63" s="1383"/>
      <c r="E63" s="1383"/>
      <c r="F63" s="1383"/>
      <c r="G63" s="1383"/>
      <c r="H63" s="1383"/>
    </row>
    <row r="64" spans="1:10" ht="52.5" customHeight="1" x14ac:dyDescent="0.3">
      <c r="A64" s="91"/>
      <c r="B64" s="91" t="s">
        <v>253</v>
      </c>
      <c r="C64" s="107" t="s">
        <v>254</v>
      </c>
      <c r="D64" s="91" t="s">
        <v>243</v>
      </c>
      <c r="E64" s="108" t="s">
        <v>246</v>
      </c>
      <c r="F64" s="108" t="s">
        <v>255</v>
      </c>
      <c r="G64" s="91" t="s">
        <v>256</v>
      </c>
      <c r="H64" s="109" t="s">
        <v>257</v>
      </c>
    </row>
    <row r="65" spans="1:10" ht="14.25" customHeight="1" x14ac:dyDescent="0.3">
      <c r="A65" s="219" t="s">
        <v>230</v>
      </c>
      <c r="B65" s="286" t="str">
        <f t="shared" ref="B65:C79" si="9">B5</f>
        <v>Indian Meat Alana  - لحم هندى ألانا</v>
      </c>
      <c r="C65" s="286" t="str">
        <f t="shared" si="9"/>
        <v>gm</v>
      </c>
      <c r="D65" s="287">
        <f>H53</f>
        <v>10</v>
      </c>
      <c r="E65" s="116">
        <f>H53</f>
        <v>10</v>
      </c>
      <c r="F65" s="127">
        <f t="shared" ref="F65:F79" si="10">F5</f>
        <v>1</v>
      </c>
      <c r="G65" s="119">
        <f t="shared" ref="G65:G79" si="11">D65*E65</f>
        <v>100</v>
      </c>
      <c r="H65" s="120">
        <f t="shared" ref="H65:H79" si="12">G65*F65</f>
        <v>100</v>
      </c>
    </row>
    <row r="66" spans="1:10" ht="14.25" customHeight="1" x14ac:dyDescent="0.3">
      <c r="A66" s="270" t="s">
        <v>13</v>
      </c>
      <c r="B66" s="286" t="str">
        <f t="shared" si="9"/>
        <v>Onion - بصل</v>
      </c>
      <c r="C66" s="286" t="str">
        <f t="shared" si="9"/>
        <v>gm</v>
      </c>
      <c r="D66" s="286">
        <f t="shared" ref="D66:D79" si="13">D6</f>
        <v>150</v>
      </c>
      <c r="E66" s="116">
        <f t="shared" ref="E66:E79" si="14">$C$53</f>
        <v>10.526315789473685</v>
      </c>
      <c r="F66" s="127">
        <f t="shared" si="10"/>
        <v>1</v>
      </c>
      <c r="G66" s="119">
        <f t="shared" si="11"/>
        <v>1578.9473684210527</v>
      </c>
      <c r="H66" s="120">
        <f t="shared" si="12"/>
        <v>1578.9473684210527</v>
      </c>
    </row>
    <row r="67" spans="1:10" ht="14.25" customHeight="1" x14ac:dyDescent="0.3">
      <c r="A67" s="270" t="s">
        <v>13</v>
      </c>
      <c r="B67" s="286" t="str">
        <f t="shared" si="9"/>
        <v>Tomato - طماطم</v>
      </c>
      <c r="C67" s="286" t="str">
        <f t="shared" si="9"/>
        <v>gm</v>
      </c>
      <c r="D67" s="286">
        <f t="shared" si="13"/>
        <v>400</v>
      </c>
      <c r="E67" s="116">
        <f t="shared" si="14"/>
        <v>10.526315789473685</v>
      </c>
      <c r="F67" s="127">
        <f t="shared" si="10"/>
        <v>1</v>
      </c>
      <c r="G67" s="119">
        <f t="shared" si="11"/>
        <v>4210.5263157894742</v>
      </c>
      <c r="H67" s="120">
        <f t="shared" si="12"/>
        <v>4210.5263157894742</v>
      </c>
    </row>
    <row r="68" spans="1:10" ht="14.25" customHeight="1" x14ac:dyDescent="0.3">
      <c r="A68" s="270" t="s">
        <v>13</v>
      </c>
      <c r="B68" s="286" t="str">
        <f t="shared" si="9"/>
        <v>Garlic - ثوم مقشر</v>
      </c>
      <c r="C68" s="286" t="str">
        <f t="shared" si="9"/>
        <v>gm</v>
      </c>
      <c r="D68" s="286">
        <f t="shared" si="13"/>
        <v>35</v>
      </c>
      <c r="E68" s="116">
        <f t="shared" si="14"/>
        <v>10.526315789473685</v>
      </c>
      <c r="F68" s="127">
        <f t="shared" si="10"/>
        <v>1</v>
      </c>
      <c r="G68" s="119">
        <f t="shared" si="11"/>
        <v>368.42105263157896</v>
      </c>
      <c r="H68" s="120">
        <f t="shared" si="12"/>
        <v>368.42105263157896</v>
      </c>
    </row>
    <row r="69" spans="1:10" ht="14.25" customHeight="1" x14ac:dyDescent="0.3">
      <c r="A69" s="270" t="s">
        <v>97</v>
      </c>
      <c r="B69" s="286" t="str">
        <f t="shared" si="9"/>
        <v>Black Pepper Powder - فلفل أسود مطحون</v>
      </c>
      <c r="C69" s="286" t="str">
        <f t="shared" si="9"/>
        <v>gm</v>
      </c>
      <c r="D69" s="286">
        <f t="shared" si="13"/>
        <v>3</v>
      </c>
      <c r="E69" s="116">
        <f t="shared" si="14"/>
        <v>10.526315789473685</v>
      </c>
      <c r="F69" s="127">
        <f t="shared" si="10"/>
        <v>1</v>
      </c>
      <c r="G69" s="119">
        <f t="shared" si="11"/>
        <v>31.578947368421055</v>
      </c>
      <c r="H69" s="120">
        <f t="shared" si="12"/>
        <v>31.578947368421055</v>
      </c>
    </row>
    <row r="70" spans="1:10" ht="14.25" customHeight="1" x14ac:dyDescent="0.3">
      <c r="A70" s="270" t="s">
        <v>97</v>
      </c>
      <c r="B70" s="286" t="str">
        <f t="shared" si="9"/>
        <v>Cumin Powder - كمون مطحون</v>
      </c>
      <c r="C70" s="286" t="str">
        <f t="shared" si="9"/>
        <v>gm</v>
      </c>
      <c r="D70" s="286">
        <f t="shared" si="13"/>
        <v>5</v>
      </c>
      <c r="E70" s="116">
        <f t="shared" si="14"/>
        <v>10.526315789473685</v>
      </c>
      <c r="F70" s="127">
        <f t="shared" si="10"/>
        <v>0.75</v>
      </c>
      <c r="G70" s="119">
        <f t="shared" si="11"/>
        <v>52.631578947368425</v>
      </c>
      <c r="H70" s="120">
        <f t="shared" si="12"/>
        <v>39.473684210526315</v>
      </c>
    </row>
    <row r="71" spans="1:10" ht="14.25" customHeight="1" x14ac:dyDescent="0.3">
      <c r="A71" s="270" t="s">
        <v>97</v>
      </c>
      <c r="B71" s="286" t="str">
        <f t="shared" si="9"/>
        <v>Coriander Powder - كزبرة مطحونة</v>
      </c>
      <c r="C71" s="286" t="str">
        <f t="shared" si="9"/>
        <v>gm</v>
      </c>
      <c r="D71" s="286">
        <f t="shared" si="13"/>
        <v>5</v>
      </c>
      <c r="E71" s="116">
        <f t="shared" si="14"/>
        <v>10.526315789473685</v>
      </c>
      <c r="F71" s="127">
        <f t="shared" si="10"/>
        <v>0.75</v>
      </c>
      <c r="G71" s="119">
        <f t="shared" si="11"/>
        <v>52.631578947368425</v>
      </c>
      <c r="H71" s="120">
        <f t="shared" si="12"/>
        <v>39.473684210526315</v>
      </c>
    </row>
    <row r="72" spans="1:10" ht="14.25" customHeight="1" x14ac:dyDescent="0.3">
      <c r="A72" s="270" t="s">
        <v>97</v>
      </c>
      <c r="B72" s="286" t="str">
        <f t="shared" si="9"/>
        <v>Cinnamon Powder - قرفة مطحونة</v>
      </c>
      <c r="C72" s="286" t="str">
        <f t="shared" si="9"/>
        <v>gm</v>
      </c>
      <c r="D72" s="286">
        <f t="shared" si="13"/>
        <v>2</v>
      </c>
      <c r="E72" s="116">
        <f t="shared" si="14"/>
        <v>10.526315789473685</v>
      </c>
      <c r="F72" s="127">
        <f t="shared" si="10"/>
        <v>0.75</v>
      </c>
      <c r="G72" s="119">
        <f t="shared" si="11"/>
        <v>21.05263157894737</v>
      </c>
      <c r="H72" s="120">
        <f t="shared" si="12"/>
        <v>15.789473684210527</v>
      </c>
    </row>
    <row r="73" spans="1:10" ht="14.25" customHeight="1" x14ac:dyDescent="0.3">
      <c r="A73" s="270" t="s">
        <v>97</v>
      </c>
      <c r="B73" s="286" t="str">
        <f t="shared" si="9"/>
        <v>Salt - ملح</v>
      </c>
      <c r="C73" s="286" t="str">
        <f t="shared" si="9"/>
        <v>gm</v>
      </c>
      <c r="D73" s="286">
        <f t="shared" si="13"/>
        <v>11</v>
      </c>
      <c r="E73" s="116">
        <f t="shared" si="14"/>
        <v>10.526315789473685</v>
      </c>
      <c r="F73" s="127">
        <f t="shared" si="10"/>
        <v>0.75</v>
      </c>
      <c r="G73" s="119">
        <f t="shared" si="11"/>
        <v>115.78947368421053</v>
      </c>
      <c r="H73" s="120">
        <f t="shared" si="12"/>
        <v>86.842105263157904</v>
      </c>
    </row>
    <row r="74" spans="1:10" ht="14.25" customHeight="1" x14ac:dyDescent="0.3">
      <c r="A74" s="270" t="s">
        <v>196</v>
      </c>
      <c r="B74" s="286" t="str">
        <f t="shared" si="9"/>
        <v>Tomato Paste - صلصة طماطم</v>
      </c>
      <c r="C74" s="286" t="str">
        <f t="shared" si="9"/>
        <v>gm</v>
      </c>
      <c r="D74" s="286">
        <f t="shared" si="13"/>
        <v>250</v>
      </c>
      <c r="E74" s="116">
        <f t="shared" si="14"/>
        <v>10.526315789473685</v>
      </c>
      <c r="F74" s="127">
        <f t="shared" si="10"/>
        <v>1</v>
      </c>
      <c r="G74" s="119">
        <f t="shared" si="11"/>
        <v>2631.5789473684213</v>
      </c>
      <c r="H74" s="120">
        <f t="shared" si="12"/>
        <v>2631.5789473684213</v>
      </c>
    </row>
    <row r="75" spans="1:10" ht="14.25" customHeight="1" x14ac:dyDescent="0.3">
      <c r="A75" s="270" t="s">
        <v>13</v>
      </c>
      <c r="B75" s="286" t="str">
        <f t="shared" si="9"/>
        <v>Frozen Okra - بامية مجمدة</v>
      </c>
      <c r="C75" s="286" t="str">
        <f t="shared" si="9"/>
        <v>gm</v>
      </c>
      <c r="D75" s="286">
        <f t="shared" si="13"/>
        <v>400</v>
      </c>
      <c r="E75" s="116">
        <f t="shared" si="14"/>
        <v>10.526315789473685</v>
      </c>
      <c r="F75" s="127">
        <f t="shared" si="10"/>
        <v>1</v>
      </c>
      <c r="G75" s="119">
        <f t="shared" si="11"/>
        <v>4210.5263157894742</v>
      </c>
      <c r="H75" s="120">
        <f t="shared" si="12"/>
        <v>4210.5263157894742</v>
      </c>
    </row>
    <row r="76" spans="1:10" ht="14.25" customHeight="1" x14ac:dyDescent="0.3">
      <c r="A76" s="270" t="s">
        <v>210</v>
      </c>
      <c r="B76" s="286" t="str">
        <f t="shared" si="9"/>
        <v>Beef Stock - مرق لحم بقري</v>
      </c>
      <c r="C76" s="286" t="str">
        <f t="shared" si="9"/>
        <v>ml</v>
      </c>
      <c r="D76" s="286">
        <f t="shared" si="13"/>
        <v>500</v>
      </c>
      <c r="E76" s="116">
        <f t="shared" si="14"/>
        <v>10.526315789473685</v>
      </c>
      <c r="F76" s="127">
        <f t="shared" si="10"/>
        <v>1</v>
      </c>
      <c r="G76" s="119">
        <f t="shared" si="11"/>
        <v>5263.1578947368425</v>
      </c>
      <c r="H76" s="120">
        <f t="shared" si="12"/>
        <v>5263.1578947368425</v>
      </c>
    </row>
    <row r="77" spans="1:10" ht="14.25" customHeight="1" x14ac:dyDescent="0.3">
      <c r="A77" s="270" t="s">
        <v>158</v>
      </c>
      <c r="B77" s="286" t="str">
        <f t="shared" si="9"/>
        <v>Butter - زبدة</v>
      </c>
      <c r="C77" s="286" t="str">
        <f t="shared" si="9"/>
        <v>gm</v>
      </c>
      <c r="D77" s="286">
        <f t="shared" si="13"/>
        <v>15</v>
      </c>
      <c r="E77" s="116">
        <f t="shared" si="14"/>
        <v>10.526315789473685</v>
      </c>
      <c r="F77" s="127">
        <f t="shared" si="10"/>
        <v>1</v>
      </c>
      <c r="G77" s="119">
        <f t="shared" si="11"/>
        <v>157.89473684210526</v>
      </c>
      <c r="H77" s="120">
        <f t="shared" si="12"/>
        <v>157.89473684210526</v>
      </c>
    </row>
    <row r="78" spans="1:10" ht="14.25" customHeight="1" x14ac:dyDescent="0.3">
      <c r="A78" s="270" t="s">
        <v>97</v>
      </c>
      <c r="B78" s="286" t="str">
        <f t="shared" si="9"/>
        <v>Maggi Cubes - مكعبات ماجي</v>
      </c>
      <c r="C78" s="286" t="str">
        <f t="shared" si="9"/>
        <v>gm</v>
      </c>
      <c r="D78" s="286">
        <f t="shared" si="13"/>
        <v>10</v>
      </c>
      <c r="E78" s="116">
        <f t="shared" si="14"/>
        <v>10.526315789473685</v>
      </c>
      <c r="F78" s="127">
        <f t="shared" si="10"/>
        <v>0.75</v>
      </c>
      <c r="G78" s="119">
        <f t="shared" si="11"/>
        <v>105.26315789473685</v>
      </c>
      <c r="H78" s="120">
        <f t="shared" si="12"/>
        <v>78.94736842105263</v>
      </c>
    </row>
    <row r="79" spans="1:10" ht="20.25" customHeight="1" x14ac:dyDescent="0.4">
      <c r="A79" s="270" t="s">
        <v>97</v>
      </c>
      <c r="B79" s="286" t="str">
        <f t="shared" si="9"/>
        <v>Salt - ملح</v>
      </c>
      <c r="C79" s="286" t="str">
        <f t="shared" si="9"/>
        <v>gm</v>
      </c>
      <c r="D79" s="286">
        <f t="shared" si="13"/>
        <v>5</v>
      </c>
      <c r="E79" s="116">
        <f t="shared" si="14"/>
        <v>10.526315789473685</v>
      </c>
      <c r="F79" s="127">
        <f t="shared" si="10"/>
        <v>1</v>
      </c>
      <c r="G79" s="119">
        <f t="shared" si="11"/>
        <v>52.631578947368425</v>
      </c>
      <c r="H79" s="120">
        <f t="shared" si="12"/>
        <v>52.631578947368425</v>
      </c>
      <c r="I79" s="204"/>
      <c r="J79" s="203"/>
    </row>
    <row r="80" spans="1:10" ht="20.25" customHeight="1" x14ac:dyDescent="0.3">
      <c r="A80" s="211"/>
      <c r="B80" s="198" t="s">
        <v>299</v>
      </c>
      <c r="C80" s="200" t="s">
        <v>285</v>
      </c>
      <c r="D80" s="14"/>
      <c r="E80" s="200" t="s">
        <v>300</v>
      </c>
      <c r="F80" s="14"/>
      <c r="G80" s="890" t="s">
        <v>276</v>
      </c>
      <c r="H80" s="890" t="s">
        <v>733</v>
      </c>
      <c r="I80" s="14"/>
      <c r="J80" s="14"/>
    </row>
    <row r="81" spans="1:8" ht="23" customHeight="1" x14ac:dyDescent="0.4">
      <c r="A81" s="211"/>
      <c r="B81" s="199">
        <f>$J$53</f>
        <v>8266</v>
      </c>
      <c r="C81" s="199">
        <f>E81+G81</f>
        <v>10000</v>
      </c>
      <c r="D81" s="930"/>
      <c r="E81" s="199">
        <f>$D$53*$S$44</f>
        <v>2479</v>
      </c>
      <c r="F81" s="934"/>
      <c r="G81" s="199">
        <f>$D$53*$T$44</f>
        <v>7521</v>
      </c>
      <c r="H81" s="199">
        <f>B81+E81</f>
        <v>10745</v>
      </c>
    </row>
    <row r="82" spans="1:8" ht="14.25" customHeight="1" x14ac:dyDescent="0.3">
      <c r="B82" s="100"/>
      <c r="E82" s="100"/>
      <c r="F82" s="100"/>
    </row>
    <row r="83" spans="1:8" ht="14.25" customHeight="1" x14ac:dyDescent="0.3">
      <c r="B83" s="100"/>
      <c r="E83" s="100"/>
      <c r="F83" s="100"/>
    </row>
    <row r="84" spans="1:8" ht="14.25" customHeight="1" x14ac:dyDescent="0.3">
      <c r="B84" s="100"/>
      <c r="E84" s="100"/>
      <c r="F84" s="100"/>
    </row>
    <row r="85" spans="1:8" ht="17.75" customHeight="1" x14ac:dyDescent="0.3">
      <c r="A85" s="938"/>
      <c r="B85" s="1413" t="str">
        <f>"بامية لحم 2 / " &amp; COUNTIF($C$53:$C$56, "&gt;0")</f>
        <v>بامية لحم 2 / 3</v>
      </c>
      <c r="C85" s="1421"/>
      <c r="D85" s="1421"/>
      <c r="E85" s="1421"/>
      <c r="F85" s="1421"/>
      <c r="G85" s="1421"/>
      <c r="H85" s="1421"/>
    </row>
    <row r="86" spans="1:8" ht="23" customHeight="1" x14ac:dyDescent="0.3">
      <c r="A86" s="938"/>
      <c r="B86" s="1382" t="str">
        <f>"Meat with Bamiya 2 / " &amp; COUNTIF($C$53:$C$56, "&gt;0")</f>
        <v>Meat with Bamiya 2 / 3</v>
      </c>
      <c r="C86" s="1382"/>
      <c r="D86" s="1382"/>
      <c r="E86" s="1382"/>
      <c r="F86" s="1382"/>
      <c r="G86" s="1382"/>
      <c r="H86" s="1382"/>
    </row>
    <row r="87" spans="1:8" ht="46.5" customHeight="1" x14ac:dyDescent="0.3">
      <c r="A87" s="91"/>
      <c r="B87" s="91" t="s">
        <v>253</v>
      </c>
      <c r="C87" s="107" t="s">
        <v>254</v>
      </c>
      <c r="D87" s="91" t="s">
        <v>243</v>
      </c>
      <c r="E87" s="108" t="s">
        <v>246</v>
      </c>
      <c r="F87" s="108" t="s">
        <v>255</v>
      </c>
      <c r="G87" s="91" t="s">
        <v>256</v>
      </c>
      <c r="H87" s="109" t="s">
        <v>257</v>
      </c>
    </row>
    <row r="88" spans="1:8" ht="14.25" customHeight="1" x14ac:dyDescent="0.3">
      <c r="A88" s="270" t="s">
        <v>230</v>
      </c>
      <c r="B88" s="286" t="str">
        <f t="shared" ref="B88:C102" si="15">B5</f>
        <v>Indian Meat Alana  - لحم هندى ألانا</v>
      </c>
      <c r="C88" s="286" t="str">
        <f t="shared" si="15"/>
        <v>gm</v>
      </c>
      <c r="D88" s="288">
        <f>H54</f>
        <v>10</v>
      </c>
      <c r="E88" s="197">
        <f>H54</f>
        <v>10</v>
      </c>
      <c r="F88" s="127">
        <f t="shared" ref="F88:F102" si="16">F5</f>
        <v>1</v>
      </c>
      <c r="G88" s="119">
        <f t="shared" ref="G88:G102" si="17">D88*E88</f>
        <v>100</v>
      </c>
      <c r="H88" s="120">
        <f t="shared" ref="H88:H102" si="18">G88*F88</f>
        <v>100</v>
      </c>
    </row>
    <row r="89" spans="1:8" ht="14.25" customHeight="1" x14ac:dyDescent="0.3">
      <c r="A89" s="270" t="s">
        <v>13</v>
      </c>
      <c r="B89" s="286" t="str">
        <f t="shared" si="15"/>
        <v>Onion - بصل</v>
      </c>
      <c r="C89" s="286" t="str">
        <f t="shared" si="15"/>
        <v>gm</v>
      </c>
      <c r="D89" s="286">
        <f t="shared" ref="D89:D102" si="19">D6</f>
        <v>150</v>
      </c>
      <c r="E89" s="197">
        <f t="shared" ref="E89:E102" si="20">$C$54</f>
        <v>10.526315789473685</v>
      </c>
      <c r="F89" s="127">
        <f t="shared" si="16"/>
        <v>1</v>
      </c>
      <c r="G89" s="119">
        <f t="shared" si="17"/>
        <v>1578.9473684210527</v>
      </c>
      <c r="H89" s="120">
        <f t="shared" si="18"/>
        <v>1578.9473684210527</v>
      </c>
    </row>
    <row r="90" spans="1:8" ht="14.25" customHeight="1" x14ac:dyDescent="0.3">
      <c r="A90" s="270" t="s">
        <v>13</v>
      </c>
      <c r="B90" s="286" t="str">
        <f t="shared" si="15"/>
        <v>Tomato - طماطم</v>
      </c>
      <c r="C90" s="286" t="str">
        <f t="shared" si="15"/>
        <v>gm</v>
      </c>
      <c r="D90" s="286">
        <f t="shared" si="19"/>
        <v>400</v>
      </c>
      <c r="E90" s="197">
        <f t="shared" si="20"/>
        <v>10.526315789473685</v>
      </c>
      <c r="F90" s="127">
        <f t="shared" si="16"/>
        <v>1</v>
      </c>
      <c r="G90" s="119">
        <f t="shared" si="17"/>
        <v>4210.5263157894742</v>
      </c>
      <c r="H90" s="120">
        <f t="shared" si="18"/>
        <v>4210.5263157894742</v>
      </c>
    </row>
    <row r="91" spans="1:8" ht="14.25" customHeight="1" x14ac:dyDescent="0.3">
      <c r="A91" s="270" t="s">
        <v>13</v>
      </c>
      <c r="B91" s="286" t="str">
        <f t="shared" si="15"/>
        <v>Garlic - ثوم مقشر</v>
      </c>
      <c r="C91" s="286" t="str">
        <f t="shared" si="15"/>
        <v>gm</v>
      </c>
      <c r="D91" s="286">
        <f t="shared" si="19"/>
        <v>35</v>
      </c>
      <c r="E91" s="197">
        <f t="shared" si="20"/>
        <v>10.526315789473685</v>
      </c>
      <c r="F91" s="127">
        <f t="shared" si="16"/>
        <v>1</v>
      </c>
      <c r="G91" s="119">
        <f t="shared" si="17"/>
        <v>368.42105263157896</v>
      </c>
      <c r="H91" s="120">
        <f t="shared" si="18"/>
        <v>368.42105263157896</v>
      </c>
    </row>
    <row r="92" spans="1:8" ht="14.25" customHeight="1" x14ac:dyDescent="0.3">
      <c r="A92" s="270" t="s">
        <v>97</v>
      </c>
      <c r="B92" s="286" t="str">
        <f t="shared" si="15"/>
        <v>Black Pepper Powder - فلفل أسود مطحون</v>
      </c>
      <c r="C92" s="286" t="str">
        <f t="shared" si="15"/>
        <v>gm</v>
      </c>
      <c r="D92" s="286">
        <f t="shared" si="19"/>
        <v>3</v>
      </c>
      <c r="E92" s="197">
        <f t="shared" si="20"/>
        <v>10.526315789473685</v>
      </c>
      <c r="F92" s="127">
        <f t="shared" si="16"/>
        <v>1</v>
      </c>
      <c r="G92" s="119">
        <f t="shared" si="17"/>
        <v>31.578947368421055</v>
      </c>
      <c r="H92" s="120">
        <f t="shared" si="18"/>
        <v>31.578947368421055</v>
      </c>
    </row>
    <row r="93" spans="1:8" ht="14.25" customHeight="1" x14ac:dyDescent="0.3">
      <c r="A93" s="270" t="s">
        <v>97</v>
      </c>
      <c r="B93" s="286" t="str">
        <f t="shared" si="15"/>
        <v>Cumin Powder - كمون مطحون</v>
      </c>
      <c r="C93" s="286" t="str">
        <f t="shared" si="15"/>
        <v>gm</v>
      </c>
      <c r="D93" s="286">
        <f t="shared" si="19"/>
        <v>5</v>
      </c>
      <c r="E93" s="197">
        <f t="shared" si="20"/>
        <v>10.526315789473685</v>
      </c>
      <c r="F93" s="127">
        <f t="shared" si="16"/>
        <v>0.75</v>
      </c>
      <c r="G93" s="119">
        <f t="shared" si="17"/>
        <v>52.631578947368425</v>
      </c>
      <c r="H93" s="120">
        <f t="shared" si="18"/>
        <v>39.473684210526315</v>
      </c>
    </row>
    <row r="94" spans="1:8" ht="14.25" customHeight="1" x14ac:dyDescent="0.3">
      <c r="A94" s="270" t="s">
        <v>97</v>
      </c>
      <c r="B94" s="286" t="str">
        <f t="shared" si="15"/>
        <v>Coriander Powder - كزبرة مطحونة</v>
      </c>
      <c r="C94" s="286" t="str">
        <f t="shared" si="15"/>
        <v>gm</v>
      </c>
      <c r="D94" s="286">
        <f t="shared" si="19"/>
        <v>5</v>
      </c>
      <c r="E94" s="197">
        <f t="shared" si="20"/>
        <v>10.526315789473685</v>
      </c>
      <c r="F94" s="127">
        <f t="shared" si="16"/>
        <v>0.75</v>
      </c>
      <c r="G94" s="119">
        <f t="shared" si="17"/>
        <v>52.631578947368425</v>
      </c>
      <c r="H94" s="120">
        <f t="shared" si="18"/>
        <v>39.473684210526315</v>
      </c>
    </row>
    <row r="95" spans="1:8" ht="14.25" customHeight="1" x14ac:dyDescent="0.3">
      <c r="A95" s="270" t="s">
        <v>97</v>
      </c>
      <c r="B95" s="286" t="str">
        <f t="shared" si="15"/>
        <v>Cinnamon Powder - قرفة مطحونة</v>
      </c>
      <c r="C95" s="286" t="str">
        <f t="shared" si="15"/>
        <v>gm</v>
      </c>
      <c r="D95" s="286">
        <f t="shared" si="19"/>
        <v>2</v>
      </c>
      <c r="E95" s="197">
        <f t="shared" si="20"/>
        <v>10.526315789473685</v>
      </c>
      <c r="F95" s="127">
        <f t="shared" si="16"/>
        <v>0.75</v>
      </c>
      <c r="G95" s="119">
        <f t="shared" si="17"/>
        <v>21.05263157894737</v>
      </c>
      <c r="H95" s="120">
        <f t="shared" si="18"/>
        <v>15.789473684210527</v>
      </c>
    </row>
    <row r="96" spans="1:8" ht="14.25" customHeight="1" x14ac:dyDescent="0.3">
      <c r="A96" s="270" t="s">
        <v>97</v>
      </c>
      <c r="B96" s="286" t="str">
        <f t="shared" si="15"/>
        <v>Salt - ملح</v>
      </c>
      <c r="C96" s="286" t="str">
        <f t="shared" si="15"/>
        <v>gm</v>
      </c>
      <c r="D96" s="286">
        <f t="shared" si="19"/>
        <v>11</v>
      </c>
      <c r="E96" s="197">
        <f t="shared" si="20"/>
        <v>10.526315789473685</v>
      </c>
      <c r="F96" s="127">
        <f t="shared" si="16"/>
        <v>0.75</v>
      </c>
      <c r="G96" s="119">
        <f t="shared" si="17"/>
        <v>115.78947368421053</v>
      </c>
      <c r="H96" s="120">
        <f t="shared" si="18"/>
        <v>86.842105263157904</v>
      </c>
    </row>
    <row r="97" spans="1:8" ht="14.25" customHeight="1" x14ac:dyDescent="0.3">
      <c r="A97" s="270" t="s">
        <v>196</v>
      </c>
      <c r="B97" s="286" t="str">
        <f t="shared" si="15"/>
        <v>Tomato Paste - صلصة طماطم</v>
      </c>
      <c r="C97" s="286" t="str">
        <f t="shared" si="15"/>
        <v>gm</v>
      </c>
      <c r="D97" s="286">
        <f t="shared" si="19"/>
        <v>250</v>
      </c>
      <c r="E97" s="197">
        <f t="shared" si="20"/>
        <v>10.526315789473685</v>
      </c>
      <c r="F97" s="127">
        <f t="shared" si="16"/>
        <v>1</v>
      </c>
      <c r="G97" s="119">
        <f t="shared" si="17"/>
        <v>2631.5789473684213</v>
      </c>
      <c r="H97" s="120">
        <f t="shared" si="18"/>
        <v>2631.5789473684213</v>
      </c>
    </row>
    <row r="98" spans="1:8" ht="14.25" customHeight="1" x14ac:dyDescent="0.3">
      <c r="A98" s="270" t="s">
        <v>13</v>
      </c>
      <c r="B98" s="286" t="str">
        <f t="shared" si="15"/>
        <v>Frozen Okra - بامية مجمدة</v>
      </c>
      <c r="C98" s="286" t="str">
        <f t="shared" si="15"/>
        <v>gm</v>
      </c>
      <c r="D98" s="286">
        <f t="shared" si="19"/>
        <v>400</v>
      </c>
      <c r="E98" s="197">
        <f t="shared" si="20"/>
        <v>10.526315789473685</v>
      </c>
      <c r="F98" s="127">
        <f t="shared" si="16"/>
        <v>1</v>
      </c>
      <c r="G98" s="119">
        <f t="shared" si="17"/>
        <v>4210.5263157894742</v>
      </c>
      <c r="H98" s="120">
        <f t="shared" si="18"/>
        <v>4210.5263157894742</v>
      </c>
    </row>
    <row r="99" spans="1:8" ht="14.25" customHeight="1" x14ac:dyDescent="0.3">
      <c r="A99" s="270" t="s">
        <v>210</v>
      </c>
      <c r="B99" s="286" t="str">
        <f t="shared" si="15"/>
        <v>Beef Stock - مرق لحم بقري</v>
      </c>
      <c r="C99" s="286" t="str">
        <f t="shared" si="15"/>
        <v>ml</v>
      </c>
      <c r="D99" s="286">
        <f t="shared" si="19"/>
        <v>500</v>
      </c>
      <c r="E99" s="197">
        <f t="shared" si="20"/>
        <v>10.526315789473685</v>
      </c>
      <c r="F99" s="127">
        <f t="shared" si="16"/>
        <v>1</v>
      </c>
      <c r="G99" s="119">
        <f t="shared" si="17"/>
        <v>5263.1578947368425</v>
      </c>
      <c r="H99" s="120">
        <f t="shared" si="18"/>
        <v>5263.1578947368425</v>
      </c>
    </row>
    <row r="100" spans="1:8" ht="14.25" customHeight="1" x14ac:dyDescent="0.3">
      <c r="A100" s="270" t="s">
        <v>158</v>
      </c>
      <c r="B100" s="286" t="str">
        <f t="shared" si="15"/>
        <v>Butter - زبدة</v>
      </c>
      <c r="C100" s="286" t="str">
        <f t="shared" si="15"/>
        <v>gm</v>
      </c>
      <c r="D100" s="286">
        <f t="shared" si="19"/>
        <v>15</v>
      </c>
      <c r="E100" s="197">
        <f t="shared" si="20"/>
        <v>10.526315789473685</v>
      </c>
      <c r="F100" s="127">
        <f t="shared" si="16"/>
        <v>1</v>
      </c>
      <c r="G100" s="119">
        <f t="shared" si="17"/>
        <v>157.89473684210526</v>
      </c>
      <c r="H100" s="120">
        <f t="shared" si="18"/>
        <v>157.89473684210526</v>
      </c>
    </row>
    <row r="101" spans="1:8" ht="14.25" customHeight="1" x14ac:dyDescent="0.3">
      <c r="A101" s="270" t="s">
        <v>97</v>
      </c>
      <c r="B101" s="286" t="str">
        <f t="shared" si="15"/>
        <v>Maggi Cubes - مكعبات ماجي</v>
      </c>
      <c r="C101" s="286" t="str">
        <f t="shared" si="15"/>
        <v>gm</v>
      </c>
      <c r="D101" s="286">
        <f t="shared" si="19"/>
        <v>10</v>
      </c>
      <c r="E101" s="197">
        <f t="shared" si="20"/>
        <v>10.526315789473685</v>
      </c>
      <c r="F101" s="127">
        <f t="shared" si="16"/>
        <v>0.75</v>
      </c>
      <c r="G101" s="119">
        <f t="shared" si="17"/>
        <v>105.26315789473685</v>
      </c>
      <c r="H101" s="120">
        <f t="shared" si="18"/>
        <v>78.94736842105263</v>
      </c>
    </row>
    <row r="102" spans="1:8" ht="14.25" customHeight="1" x14ac:dyDescent="0.3">
      <c r="A102" s="270" t="s">
        <v>97</v>
      </c>
      <c r="B102" s="286" t="str">
        <f t="shared" si="15"/>
        <v>Salt - ملح</v>
      </c>
      <c r="C102" s="286" t="str">
        <f t="shared" si="15"/>
        <v>gm</v>
      </c>
      <c r="D102" s="286">
        <f t="shared" si="19"/>
        <v>5</v>
      </c>
      <c r="E102" s="197">
        <f t="shared" si="20"/>
        <v>10.526315789473685</v>
      </c>
      <c r="F102" s="127">
        <f t="shared" si="16"/>
        <v>1</v>
      </c>
      <c r="G102" s="119">
        <f t="shared" si="17"/>
        <v>52.631578947368425</v>
      </c>
      <c r="H102" s="120">
        <f t="shared" si="18"/>
        <v>52.631578947368425</v>
      </c>
    </row>
    <row r="103" spans="1:8" ht="20.25" customHeight="1" x14ac:dyDescent="0.3">
      <c r="A103" s="211"/>
      <c r="B103" s="198" t="s">
        <v>299</v>
      </c>
      <c r="C103" s="200" t="s">
        <v>285</v>
      </c>
      <c r="D103" s="14"/>
      <c r="E103" s="200" t="s">
        <v>300</v>
      </c>
      <c r="F103" s="14"/>
      <c r="G103" s="890" t="s">
        <v>276</v>
      </c>
      <c r="H103" s="890" t="s">
        <v>733</v>
      </c>
    </row>
    <row r="104" spans="1:8" ht="20" x14ac:dyDescent="0.4">
      <c r="A104" s="211"/>
      <c r="B104" s="199">
        <f>$J$54</f>
        <v>8266</v>
      </c>
      <c r="C104" s="201">
        <f>E104+G104</f>
        <v>10.526315789473685</v>
      </c>
      <c r="D104" s="209"/>
      <c r="E104" s="201">
        <f>$C$54*$S$44</f>
        <v>2.6094736842105264</v>
      </c>
      <c r="F104" s="100"/>
      <c r="G104" s="202">
        <f>$C$54*$T$44</f>
        <v>7.9168421052631581</v>
      </c>
      <c r="H104" s="202">
        <f>B104+E104</f>
        <v>8268.6094736842097</v>
      </c>
    </row>
    <row r="106" spans="1:8" x14ac:dyDescent="0.3">
      <c r="A106" s="938"/>
      <c r="B106" s="1413" t="str">
        <f>"بامية لحم 3 / " &amp; COUNTIF($C$53:$C$56, "&gt;0")</f>
        <v>بامية لحم 3 / 3</v>
      </c>
      <c r="C106" s="1421"/>
      <c r="D106" s="1421"/>
      <c r="E106" s="1421"/>
      <c r="F106" s="1421"/>
      <c r="G106" s="1421"/>
      <c r="H106" s="1421"/>
    </row>
    <row r="107" spans="1:8" ht="28.25" customHeight="1" x14ac:dyDescent="0.3">
      <c r="A107" s="938"/>
      <c r="B107" s="1382" t="str">
        <f>"Meat with Bamiya 3 / " &amp; COUNTIF($C$53:$C$56, "&gt;0")</f>
        <v>Meat with Bamiya 3 / 3</v>
      </c>
      <c r="C107" s="1382"/>
      <c r="D107" s="1382"/>
      <c r="E107" s="1382"/>
      <c r="F107" s="1382"/>
      <c r="G107" s="1382"/>
      <c r="H107" s="1382"/>
    </row>
    <row r="108" spans="1:8" ht="41" customHeight="1" x14ac:dyDescent="0.3">
      <c r="A108" s="91"/>
      <c r="B108" s="91" t="s">
        <v>253</v>
      </c>
      <c r="C108" s="107" t="s">
        <v>254</v>
      </c>
      <c r="D108" s="91" t="s">
        <v>243</v>
      </c>
      <c r="E108" s="108" t="s">
        <v>246</v>
      </c>
      <c r="F108" s="108" t="s">
        <v>255</v>
      </c>
      <c r="G108" s="91" t="s">
        <v>256</v>
      </c>
      <c r="H108" s="109" t="s">
        <v>257</v>
      </c>
    </row>
    <row r="109" spans="1:8" x14ac:dyDescent="0.3">
      <c r="A109" s="270" t="s">
        <v>230</v>
      </c>
      <c r="B109" s="286" t="str">
        <f t="shared" ref="B109:D123" si="21">B5</f>
        <v>Indian Meat Alana  - لحم هندى ألانا</v>
      </c>
      <c r="C109" s="286" t="str">
        <f t="shared" si="21"/>
        <v>gm</v>
      </c>
      <c r="D109" s="286">
        <f t="shared" si="21"/>
        <v>1620.7843137254902</v>
      </c>
      <c r="E109" s="653">
        <f>H55</f>
        <v>7.3967503582795082</v>
      </c>
      <c r="F109" s="652">
        <f t="shared" ref="F109:F123" si="22">F5</f>
        <v>1</v>
      </c>
      <c r="G109" s="119">
        <f t="shared" ref="G109:G123" si="23">D109*E109</f>
        <v>11988.536953242827</v>
      </c>
      <c r="H109" s="120">
        <f t="shared" ref="H109:H123" si="24">G109*F109</f>
        <v>11988.536953242827</v>
      </c>
    </row>
    <row r="110" spans="1:8" x14ac:dyDescent="0.3">
      <c r="A110" s="270" t="s">
        <v>13</v>
      </c>
      <c r="B110" s="286" t="str">
        <f t="shared" si="21"/>
        <v>Onion - بصل</v>
      </c>
      <c r="C110" s="286" t="str">
        <f t="shared" si="21"/>
        <v>gm</v>
      </c>
      <c r="D110" s="286">
        <f t="shared" si="21"/>
        <v>150</v>
      </c>
      <c r="E110" s="653">
        <f t="shared" ref="E110:E123" si="25">$C$55</f>
        <v>7.7914170040485864</v>
      </c>
      <c r="F110" s="652">
        <f t="shared" si="22"/>
        <v>1</v>
      </c>
      <c r="G110" s="119">
        <f t="shared" si="23"/>
        <v>1168.712550607288</v>
      </c>
      <c r="H110" s="120">
        <f t="shared" si="24"/>
        <v>1168.712550607288</v>
      </c>
    </row>
    <row r="111" spans="1:8" x14ac:dyDescent="0.3">
      <c r="A111" s="270" t="s">
        <v>13</v>
      </c>
      <c r="B111" s="286" t="str">
        <f t="shared" si="21"/>
        <v>Tomato - طماطم</v>
      </c>
      <c r="C111" s="286" t="str">
        <f t="shared" si="21"/>
        <v>gm</v>
      </c>
      <c r="D111" s="286">
        <f t="shared" si="21"/>
        <v>400</v>
      </c>
      <c r="E111" s="653">
        <f t="shared" si="25"/>
        <v>7.7914170040485864</v>
      </c>
      <c r="F111" s="652">
        <f t="shared" si="22"/>
        <v>1</v>
      </c>
      <c r="G111" s="119">
        <f t="shared" si="23"/>
        <v>3116.5668016194345</v>
      </c>
      <c r="H111" s="120">
        <f t="shared" si="24"/>
        <v>3116.5668016194345</v>
      </c>
    </row>
    <row r="112" spans="1:8" x14ac:dyDescent="0.3">
      <c r="A112" s="270" t="s">
        <v>13</v>
      </c>
      <c r="B112" s="286" t="str">
        <f t="shared" si="21"/>
        <v>Garlic - ثوم مقشر</v>
      </c>
      <c r="C112" s="286" t="str">
        <f t="shared" si="21"/>
        <v>gm</v>
      </c>
      <c r="D112" s="286">
        <f t="shared" si="21"/>
        <v>35</v>
      </c>
      <c r="E112" s="653">
        <f t="shared" si="25"/>
        <v>7.7914170040485864</v>
      </c>
      <c r="F112" s="652">
        <f t="shared" si="22"/>
        <v>1</v>
      </c>
      <c r="G112" s="119">
        <f t="shared" si="23"/>
        <v>272.69959514170051</v>
      </c>
      <c r="H112" s="120">
        <f t="shared" si="24"/>
        <v>272.69959514170051</v>
      </c>
    </row>
    <row r="113" spans="1:8" x14ac:dyDescent="0.3">
      <c r="A113" s="270" t="s">
        <v>97</v>
      </c>
      <c r="B113" s="286" t="str">
        <f t="shared" si="21"/>
        <v>Black Pepper Powder - فلفل أسود مطحون</v>
      </c>
      <c r="C113" s="286" t="str">
        <f t="shared" si="21"/>
        <v>gm</v>
      </c>
      <c r="D113" s="286">
        <f t="shared" si="21"/>
        <v>3</v>
      </c>
      <c r="E113" s="653">
        <f t="shared" si="25"/>
        <v>7.7914170040485864</v>
      </c>
      <c r="F113" s="652">
        <f t="shared" si="22"/>
        <v>1</v>
      </c>
      <c r="G113" s="119">
        <f t="shared" si="23"/>
        <v>23.374251012145759</v>
      </c>
      <c r="H113" s="120">
        <f t="shared" si="24"/>
        <v>23.374251012145759</v>
      </c>
    </row>
    <row r="114" spans="1:8" x14ac:dyDescent="0.3">
      <c r="A114" s="270" t="s">
        <v>97</v>
      </c>
      <c r="B114" s="286" t="str">
        <f t="shared" si="21"/>
        <v>Cumin Powder - كمون مطحون</v>
      </c>
      <c r="C114" s="286" t="str">
        <f t="shared" si="21"/>
        <v>gm</v>
      </c>
      <c r="D114" s="286">
        <f t="shared" si="21"/>
        <v>5</v>
      </c>
      <c r="E114" s="653">
        <f t="shared" si="25"/>
        <v>7.7914170040485864</v>
      </c>
      <c r="F114" s="652">
        <f t="shared" si="22"/>
        <v>0.75</v>
      </c>
      <c r="G114" s="119">
        <f t="shared" si="23"/>
        <v>38.957085020242928</v>
      </c>
      <c r="H114" s="120">
        <f t="shared" si="24"/>
        <v>29.217813765182196</v>
      </c>
    </row>
    <row r="115" spans="1:8" x14ac:dyDescent="0.3">
      <c r="A115" s="270" t="s">
        <v>97</v>
      </c>
      <c r="B115" s="286" t="str">
        <f t="shared" si="21"/>
        <v>Coriander Powder - كزبرة مطحونة</v>
      </c>
      <c r="C115" s="286" t="str">
        <f t="shared" si="21"/>
        <v>gm</v>
      </c>
      <c r="D115" s="286">
        <f t="shared" si="21"/>
        <v>5</v>
      </c>
      <c r="E115" s="653">
        <f t="shared" si="25"/>
        <v>7.7914170040485864</v>
      </c>
      <c r="F115" s="652">
        <f t="shared" si="22"/>
        <v>0.75</v>
      </c>
      <c r="G115" s="119">
        <f t="shared" si="23"/>
        <v>38.957085020242928</v>
      </c>
      <c r="H115" s="120">
        <f t="shared" si="24"/>
        <v>29.217813765182196</v>
      </c>
    </row>
    <row r="116" spans="1:8" x14ac:dyDescent="0.3">
      <c r="A116" s="270" t="s">
        <v>97</v>
      </c>
      <c r="B116" s="286" t="str">
        <f t="shared" si="21"/>
        <v>Cinnamon Powder - قرفة مطحونة</v>
      </c>
      <c r="C116" s="286" t="str">
        <f t="shared" si="21"/>
        <v>gm</v>
      </c>
      <c r="D116" s="286">
        <f t="shared" si="21"/>
        <v>2</v>
      </c>
      <c r="E116" s="653">
        <f t="shared" si="25"/>
        <v>7.7914170040485864</v>
      </c>
      <c r="F116" s="652">
        <f t="shared" si="22"/>
        <v>0.75</v>
      </c>
      <c r="G116" s="119">
        <f t="shared" si="23"/>
        <v>15.582834008097173</v>
      </c>
      <c r="H116" s="120">
        <f t="shared" si="24"/>
        <v>11.68712550607288</v>
      </c>
    </row>
    <row r="117" spans="1:8" x14ac:dyDescent="0.3">
      <c r="A117" s="270" t="s">
        <v>97</v>
      </c>
      <c r="B117" s="286" t="str">
        <f t="shared" si="21"/>
        <v>Salt - ملح</v>
      </c>
      <c r="C117" s="286" t="str">
        <f t="shared" si="21"/>
        <v>gm</v>
      </c>
      <c r="D117" s="286">
        <f t="shared" si="21"/>
        <v>11</v>
      </c>
      <c r="E117" s="653">
        <f t="shared" si="25"/>
        <v>7.7914170040485864</v>
      </c>
      <c r="F117" s="652">
        <f t="shared" si="22"/>
        <v>0.75</v>
      </c>
      <c r="G117" s="119">
        <f t="shared" si="23"/>
        <v>85.705587044534454</v>
      </c>
      <c r="H117" s="120">
        <f t="shared" si="24"/>
        <v>64.279190283400837</v>
      </c>
    </row>
    <row r="118" spans="1:8" x14ac:dyDescent="0.3">
      <c r="A118" s="270" t="s">
        <v>196</v>
      </c>
      <c r="B118" s="286" t="str">
        <f t="shared" si="21"/>
        <v>Tomato Paste - صلصة طماطم</v>
      </c>
      <c r="C118" s="286" t="str">
        <f t="shared" si="21"/>
        <v>gm</v>
      </c>
      <c r="D118" s="286">
        <f t="shared" si="21"/>
        <v>250</v>
      </c>
      <c r="E118" s="653">
        <f t="shared" si="25"/>
        <v>7.7914170040485864</v>
      </c>
      <c r="F118" s="652">
        <f t="shared" si="22"/>
        <v>1</v>
      </c>
      <c r="G118" s="119">
        <f t="shared" si="23"/>
        <v>1947.8542510121465</v>
      </c>
      <c r="H118" s="120">
        <f t="shared" si="24"/>
        <v>1947.8542510121465</v>
      </c>
    </row>
    <row r="119" spans="1:8" x14ac:dyDescent="0.3">
      <c r="A119" s="270" t="s">
        <v>13</v>
      </c>
      <c r="B119" s="286" t="str">
        <f t="shared" si="21"/>
        <v>Frozen Okra - بامية مجمدة</v>
      </c>
      <c r="C119" s="286" t="str">
        <f t="shared" si="21"/>
        <v>gm</v>
      </c>
      <c r="D119" s="286">
        <f t="shared" si="21"/>
        <v>400</v>
      </c>
      <c r="E119" s="653">
        <f t="shared" si="25"/>
        <v>7.7914170040485864</v>
      </c>
      <c r="F119" s="652">
        <f t="shared" si="22"/>
        <v>1</v>
      </c>
      <c r="G119" s="119">
        <f t="shared" si="23"/>
        <v>3116.5668016194345</v>
      </c>
      <c r="H119" s="120">
        <f t="shared" si="24"/>
        <v>3116.5668016194345</v>
      </c>
    </row>
    <row r="120" spans="1:8" x14ac:dyDescent="0.3">
      <c r="A120" s="270" t="s">
        <v>210</v>
      </c>
      <c r="B120" s="286" t="str">
        <f t="shared" si="21"/>
        <v>Beef Stock - مرق لحم بقري</v>
      </c>
      <c r="C120" s="286" t="str">
        <f t="shared" si="21"/>
        <v>ml</v>
      </c>
      <c r="D120" s="286">
        <f t="shared" si="21"/>
        <v>500</v>
      </c>
      <c r="E120" s="653">
        <f t="shared" si="25"/>
        <v>7.7914170040485864</v>
      </c>
      <c r="F120" s="652">
        <f t="shared" si="22"/>
        <v>1</v>
      </c>
      <c r="G120" s="119">
        <f t="shared" si="23"/>
        <v>3895.708502024293</v>
      </c>
      <c r="H120" s="120">
        <f t="shared" si="24"/>
        <v>3895.708502024293</v>
      </c>
    </row>
    <row r="121" spans="1:8" x14ac:dyDescent="0.3">
      <c r="A121" s="270" t="s">
        <v>158</v>
      </c>
      <c r="B121" s="286" t="str">
        <f t="shared" si="21"/>
        <v>Butter - زبدة</v>
      </c>
      <c r="C121" s="286" t="str">
        <f t="shared" si="21"/>
        <v>gm</v>
      </c>
      <c r="D121" s="286">
        <f t="shared" si="21"/>
        <v>15</v>
      </c>
      <c r="E121" s="653">
        <f t="shared" si="25"/>
        <v>7.7914170040485864</v>
      </c>
      <c r="F121" s="652">
        <f t="shared" si="22"/>
        <v>1</v>
      </c>
      <c r="G121" s="119">
        <f t="shared" si="23"/>
        <v>116.8712550607288</v>
      </c>
      <c r="H121" s="120">
        <f t="shared" si="24"/>
        <v>116.8712550607288</v>
      </c>
    </row>
    <row r="122" spans="1:8" x14ac:dyDescent="0.3">
      <c r="A122" s="270" t="s">
        <v>97</v>
      </c>
      <c r="B122" s="286" t="str">
        <f t="shared" si="21"/>
        <v>Maggi Cubes - مكعبات ماجي</v>
      </c>
      <c r="C122" s="286" t="str">
        <f t="shared" si="21"/>
        <v>gm</v>
      </c>
      <c r="D122" s="286">
        <f t="shared" si="21"/>
        <v>10</v>
      </c>
      <c r="E122" s="653">
        <f t="shared" si="25"/>
        <v>7.7914170040485864</v>
      </c>
      <c r="F122" s="652">
        <f t="shared" si="22"/>
        <v>0.75</v>
      </c>
      <c r="G122" s="119">
        <f t="shared" si="23"/>
        <v>77.914170040485857</v>
      </c>
      <c r="H122" s="120">
        <f t="shared" si="24"/>
        <v>58.435627530364393</v>
      </c>
    </row>
    <row r="123" spans="1:8" x14ac:dyDescent="0.3">
      <c r="A123" s="270" t="s">
        <v>97</v>
      </c>
      <c r="B123" s="286" t="str">
        <f t="shared" si="21"/>
        <v>Salt - ملح</v>
      </c>
      <c r="C123" s="286" t="str">
        <f t="shared" si="21"/>
        <v>gm</v>
      </c>
      <c r="D123" s="286">
        <f t="shared" si="21"/>
        <v>5</v>
      </c>
      <c r="E123" s="653">
        <f t="shared" si="25"/>
        <v>7.7914170040485864</v>
      </c>
      <c r="F123" s="652">
        <f t="shared" si="22"/>
        <v>1</v>
      </c>
      <c r="G123" s="119">
        <f t="shared" si="23"/>
        <v>38.957085020242928</v>
      </c>
      <c r="H123" s="120">
        <f t="shared" si="24"/>
        <v>38.957085020242928</v>
      </c>
    </row>
    <row r="124" spans="1:8" ht="18" x14ac:dyDescent="0.3">
      <c r="A124" s="79"/>
      <c r="B124" s="198" t="s">
        <v>299</v>
      </c>
      <c r="C124" s="200" t="s">
        <v>285</v>
      </c>
      <c r="D124" s="14"/>
      <c r="E124" s="200" t="s">
        <v>300</v>
      </c>
      <c r="F124" s="14"/>
      <c r="G124" s="890" t="s">
        <v>276</v>
      </c>
      <c r="H124" s="890" t="s">
        <v>733</v>
      </c>
    </row>
    <row r="125" spans="1:8" ht="20" x14ac:dyDescent="0.4">
      <c r="A125" s="79"/>
      <c r="B125" s="199">
        <f>$J$55</f>
        <v>6114.1538461538403</v>
      </c>
      <c r="C125" s="199">
        <f>E125+G125</f>
        <v>7401.846153846157</v>
      </c>
      <c r="D125" s="945"/>
      <c r="E125" s="199">
        <f>$D$55*$S$44</f>
        <v>1834.9176615384624</v>
      </c>
      <c r="F125" s="945"/>
      <c r="G125" s="199">
        <f>$D$55*$T$44</f>
        <v>5566.9284923076948</v>
      </c>
      <c r="H125" s="199">
        <f>B125+E125</f>
        <v>7949.0715076923025</v>
      </c>
    </row>
    <row r="129" spans="1:8" x14ac:dyDescent="0.3">
      <c r="A129" s="938"/>
      <c r="B129" s="1413" t="str">
        <f>"بامية لحم 4 / " &amp; COUNTIF($C$53:$C$56, "&gt;0")</f>
        <v>بامية لحم 4 / 3</v>
      </c>
      <c r="C129" s="1421"/>
      <c r="D129" s="1421"/>
      <c r="E129" s="1421"/>
      <c r="F129" s="1421"/>
      <c r="G129" s="1421"/>
      <c r="H129" s="1421"/>
    </row>
    <row r="130" spans="1:8" ht="18" x14ac:dyDescent="0.3">
      <c r="A130" s="938"/>
      <c r="B130" s="1382" t="str">
        <f>"Meat with Bamiya 4 / " &amp; COUNTIF($C$53:$C$56, "&gt;0")</f>
        <v>Meat with Bamiya 4 / 3</v>
      </c>
      <c r="C130" s="1382"/>
      <c r="D130" s="1382"/>
      <c r="E130" s="1382"/>
      <c r="F130" s="1382"/>
      <c r="G130" s="1382"/>
      <c r="H130" s="1382"/>
    </row>
    <row r="131" spans="1:8" ht="26" x14ac:dyDescent="0.3">
      <c r="A131" s="91"/>
      <c r="B131" s="91" t="s">
        <v>253</v>
      </c>
      <c r="C131" s="107" t="s">
        <v>254</v>
      </c>
      <c r="D131" s="91" t="s">
        <v>243</v>
      </c>
      <c r="E131" s="108" t="s">
        <v>246</v>
      </c>
      <c r="F131" s="108" t="s">
        <v>255</v>
      </c>
      <c r="G131" s="91" t="s">
        <v>256</v>
      </c>
      <c r="H131" s="109" t="s">
        <v>257</v>
      </c>
    </row>
    <row r="132" spans="1:8" x14ac:dyDescent="0.3">
      <c r="A132" s="270" t="s">
        <v>230</v>
      </c>
      <c r="B132" s="286" t="str">
        <f t="shared" ref="B132:D146" si="26">B5</f>
        <v>Indian Meat Alana  - لحم هندى ألانا</v>
      </c>
      <c r="C132" s="286" t="str">
        <f t="shared" si="26"/>
        <v>gm</v>
      </c>
      <c r="D132" s="286">
        <f t="shared" si="26"/>
        <v>1620.7843137254902</v>
      </c>
      <c r="E132" s="653">
        <f>H56</f>
        <v>0</v>
      </c>
      <c r="F132" s="652">
        <f>F5</f>
        <v>1</v>
      </c>
      <c r="G132" s="119">
        <f t="shared" ref="G132:G146" si="27">D132*E132</f>
        <v>0</v>
      </c>
      <c r="H132" s="120">
        <f t="shared" ref="H132:H146" si="28">G132*F132</f>
        <v>0</v>
      </c>
    </row>
    <row r="133" spans="1:8" x14ac:dyDescent="0.3">
      <c r="A133" s="270" t="s">
        <v>13</v>
      </c>
      <c r="B133" s="286" t="str">
        <f t="shared" si="26"/>
        <v>Onion - بصل</v>
      </c>
      <c r="C133" s="286" t="str">
        <f t="shared" si="26"/>
        <v>gm</v>
      </c>
      <c r="D133" s="286">
        <f t="shared" si="26"/>
        <v>150</v>
      </c>
      <c r="E133" s="653">
        <f>$C$56</f>
        <v>0</v>
      </c>
      <c r="F133" s="652">
        <f t="shared" ref="F133:F146" si="29">F6</f>
        <v>1</v>
      </c>
      <c r="G133" s="119">
        <f t="shared" si="27"/>
        <v>0</v>
      </c>
      <c r="H133" s="120">
        <f t="shared" si="28"/>
        <v>0</v>
      </c>
    </row>
    <row r="134" spans="1:8" x14ac:dyDescent="0.3">
      <c r="A134" s="270" t="s">
        <v>13</v>
      </c>
      <c r="B134" s="286" t="str">
        <f t="shared" si="26"/>
        <v>Tomato - طماطم</v>
      </c>
      <c r="C134" s="286" t="str">
        <f t="shared" si="26"/>
        <v>gm</v>
      </c>
      <c r="D134" s="286">
        <f t="shared" si="26"/>
        <v>400</v>
      </c>
      <c r="E134" s="653">
        <f t="shared" ref="E134:E146" si="30">$C$56</f>
        <v>0</v>
      </c>
      <c r="F134" s="652">
        <f t="shared" si="29"/>
        <v>1</v>
      </c>
      <c r="G134" s="119">
        <f t="shared" si="27"/>
        <v>0</v>
      </c>
      <c r="H134" s="120">
        <f t="shared" si="28"/>
        <v>0</v>
      </c>
    </row>
    <row r="135" spans="1:8" x14ac:dyDescent="0.3">
      <c r="A135" s="270" t="s">
        <v>13</v>
      </c>
      <c r="B135" s="286" t="str">
        <f t="shared" si="26"/>
        <v>Garlic - ثوم مقشر</v>
      </c>
      <c r="C135" s="286" t="str">
        <f t="shared" si="26"/>
        <v>gm</v>
      </c>
      <c r="D135" s="286">
        <f t="shared" si="26"/>
        <v>35</v>
      </c>
      <c r="E135" s="653">
        <f t="shared" si="30"/>
        <v>0</v>
      </c>
      <c r="F135" s="652">
        <f t="shared" si="29"/>
        <v>1</v>
      </c>
      <c r="G135" s="119">
        <f t="shared" si="27"/>
        <v>0</v>
      </c>
      <c r="H135" s="120">
        <f t="shared" si="28"/>
        <v>0</v>
      </c>
    </row>
    <row r="136" spans="1:8" x14ac:dyDescent="0.3">
      <c r="A136" s="270" t="s">
        <v>97</v>
      </c>
      <c r="B136" s="286" t="str">
        <f t="shared" si="26"/>
        <v>Black Pepper Powder - فلفل أسود مطحون</v>
      </c>
      <c r="C136" s="286" t="str">
        <f t="shared" si="26"/>
        <v>gm</v>
      </c>
      <c r="D136" s="286">
        <f t="shared" si="26"/>
        <v>3</v>
      </c>
      <c r="E136" s="653">
        <f t="shared" si="30"/>
        <v>0</v>
      </c>
      <c r="F136" s="652">
        <f t="shared" si="29"/>
        <v>1</v>
      </c>
      <c r="G136" s="119">
        <f t="shared" si="27"/>
        <v>0</v>
      </c>
      <c r="H136" s="120">
        <f t="shared" si="28"/>
        <v>0</v>
      </c>
    </row>
    <row r="137" spans="1:8" x14ac:dyDescent="0.3">
      <c r="A137" s="270" t="s">
        <v>97</v>
      </c>
      <c r="B137" s="286" t="str">
        <f t="shared" si="26"/>
        <v>Cumin Powder - كمون مطحون</v>
      </c>
      <c r="C137" s="286" t="str">
        <f t="shared" si="26"/>
        <v>gm</v>
      </c>
      <c r="D137" s="286">
        <f t="shared" si="26"/>
        <v>5</v>
      </c>
      <c r="E137" s="653">
        <f t="shared" si="30"/>
        <v>0</v>
      </c>
      <c r="F137" s="652">
        <f t="shared" si="29"/>
        <v>0.75</v>
      </c>
      <c r="G137" s="119">
        <f t="shared" si="27"/>
        <v>0</v>
      </c>
      <c r="H137" s="120">
        <f t="shared" si="28"/>
        <v>0</v>
      </c>
    </row>
    <row r="138" spans="1:8" x14ac:dyDescent="0.3">
      <c r="A138" s="270" t="s">
        <v>97</v>
      </c>
      <c r="B138" s="286" t="str">
        <f t="shared" si="26"/>
        <v>Coriander Powder - كزبرة مطحونة</v>
      </c>
      <c r="C138" s="286" t="str">
        <f t="shared" si="26"/>
        <v>gm</v>
      </c>
      <c r="D138" s="286">
        <f t="shared" si="26"/>
        <v>5</v>
      </c>
      <c r="E138" s="653">
        <f t="shared" si="30"/>
        <v>0</v>
      </c>
      <c r="F138" s="652">
        <f t="shared" si="29"/>
        <v>0.75</v>
      </c>
      <c r="G138" s="119">
        <f t="shared" si="27"/>
        <v>0</v>
      </c>
      <c r="H138" s="120">
        <f t="shared" si="28"/>
        <v>0</v>
      </c>
    </row>
    <row r="139" spans="1:8" x14ac:dyDescent="0.3">
      <c r="A139" s="270" t="s">
        <v>97</v>
      </c>
      <c r="B139" s="286" t="str">
        <f t="shared" si="26"/>
        <v>Cinnamon Powder - قرفة مطحونة</v>
      </c>
      <c r="C139" s="286" t="str">
        <f t="shared" si="26"/>
        <v>gm</v>
      </c>
      <c r="D139" s="286">
        <f t="shared" si="26"/>
        <v>2</v>
      </c>
      <c r="E139" s="653">
        <f t="shared" si="30"/>
        <v>0</v>
      </c>
      <c r="F139" s="652">
        <f t="shared" si="29"/>
        <v>0.75</v>
      </c>
      <c r="G139" s="119">
        <f t="shared" si="27"/>
        <v>0</v>
      </c>
      <c r="H139" s="120">
        <f t="shared" si="28"/>
        <v>0</v>
      </c>
    </row>
    <row r="140" spans="1:8" x14ac:dyDescent="0.3">
      <c r="A140" s="270" t="s">
        <v>97</v>
      </c>
      <c r="B140" s="286" t="str">
        <f t="shared" si="26"/>
        <v>Salt - ملح</v>
      </c>
      <c r="C140" s="286" t="str">
        <f t="shared" si="26"/>
        <v>gm</v>
      </c>
      <c r="D140" s="286">
        <f t="shared" si="26"/>
        <v>11</v>
      </c>
      <c r="E140" s="653">
        <f t="shared" si="30"/>
        <v>0</v>
      </c>
      <c r="F140" s="652">
        <f t="shared" si="29"/>
        <v>0.75</v>
      </c>
      <c r="G140" s="119">
        <f t="shared" si="27"/>
        <v>0</v>
      </c>
      <c r="H140" s="120">
        <f t="shared" si="28"/>
        <v>0</v>
      </c>
    </row>
    <row r="141" spans="1:8" x14ac:dyDescent="0.3">
      <c r="A141" s="270" t="s">
        <v>196</v>
      </c>
      <c r="B141" s="286" t="str">
        <f t="shared" si="26"/>
        <v>Tomato Paste - صلصة طماطم</v>
      </c>
      <c r="C141" s="286" t="str">
        <f t="shared" si="26"/>
        <v>gm</v>
      </c>
      <c r="D141" s="286">
        <f t="shared" si="26"/>
        <v>250</v>
      </c>
      <c r="E141" s="653">
        <f t="shared" si="30"/>
        <v>0</v>
      </c>
      <c r="F141" s="652">
        <f t="shared" si="29"/>
        <v>1</v>
      </c>
      <c r="G141" s="119">
        <f t="shared" si="27"/>
        <v>0</v>
      </c>
      <c r="H141" s="120">
        <f t="shared" si="28"/>
        <v>0</v>
      </c>
    </row>
    <row r="142" spans="1:8" x14ac:dyDescent="0.3">
      <c r="A142" s="270" t="s">
        <v>13</v>
      </c>
      <c r="B142" s="286" t="str">
        <f t="shared" si="26"/>
        <v>Frozen Okra - بامية مجمدة</v>
      </c>
      <c r="C142" s="286" t="str">
        <f t="shared" si="26"/>
        <v>gm</v>
      </c>
      <c r="D142" s="286">
        <f t="shared" si="26"/>
        <v>400</v>
      </c>
      <c r="E142" s="653">
        <f t="shared" si="30"/>
        <v>0</v>
      </c>
      <c r="F142" s="652">
        <f t="shared" si="29"/>
        <v>1</v>
      </c>
      <c r="G142" s="119">
        <f t="shared" si="27"/>
        <v>0</v>
      </c>
      <c r="H142" s="120">
        <f t="shared" si="28"/>
        <v>0</v>
      </c>
    </row>
    <row r="143" spans="1:8" x14ac:dyDescent="0.3">
      <c r="A143" s="270" t="s">
        <v>210</v>
      </c>
      <c r="B143" s="286" t="str">
        <f t="shared" si="26"/>
        <v>Beef Stock - مرق لحم بقري</v>
      </c>
      <c r="C143" s="286" t="str">
        <f t="shared" si="26"/>
        <v>ml</v>
      </c>
      <c r="D143" s="286">
        <f t="shared" si="26"/>
        <v>500</v>
      </c>
      <c r="E143" s="653">
        <f t="shared" si="30"/>
        <v>0</v>
      </c>
      <c r="F143" s="652">
        <f t="shared" si="29"/>
        <v>1</v>
      </c>
      <c r="G143" s="119">
        <f t="shared" si="27"/>
        <v>0</v>
      </c>
      <c r="H143" s="120">
        <f t="shared" si="28"/>
        <v>0</v>
      </c>
    </row>
    <row r="144" spans="1:8" x14ac:dyDescent="0.3">
      <c r="A144" s="270" t="s">
        <v>158</v>
      </c>
      <c r="B144" s="286" t="str">
        <f t="shared" si="26"/>
        <v>Butter - زبدة</v>
      </c>
      <c r="C144" s="286" t="str">
        <f t="shared" si="26"/>
        <v>gm</v>
      </c>
      <c r="D144" s="286">
        <f t="shared" si="26"/>
        <v>15</v>
      </c>
      <c r="E144" s="653">
        <f t="shared" si="30"/>
        <v>0</v>
      </c>
      <c r="F144" s="652">
        <f t="shared" si="29"/>
        <v>1</v>
      </c>
      <c r="G144" s="119">
        <f t="shared" si="27"/>
        <v>0</v>
      </c>
      <c r="H144" s="120">
        <f t="shared" si="28"/>
        <v>0</v>
      </c>
    </row>
    <row r="145" spans="1:8" x14ac:dyDescent="0.3">
      <c r="A145" s="270" t="s">
        <v>97</v>
      </c>
      <c r="B145" s="286" t="str">
        <f t="shared" si="26"/>
        <v>Maggi Cubes - مكعبات ماجي</v>
      </c>
      <c r="C145" s="286" t="str">
        <f t="shared" si="26"/>
        <v>gm</v>
      </c>
      <c r="D145" s="286">
        <f t="shared" si="26"/>
        <v>10</v>
      </c>
      <c r="E145" s="653">
        <f t="shared" si="30"/>
        <v>0</v>
      </c>
      <c r="F145" s="652">
        <f t="shared" si="29"/>
        <v>0.75</v>
      </c>
      <c r="G145" s="119">
        <f t="shared" si="27"/>
        <v>0</v>
      </c>
      <c r="H145" s="120">
        <f t="shared" si="28"/>
        <v>0</v>
      </c>
    </row>
    <row r="146" spans="1:8" x14ac:dyDescent="0.3">
      <c r="A146" s="270" t="s">
        <v>97</v>
      </c>
      <c r="B146" s="286" t="str">
        <f t="shared" si="26"/>
        <v>Salt - ملح</v>
      </c>
      <c r="C146" s="286" t="str">
        <f t="shared" si="26"/>
        <v>gm</v>
      </c>
      <c r="D146" s="286">
        <f t="shared" si="26"/>
        <v>5</v>
      </c>
      <c r="E146" s="653">
        <f t="shared" si="30"/>
        <v>0</v>
      </c>
      <c r="F146" s="652">
        <f t="shared" si="29"/>
        <v>1</v>
      </c>
      <c r="G146" s="119">
        <f t="shared" si="27"/>
        <v>0</v>
      </c>
      <c r="H146" s="120">
        <f t="shared" si="28"/>
        <v>0</v>
      </c>
    </row>
    <row r="147" spans="1:8" ht="18" x14ac:dyDescent="0.3">
      <c r="A147" s="79"/>
      <c r="B147" s="198" t="s">
        <v>299</v>
      </c>
      <c r="C147" s="200" t="s">
        <v>285</v>
      </c>
      <c r="D147" s="14"/>
      <c r="E147" s="200" t="s">
        <v>300</v>
      </c>
      <c r="F147" s="14"/>
      <c r="G147" s="890" t="s">
        <v>276</v>
      </c>
      <c r="H147" s="890" t="s">
        <v>733</v>
      </c>
    </row>
    <row r="148" spans="1:8" ht="20" x14ac:dyDescent="0.4">
      <c r="A148" s="79"/>
      <c r="B148" s="199">
        <f>$J$56</f>
        <v>0</v>
      </c>
      <c r="C148" s="199">
        <f>E148+G148</f>
        <v>0</v>
      </c>
      <c r="D148" s="945"/>
      <c r="E148" s="199">
        <f>$D$56*$S$44</f>
        <v>0</v>
      </c>
      <c r="F148" s="945"/>
      <c r="G148" s="199">
        <f>$D$56*$T$44</f>
        <v>0</v>
      </c>
      <c r="H148" s="199">
        <f>B148+E148</f>
        <v>0</v>
      </c>
    </row>
  </sheetData>
  <mergeCells count="12">
    <mergeCell ref="R26:U26"/>
    <mergeCell ref="B62:H62"/>
    <mergeCell ref="R25:U25"/>
    <mergeCell ref="B106:H106"/>
    <mergeCell ref="B107:H107"/>
    <mergeCell ref="B86:H86"/>
    <mergeCell ref="B130:H130"/>
    <mergeCell ref="B2:K3"/>
    <mergeCell ref="B63:H63"/>
    <mergeCell ref="B85:H85"/>
    <mergeCell ref="B35:F35"/>
    <mergeCell ref="B129:H129"/>
  </mergeCells>
  <printOptions horizontalCentered="1"/>
  <pageMargins left="0.5" right="0.5" top="1" bottom="0.5" header="0.3" footer="0.511811023622047"/>
  <pageSetup paperSize="9" scale="31"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50"/>
    <pageSetUpPr fitToPage="1"/>
  </sheetPr>
  <dimension ref="A1:AT135"/>
  <sheetViews>
    <sheetView topLeftCell="A11" zoomScale="71" zoomScaleNormal="55" workbookViewId="0">
      <selection activeCell="D53" sqref="D53:D54"/>
    </sheetView>
  </sheetViews>
  <sheetFormatPr defaultColWidth="12.5" defaultRowHeight="14" x14ac:dyDescent="0.3"/>
  <cols>
    <col min="1" max="1" width="12.5" style="79" customWidth="1"/>
    <col min="2" max="2" width="33.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9" width="21.6640625" style="14" customWidth="1"/>
    <col min="10" max="10" width="13.08203125" style="14" customWidth="1"/>
    <col min="11" max="11" width="12.5" style="14" customWidth="1"/>
    <col min="12" max="12" width="8.33203125" style="14" customWidth="1"/>
    <col min="13" max="14" width="4.75" style="14" customWidth="1"/>
    <col min="15" max="17" width="12.5" style="14" customWidth="1"/>
    <col min="18" max="18" width="33.75" style="14" customWidth="1"/>
    <col min="19" max="19" width="12.5" style="14" customWidth="1"/>
    <col min="20" max="20" width="20.33203125" style="14" customWidth="1"/>
    <col min="21" max="22" width="12.5" style="14" customWidth="1"/>
    <col min="23" max="23" width="20.9140625" style="14" customWidth="1"/>
    <col min="24" max="24" width="12.83203125" style="14" bestFit="1" customWidth="1"/>
    <col min="25" max="25" width="9.08203125" style="14" customWidth="1"/>
    <col min="26" max="26" width="12.5" style="14" customWidth="1"/>
    <col min="27" max="27" width="12.5" style="14"/>
    <col min="28" max="28" width="13.33203125" style="14" bestFit="1" customWidth="1"/>
    <col min="29" max="29" width="10" style="14" bestFit="1" customWidth="1"/>
    <col min="30" max="30" width="18.08203125" style="14" bestFit="1" customWidth="1"/>
    <col min="31" max="31" width="9.08203125" style="14" bestFit="1" customWidth="1"/>
    <col min="32" max="32" width="9.58203125" style="14" customWidth="1"/>
    <col min="33" max="34" width="4.58203125" style="14" customWidth="1"/>
    <col min="35" max="35" width="12.5" style="14"/>
    <col min="36" max="36" width="31.5" style="14" customWidth="1"/>
    <col min="37" max="37" width="12.5" style="14"/>
    <col min="38" max="38" width="13.83203125" style="14" customWidth="1"/>
    <col min="39" max="41" width="12.5" style="14"/>
    <col min="42" max="42" width="17.6640625" style="14" customWidth="1"/>
    <col min="43" max="16384" width="12.5" style="14"/>
  </cols>
  <sheetData>
    <row r="1" spans="1:46" ht="48.5" customHeight="1" x14ac:dyDescent="0.3">
      <c r="B1" s="80" t="s">
        <v>243</v>
      </c>
      <c r="C1" s="81">
        <v>1000</v>
      </c>
      <c r="D1" s="82" t="s">
        <v>244</v>
      </c>
      <c r="E1" s="83">
        <f>T32</f>
        <v>18130.256410256417</v>
      </c>
      <c r="F1" s="80" t="s">
        <v>245</v>
      </c>
      <c r="G1" s="289">
        <f>E1/C1</f>
        <v>18.130256410256418</v>
      </c>
      <c r="H1" s="80" t="s">
        <v>246</v>
      </c>
      <c r="I1" s="85">
        <f>(G1/K1)</f>
        <v>21.32971342383108</v>
      </c>
      <c r="J1" s="86" t="s">
        <v>247</v>
      </c>
      <c r="K1" s="290">
        <v>0.85</v>
      </c>
      <c r="L1" s="291" t="s">
        <v>320</v>
      </c>
      <c r="M1" s="89"/>
      <c r="N1" s="90"/>
      <c r="O1" s="91" t="s">
        <v>248</v>
      </c>
      <c r="P1" s="92" t="s">
        <v>249</v>
      </c>
      <c r="Q1" s="93" t="s">
        <v>250</v>
      </c>
      <c r="R1" s="92">
        <v>0.59</v>
      </c>
      <c r="Y1" s="91" t="s">
        <v>479</v>
      </c>
      <c r="Z1" s="847">
        <v>32140</v>
      </c>
      <c r="AA1" s="91" t="s">
        <v>600</v>
      </c>
      <c r="AB1" s="847">
        <v>500</v>
      </c>
      <c r="AC1" s="91" t="s">
        <v>587</v>
      </c>
      <c r="AD1" s="847">
        <v>229</v>
      </c>
      <c r="AE1" s="250"/>
      <c r="AF1" s="252"/>
      <c r="AG1" s="92"/>
      <c r="AI1" s="79"/>
      <c r="AJ1" s="94" t="s">
        <v>262</v>
      </c>
      <c r="AK1" s="94">
        <v>10000</v>
      </c>
      <c r="AL1" s="628" t="s">
        <v>520</v>
      </c>
      <c r="AM1" s="629">
        <f>$S$32</f>
        <v>24723.076923076918</v>
      </c>
      <c r="AN1" s="94" t="s">
        <v>251</v>
      </c>
      <c r="AO1" s="329">
        <f>(($S$32)/$R$1)/$AK$1</f>
        <v>4.1903520208604945</v>
      </c>
      <c r="AP1" s="95"/>
    </row>
    <row r="2" spans="1:46" ht="12.75" customHeight="1" x14ac:dyDescent="0.3">
      <c r="A2" s="97"/>
      <c r="B2" s="1387" t="s">
        <v>27</v>
      </c>
      <c r="C2" s="1389"/>
      <c r="D2" s="1389"/>
      <c r="E2" s="1389"/>
      <c r="F2" s="1389"/>
      <c r="G2" s="1389"/>
      <c r="H2" s="1389"/>
      <c r="I2" s="1389"/>
      <c r="J2" s="1389"/>
      <c r="K2" s="1425"/>
      <c r="L2" s="293"/>
      <c r="P2" s="100"/>
      <c r="Q2" s="100"/>
      <c r="R2" s="100"/>
      <c r="AC2" s="99"/>
      <c r="AD2" s="99"/>
      <c r="AE2" s="1391"/>
      <c r="AF2" s="1389"/>
      <c r="AG2" s="1389"/>
      <c r="AI2" s="79"/>
      <c r="AJ2" s="101"/>
      <c r="AK2" s="1386" t="s">
        <v>542</v>
      </c>
      <c r="AL2" s="1386"/>
      <c r="AM2" s="1386"/>
      <c r="AN2" s="102"/>
      <c r="AO2" s="101"/>
      <c r="AP2" s="101"/>
    </row>
    <row r="3" spans="1:46" ht="12.75" customHeight="1" x14ac:dyDescent="0.3">
      <c r="A3" s="97"/>
      <c r="B3" s="1388"/>
      <c r="C3" s="1388"/>
      <c r="D3" s="1388"/>
      <c r="E3" s="1388"/>
      <c r="F3" s="1388"/>
      <c r="G3" s="1388"/>
      <c r="H3" s="1388"/>
      <c r="I3" s="1388"/>
      <c r="J3" s="1388"/>
      <c r="K3" s="1426"/>
      <c r="L3" s="293"/>
      <c r="P3" s="100"/>
      <c r="Q3" s="100"/>
      <c r="R3" s="100"/>
      <c r="AC3" s="99"/>
      <c r="AD3" s="99"/>
      <c r="AE3" s="1389"/>
      <c r="AF3" s="1389"/>
      <c r="AG3" s="1389"/>
      <c r="AI3" s="79"/>
      <c r="AJ3" s="104"/>
      <c r="AK3" s="104"/>
      <c r="AL3" s="105"/>
      <c r="AM3" s="105"/>
      <c r="AN3" s="105"/>
      <c r="AO3" s="104"/>
      <c r="AP3" s="104"/>
    </row>
    <row r="4" spans="1:46" ht="69" customHeight="1" x14ac:dyDescent="0.3">
      <c r="A4" s="91" t="s">
        <v>1</v>
      </c>
      <c r="B4" s="91" t="s">
        <v>253</v>
      </c>
      <c r="C4" s="107" t="s">
        <v>254</v>
      </c>
      <c r="D4" s="91" t="s">
        <v>243</v>
      </c>
      <c r="E4" s="108" t="s">
        <v>246</v>
      </c>
      <c r="F4" s="108" t="s">
        <v>255</v>
      </c>
      <c r="G4" s="91" t="s">
        <v>256</v>
      </c>
      <c r="H4" s="109" t="s">
        <v>257</v>
      </c>
      <c r="I4" s="91" t="s">
        <v>258</v>
      </c>
      <c r="J4" s="91" t="s">
        <v>259</v>
      </c>
      <c r="K4" s="91" t="s">
        <v>260</v>
      </c>
      <c r="L4" s="91" t="s">
        <v>261</v>
      </c>
      <c r="M4" s="100"/>
      <c r="N4" s="100"/>
      <c r="O4" s="100"/>
      <c r="P4" s="100"/>
      <c r="AA4" s="251"/>
      <c r="AB4" s="253"/>
      <c r="AC4" s="251"/>
      <c r="AD4" s="251"/>
      <c r="AE4" s="251"/>
      <c r="AI4" s="79"/>
      <c r="AJ4" s="110" t="s">
        <v>253</v>
      </c>
      <c r="AK4" s="111" t="s">
        <v>254</v>
      </c>
      <c r="AL4" s="110" t="s">
        <v>262</v>
      </c>
      <c r="AM4" s="110" t="s">
        <v>246</v>
      </c>
      <c r="AN4" s="110" t="s">
        <v>255</v>
      </c>
      <c r="AO4" s="110" t="s">
        <v>256</v>
      </c>
      <c r="AP4" s="112" t="s">
        <v>257</v>
      </c>
      <c r="AQ4" s="91" t="s">
        <v>258</v>
      </c>
      <c r="AR4" s="91" t="s">
        <v>259</v>
      </c>
      <c r="AS4" s="91" t="s">
        <v>260</v>
      </c>
      <c r="AT4" s="91" t="s">
        <v>261</v>
      </c>
    </row>
    <row r="5" spans="1:46" ht="14.25" customHeight="1" x14ac:dyDescent="0.3">
      <c r="A5" s="266" t="s">
        <v>230</v>
      </c>
      <c r="B5" s="123" t="s">
        <v>229</v>
      </c>
      <c r="C5" s="115" t="s">
        <v>14</v>
      </c>
      <c r="D5" s="121">
        <f>I51/10</f>
        <v>2456.4701694915252</v>
      </c>
      <c r="E5" s="117">
        <f>H52</f>
        <v>17.058428280152381</v>
      </c>
      <c r="F5" s="118">
        <v>1</v>
      </c>
      <c r="G5" s="119">
        <f t="shared" ref="G5:G23" si="0">D5*E5</f>
        <v>41903.520208604947</v>
      </c>
      <c r="H5" s="120">
        <f t="shared" ref="H5:H23" si="1">G5*F5</f>
        <v>41903.520208604947</v>
      </c>
      <c r="I5" s="81">
        <f>VLOOKUP(B5,All_Ingredients!$A$1:$F$151,6,FALSE())</f>
        <v>0.86</v>
      </c>
      <c r="J5" s="119">
        <f>VLOOKUP(B5,All_Ingredients!$A$1:$J$151,10,FALSE())</f>
        <v>17.100000000000001</v>
      </c>
      <c r="K5" s="122">
        <f t="shared" ref="K5" si="2">(H5/I5)/1000</f>
        <v>48.725023498377844</v>
      </c>
      <c r="L5" s="122">
        <f t="shared" ref="L5" si="3">K5*J5</f>
        <v>833.1979018222612</v>
      </c>
      <c r="M5" s="100"/>
      <c r="N5" s="100"/>
      <c r="O5" s="100"/>
      <c r="P5" s="100"/>
      <c r="AA5" s="92"/>
      <c r="AB5" s="133"/>
      <c r="AC5" s="254"/>
      <c r="AD5" s="135"/>
      <c r="AE5" s="136"/>
      <c r="AI5" s="79"/>
      <c r="AJ5" s="123" t="s">
        <v>229</v>
      </c>
      <c r="AK5" s="124" t="s">
        <v>238</v>
      </c>
      <c r="AL5" s="125">
        <v>10</v>
      </c>
      <c r="AM5" s="197">
        <f>$AO$1</f>
        <v>4.1903520208604945</v>
      </c>
      <c r="AN5" s="127">
        <v>1</v>
      </c>
      <c r="AO5" s="119">
        <f>AL5*AM5</f>
        <v>41.903520208604945</v>
      </c>
      <c r="AP5" s="120">
        <f>AN5*AO5</f>
        <v>41.903520208604945</v>
      </c>
      <c r="AR5" s="1147"/>
      <c r="AS5" s="556"/>
      <c r="AT5" s="1145"/>
    </row>
    <row r="6" spans="1:46" ht="14.25" customHeight="1" x14ac:dyDescent="0.3">
      <c r="A6" s="128" t="s">
        <v>13</v>
      </c>
      <c r="B6" s="294" t="s">
        <v>12</v>
      </c>
      <c r="C6" s="124" t="s">
        <v>14</v>
      </c>
      <c r="D6" s="125">
        <v>150</v>
      </c>
      <c r="E6" s="197">
        <f t="shared" ref="E6:E23" si="4">$I$1</f>
        <v>21.32971342383108</v>
      </c>
      <c r="F6" s="127">
        <v>0.95</v>
      </c>
      <c r="G6" s="119">
        <f t="shared" si="0"/>
        <v>3199.4570135746621</v>
      </c>
      <c r="H6" s="120">
        <f t="shared" si="1"/>
        <v>3039.4841628959289</v>
      </c>
      <c r="I6" s="81">
        <f>VLOOKUP(B6,All_Ingredients!$A$1:$F$151,6,FALSE())</f>
        <v>0.9</v>
      </c>
      <c r="J6" s="119">
        <f>VLOOKUP(B6,All_Ingredients!$A$1:$J$151,10,FALSE())</f>
        <v>3</v>
      </c>
      <c r="K6" s="122">
        <f t="shared" ref="K6:K23" si="5">(H6/I6)/1000</f>
        <v>3.3772046254399211</v>
      </c>
      <c r="L6" s="122">
        <f t="shared" ref="L6:L23" si="6">K6*J6</f>
        <v>10.131613876319763</v>
      </c>
      <c r="AI6" s="79" t="s">
        <v>57</v>
      </c>
      <c r="AJ6" s="222" t="s">
        <v>56</v>
      </c>
      <c r="AK6" s="124" t="s">
        <v>14</v>
      </c>
      <c r="AL6" s="125">
        <v>300</v>
      </c>
      <c r="AM6" s="197">
        <f t="shared" ref="AM6:AM12" si="7">$AO$1</f>
        <v>4.1903520208604945</v>
      </c>
      <c r="AN6" s="127">
        <v>1</v>
      </c>
      <c r="AO6" s="119">
        <f t="shared" ref="AO6:AO11" si="8">AL6*AM6</f>
        <v>1257.1056062581483</v>
      </c>
      <c r="AP6" s="120">
        <f t="shared" ref="AP6:AP11" si="9">AN6*AO6</f>
        <v>1257.1056062581483</v>
      </c>
      <c r="AQ6" s="1145">
        <f>VLOOKUP(AJ6,Marination_Ordering!$A:$J,6,FALSE)</f>
        <v>0.87</v>
      </c>
      <c r="AR6" s="1145">
        <f>VLOOKUP(AJ6,Marination_Ordering!$A:$J,10,FALSE)</f>
        <v>3.2</v>
      </c>
      <c r="AS6" s="556">
        <f>AP6/AQ6</f>
        <v>1444.9489727105154</v>
      </c>
      <c r="AT6" s="1145">
        <f>AR6*(AS6/1000)</f>
        <v>4.6238367126736497</v>
      </c>
    </row>
    <row r="7" spans="1:46" ht="14.25" customHeight="1" x14ac:dyDescent="0.3">
      <c r="A7" s="128" t="s">
        <v>13</v>
      </c>
      <c r="B7" s="294" t="s">
        <v>32</v>
      </c>
      <c r="C7" s="124" t="s">
        <v>14</v>
      </c>
      <c r="D7" s="125">
        <v>50</v>
      </c>
      <c r="E7" s="197">
        <f t="shared" si="4"/>
        <v>21.32971342383108</v>
      </c>
      <c r="F7" s="127">
        <v>0.95</v>
      </c>
      <c r="G7" s="119">
        <f t="shared" si="0"/>
        <v>1066.485671191554</v>
      </c>
      <c r="H7" s="120">
        <f t="shared" si="1"/>
        <v>1013.1613876319763</v>
      </c>
      <c r="I7" s="81">
        <f>VLOOKUP(B7,All_Ingredients!$A$1:$F$151,6,FALSE())</f>
        <v>0.96</v>
      </c>
      <c r="J7" s="119">
        <f>VLOOKUP(B7,All_Ingredients!$A$1:$J$151,10,FALSE())</f>
        <v>4</v>
      </c>
      <c r="K7" s="122">
        <f t="shared" si="5"/>
        <v>1.0553764454499754</v>
      </c>
      <c r="L7" s="122">
        <f t="shared" si="6"/>
        <v>4.2215057817999018</v>
      </c>
      <c r="AI7" s="79" t="s">
        <v>13</v>
      </c>
      <c r="AJ7" s="222" t="s">
        <v>792</v>
      </c>
      <c r="AK7" s="124" t="s">
        <v>14</v>
      </c>
      <c r="AL7" s="125">
        <v>100</v>
      </c>
      <c r="AM7" s="197">
        <f t="shared" si="7"/>
        <v>4.1903520208604945</v>
      </c>
      <c r="AN7" s="127">
        <v>1</v>
      </c>
      <c r="AO7" s="119">
        <f t="shared" si="8"/>
        <v>419.03520208604948</v>
      </c>
      <c r="AP7" s="120">
        <f t="shared" si="9"/>
        <v>419.03520208604948</v>
      </c>
      <c r="AQ7" s="1145">
        <f>VLOOKUP(AJ7,Marination_Ordering!$A:$J,6,FALSE)</f>
        <v>1</v>
      </c>
      <c r="AR7" s="1145">
        <f>VLOOKUP(AJ7,Marination_Ordering!$A:$J,10,FALSE)</f>
        <v>10.5</v>
      </c>
      <c r="AS7" s="556">
        <f t="shared" ref="AS7:AS12" si="10">AP7/AQ7</f>
        <v>419.03520208604948</v>
      </c>
      <c r="AT7" s="1145">
        <f t="shared" ref="AT7:AT12" si="11">AR7*(AS7/1000)</f>
        <v>4.3998696219035196</v>
      </c>
    </row>
    <row r="8" spans="1:46" ht="14.25" customHeight="1" x14ac:dyDescent="0.3">
      <c r="A8" s="128" t="s">
        <v>13</v>
      </c>
      <c r="B8" s="295" t="s">
        <v>28</v>
      </c>
      <c r="C8" s="124" t="s">
        <v>14</v>
      </c>
      <c r="D8" s="125">
        <v>50</v>
      </c>
      <c r="E8" s="197">
        <f t="shared" si="4"/>
        <v>21.32971342383108</v>
      </c>
      <c r="F8" s="127">
        <v>0.95</v>
      </c>
      <c r="G8" s="119">
        <f t="shared" si="0"/>
        <v>1066.485671191554</v>
      </c>
      <c r="H8" s="120">
        <f t="shared" si="1"/>
        <v>1013.1613876319763</v>
      </c>
      <c r="I8" s="81">
        <f>VLOOKUP(B8,All_Ingredients!$A$1:$F$151,6,FALSE())</f>
        <v>0.56999999999999995</v>
      </c>
      <c r="J8" s="119">
        <f>VLOOKUP(B8,All_Ingredients!$A$1:$J$151,10,FALSE())</f>
        <v>8.5</v>
      </c>
      <c r="K8" s="122">
        <f t="shared" si="5"/>
        <v>1.77747611865259</v>
      </c>
      <c r="L8" s="122">
        <f t="shared" si="6"/>
        <v>15.108547008547015</v>
      </c>
      <c r="AI8" s="79" t="s">
        <v>210</v>
      </c>
      <c r="AJ8" s="294" t="s">
        <v>219</v>
      </c>
      <c r="AK8" s="124" t="s">
        <v>165</v>
      </c>
      <c r="AL8" s="125">
        <v>350</v>
      </c>
      <c r="AM8" s="197">
        <f t="shared" si="7"/>
        <v>4.1903520208604945</v>
      </c>
      <c r="AN8" s="127">
        <v>1</v>
      </c>
      <c r="AO8" s="119">
        <f t="shared" si="8"/>
        <v>1466.6232073011731</v>
      </c>
      <c r="AP8" s="120">
        <f t="shared" si="9"/>
        <v>1466.6232073011731</v>
      </c>
      <c r="AQ8" s="1145">
        <f>VLOOKUP(AJ8,Marination_Ordering!$A:$J,6,FALSE)</f>
        <v>1</v>
      </c>
      <c r="AR8" s="1145">
        <f>VLOOKUP(AJ8,Marination_Ordering!$A:$J,10,FALSE)</f>
        <v>5</v>
      </c>
      <c r="AS8" s="556">
        <f t="shared" si="10"/>
        <v>1466.6232073011731</v>
      </c>
      <c r="AT8" s="1145">
        <f t="shared" si="11"/>
        <v>7.3331160365058654</v>
      </c>
    </row>
    <row r="9" spans="1:46" ht="14.25" customHeight="1" x14ac:dyDescent="0.3">
      <c r="A9" s="128" t="s">
        <v>13</v>
      </c>
      <c r="B9" s="295" t="s">
        <v>30</v>
      </c>
      <c r="C9" s="124" t="s">
        <v>14</v>
      </c>
      <c r="D9" s="125">
        <v>50</v>
      </c>
      <c r="E9" s="197">
        <f t="shared" si="4"/>
        <v>21.32971342383108</v>
      </c>
      <c r="F9" s="127">
        <v>0.95</v>
      </c>
      <c r="G9" s="119">
        <f t="shared" si="0"/>
        <v>1066.485671191554</v>
      </c>
      <c r="H9" s="120">
        <f t="shared" si="1"/>
        <v>1013.1613876319763</v>
      </c>
      <c r="I9" s="81">
        <f>VLOOKUP(B9,All_Ingredients!$A$1:$F$151,6,FALSE())</f>
        <v>0.56999999999999995</v>
      </c>
      <c r="J9" s="119">
        <f>VLOOKUP(B9,All_Ingredients!$A$1:$J$151,10,FALSE())</f>
        <v>8.5</v>
      </c>
      <c r="K9" s="122">
        <f t="shared" si="5"/>
        <v>1.77747611865259</v>
      </c>
      <c r="L9" s="122">
        <f t="shared" si="6"/>
        <v>15.108547008547015</v>
      </c>
      <c r="AI9" s="79" t="s">
        <v>210</v>
      </c>
      <c r="AJ9" s="294" t="s">
        <v>215</v>
      </c>
      <c r="AK9" s="124" t="s">
        <v>165</v>
      </c>
      <c r="AL9" s="125">
        <v>70</v>
      </c>
      <c r="AM9" s="197">
        <f t="shared" si="7"/>
        <v>4.1903520208604945</v>
      </c>
      <c r="AN9" s="127">
        <v>1</v>
      </c>
      <c r="AO9" s="119">
        <f t="shared" si="8"/>
        <v>293.3246414602346</v>
      </c>
      <c r="AP9" s="120">
        <f t="shared" si="9"/>
        <v>293.3246414602346</v>
      </c>
      <c r="AQ9" s="1145">
        <f>VLOOKUP(AJ9,Marination_Ordering!$A:$J,6,FALSE)</f>
        <v>1</v>
      </c>
      <c r="AR9" s="1145">
        <f>VLOOKUP(AJ9,Marination_Ordering!$A:$J,10,FALSE)</f>
        <v>2.1621621621621623</v>
      </c>
      <c r="AS9" s="556">
        <f t="shared" si="10"/>
        <v>293.3246414602346</v>
      </c>
      <c r="AT9" s="1145">
        <f t="shared" si="11"/>
        <v>0.63421544099510196</v>
      </c>
    </row>
    <row r="10" spans="1:46" ht="14.25" customHeight="1" x14ac:dyDescent="0.3">
      <c r="A10" s="128" t="s">
        <v>13</v>
      </c>
      <c r="B10" s="294" t="s">
        <v>792</v>
      </c>
      <c r="C10" s="124" t="s">
        <v>14</v>
      </c>
      <c r="D10" s="125">
        <v>40</v>
      </c>
      <c r="E10" s="197">
        <f t="shared" si="4"/>
        <v>21.32971342383108</v>
      </c>
      <c r="F10" s="127">
        <v>0.9</v>
      </c>
      <c r="G10" s="119">
        <f t="shared" si="0"/>
        <v>853.18853695324322</v>
      </c>
      <c r="H10" s="120">
        <f t="shared" si="1"/>
        <v>767.86968325791895</v>
      </c>
      <c r="I10" s="81">
        <f>VLOOKUP(B10,All_Ingredients!$A$1:$F$151,6,FALSE())</f>
        <v>1</v>
      </c>
      <c r="J10" s="119">
        <f>VLOOKUP(B10,All_Ingredients!$A$1:$J$151,10,FALSE())</f>
        <v>10.5</v>
      </c>
      <c r="K10" s="122">
        <f t="shared" si="5"/>
        <v>0.76786968325791893</v>
      </c>
      <c r="L10" s="122">
        <f t="shared" si="6"/>
        <v>8.0626316742081485</v>
      </c>
      <c r="AI10" s="79" t="s">
        <v>97</v>
      </c>
      <c r="AJ10" s="294" t="s">
        <v>96</v>
      </c>
      <c r="AK10" s="124" t="s">
        <v>14</v>
      </c>
      <c r="AL10" s="125">
        <v>2</v>
      </c>
      <c r="AM10" s="197">
        <f t="shared" si="7"/>
        <v>4.1903520208604945</v>
      </c>
      <c r="AN10" s="127">
        <v>1</v>
      </c>
      <c r="AO10" s="119">
        <f t="shared" si="8"/>
        <v>8.380704041720989</v>
      </c>
      <c r="AP10" s="120">
        <f t="shared" si="9"/>
        <v>8.380704041720989</v>
      </c>
      <c r="AQ10" s="1145">
        <f>VLOOKUP(AJ10,Marination_Ordering!$A:$J,6,FALSE)</f>
        <v>1</v>
      </c>
      <c r="AR10" s="1145">
        <f>VLOOKUP(AJ10,Marination_Ordering!$A:$J,10,FALSE)</f>
        <v>0.74</v>
      </c>
      <c r="AS10" s="556">
        <f t="shared" si="10"/>
        <v>8.380704041720989</v>
      </c>
      <c r="AT10" s="1145">
        <f t="shared" si="11"/>
        <v>6.2017209908735316E-3</v>
      </c>
    </row>
    <row r="11" spans="1:46" ht="14.25" customHeight="1" x14ac:dyDescent="0.3">
      <c r="A11" s="128" t="s">
        <v>57</v>
      </c>
      <c r="B11" s="294" t="s">
        <v>56</v>
      </c>
      <c r="C11" s="124" t="s">
        <v>14</v>
      </c>
      <c r="D11" s="125">
        <v>25</v>
      </c>
      <c r="E11" s="197">
        <f t="shared" si="4"/>
        <v>21.32971342383108</v>
      </c>
      <c r="F11" s="127">
        <v>0.6</v>
      </c>
      <c r="G11" s="119">
        <f t="shared" si="0"/>
        <v>533.24283559577702</v>
      </c>
      <c r="H11" s="120">
        <f t="shared" si="1"/>
        <v>319.94570135746619</v>
      </c>
      <c r="I11" s="81">
        <f>VLOOKUP(B11,All_Ingredients!$A$1:$F$151,6,FALSE())</f>
        <v>0.87</v>
      </c>
      <c r="J11" s="119">
        <f>VLOOKUP(B11,All_Ingredients!$A$1:$J$151,10,FALSE())</f>
        <v>7</v>
      </c>
      <c r="K11" s="122">
        <f t="shared" si="5"/>
        <v>0.36775367972122552</v>
      </c>
      <c r="L11" s="122">
        <f t="shared" si="6"/>
        <v>2.5742757580485787</v>
      </c>
      <c r="AI11" s="79" t="s">
        <v>97</v>
      </c>
      <c r="AJ11" s="294" t="s">
        <v>102</v>
      </c>
      <c r="AK11" s="124" t="s">
        <v>14</v>
      </c>
      <c r="AL11" s="125">
        <v>3</v>
      </c>
      <c r="AM11" s="197">
        <f t="shared" si="7"/>
        <v>4.1903520208604945</v>
      </c>
      <c r="AN11" s="127">
        <v>1</v>
      </c>
      <c r="AO11" s="119">
        <f t="shared" si="8"/>
        <v>12.571056062581484</v>
      </c>
      <c r="AP11" s="120">
        <f t="shared" si="9"/>
        <v>12.571056062581484</v>
      </c>
      <c r="AQ11" s="1145">
        <f>VLOOKUP(AJ11,Marination_Ordering!$A:$J,6,FALSE)</f>
        <v>1</v>
      </c>
      <c r="AR11" s="1145">
        <f>VLOOKUP(AJ11,Marination_Ordering!$A:$J,10,FALSE)</f>
        <v>31</v>
      </c>
      <c r="AS11" s="556">
        <f t="shared" si="10"/>
        <v>12.571056062581484</v>
      </c>
      <c r="AT11" s="1145">
        <f t="shared" si="11"/>
        <v>0.38970273794002602</v>
      </c>
    </row>
    <row r="12" spans="1:46" ht="14.25" customHeight="1" x14ac:dyDescent="0.3">
      <c r="A12" s="128" t="s">
        <v>196</v>
      </c>
      <c r="B12" s="294" t="s">
        <v>199</v>
      </c>
      <c r="C12" s="124" t="s">
        <v>165</v>
      </c>
      <c r="D12" s="125">
        <v>25</v>
      </c>
      <c r="E12" s="197">
        <f t="shared" si="4"/>
        <v>21.32971342383108</v>
      </c>
      <c r="F12" s="127">
        <v>0.9</v>
      </c>
      <c r="G12" s="119">
        <f t="shared" si="0"/>
        <v>533.24283559577702</v>
      </c>
      <c r="H12" s="120">
        <f t="shared" si="1"/>
        <v>479.91855203619934</v>
      </c>
      <c r="I12" s="81">
        <f>VLOOKUP(B12,All_Ingredients!$A$1:$F$151,6,FALSE())</f>
        <v>1</v>
      </c>
      <c r="J12" s="119">
        <f>VLOOKUP(B12,All_Ingredients!$A$1:$J$151,10,FALSE())</f>
        <v>37.001287001286997</v>
      </c>
      <c r="K12" s="122">
        <f t="shared" si="5"/>
        <v>0.47991855203619932</v>
      </c>
      <c r="L12" s="122">
        <f t="shared" si="6"/>
        <v>17.757604081133501</v>
      </c>
      <c r="AI12" s="79" t="s">
        <v>220</v>
      </c>
      <c r="AJ12" s="294" t="s">
        <v>221</v>
      </c>
      <c r="AK12" s="124" t="s">
        <v>14</v>
      </c>
      <c r="AL12" s="125">
        <v>5</v>
      </c>
      <c r="AM12" s="197">
        <f t="shared" si="7"/>
        <v>4.1903520208604945</v>
      </c>
      <c r="AN12" s="127">
        <v>1</v>
      </c>
      <c r="AO12" s="119">
        <f>AL12*AM12</f>
        <v>20.951760104302473</v>
      </c>
      <c r="AP12" s="120">
        <f>AN12*AO12</f>
        <v>20.951760104302473</v>
      </c>
      <c r="AQ12" s="1145">
        <f>VLOOKUP(AJ12,Marination_Ordering!$A:$J,6,FALSE)</f>
        <v>1</v>
      </c>
      <c r="AR12" s="1145">
        <f>VLOOKUP(AJ12,Marination_Ordering!$A:$J,10,FALSE)</f>
        <v>35</v>
      </c>
      <c r="AS12" s="556">
        <f t="shared" si="10"/>
        <v>20.951760104302473</v>
      </c>
      <c r="AT12" s="1145">
        <f t="shared" si="11"/>
        <v>0.73331160365058656</v>
      </c>
    </row>
    <row r="13" spans="1:46" ht="14.25" customHeight="1" x14ac:dyDescent="0.3">
      <c r="A13" s="128" t="s">
        <v>196</v>
      </c>
      <c r="B13" s="294" t="s">
        <v>200</v>
      </c>
      <c r="C13" s="124" t="s">
        <v>165</v>
      </c>
      <c r="D13" s="125">
        <v>17</v>
      </c>
      <c r="E13" s="197">
        <f t="shared" si="4"/>
        <v>21.32971342383108</v>
      </c>
      <c r="F13" s="127">
        <v>1</v>
      </c>
      <c r="G13" s="119">
        <f t="shared" si="0"/>
        <v>362.60512820512838</v>
      </c>
      <c r="H13" s="120">
        <f t="shared" si="1"/>
        <v>362.60512820512838</v>
      </c>
      <c r="I13" s="81">
        <f>VLOOKUP(B13,All_Ingredients!$A$1:$F$151,6,FALSE())</f>
        <v>1</v>
      </c>
      <c r="J13" s="119">
        <f>VLOOKUP(B13,All_Ingredients!$A$1:$J$151,10,FALSE())</f>
        <v>22.666666666666668</v>
      </c>
      <c r="K13" s="122">
        <f t="shared" si="5"/>
        <v>0.36260512820512836</v>
      </c>
      <c r="L13" s="122">
        <f t="shared" si="6"/>
        <v>8.2190495726495758</v>
      </c>
      <c r="AR13" s="1147"/>
      <c r="AS13" s="556"/>
      <c r="AT13" s="1145"/>
    </row>
    <row r="14" spans="1:46" ht="14.25" customHeight="1" x14ac:dyDescent="0.3">
      <c r="A14" s="128" t="s">
        <v>196</v>
      </c>
      <c r="B14" s="294" t="s">
        <v>198</v>
      </c>
      <c r="C14" s="124" t="s">
        <v>165</v>
      </c>
      <c r="D14" s="125">
        <v>35</v>
      </c>
      <c r="E14" s="197">
        <f t="shared" si="4"/>
        <v>21.32971342383108</v>
      </c>
      <c r="F14" s="127">
        <v>0.75</v>
      </c>
      <c r="G14" s="119">
        <f t="shared" si="0"/>
        <v>746.53996983408786</v>
      </c>
      <c r="H14" s="120">
        <f t="shared" si="1"/>
        <v>559.90497737556586</v>
      </c>
      <c r="I14" s="81">
        <f>VLOOKUP(B14,All_Ingredients!$A$1:$F$151,6,FALSE())</f>
        <v>1</v>
      </c>
      <c r="J14" s="119">
        <f>VLOOKUP(B14,All_Ingredients!$A$1:$J$151,10,FALSE())</f>
        <v>58.685446009389672</v>
      </c>
      <c r="K14" s="122">
        <f t="shared" si="5"/>
        <v>0.55990497737556588</v>
      </c>
      <c r="L14" s="122">
        <f t="shared" si="6"/>
        <v>32.858273320162318</v>
      </c>
    </row>
    <row r="15" spans="1:46" ht="14.25" customHeight="1" x14ac:dyDescent="0.3">
      <c r="A15" s="128" t="s">
        <v>210</v>
      </c>
      <c r="B15" s="294" t="s">
        <v>215</v>
      </c>
      <c r="C15" s="124" t="s">
        <v>165</v>
      </c>
      <c r="D15" s="125">
        <v>15</v>
      </c>
      <c r="E15" s="197">
        <f t="shared" si="4"/>
        <v>21.32971342383108</v>
      </c>
      <c r="F15" s="127">
        <v>1</v>
      </c>
      <c r="G15" s="119">
        <f t="shared" si="0"/>
        <v>319.94570135746619</v>
      </c>
      <c r="H15" s="120">
        <f t="shared" si="1"/>
        <v>319.94570135746619</v>
      </c>
      <c r="I15" s="81">
        <f>VLOOKUP(B15,All_Ingredients!$A$1:$F$151,6,FALSE())</f>
        <v>1</v>
      </c>
      <c r="J15" s="119">
        <f>VLOOKUP(B15,All_Ingredients!$A$1:$J$151,10,FALSE())</f>
        <v>2.1621621621621623</v>
      </c>
      <c r="K15" s="122">
        <f t="shared" si="5"/>
        <v>0.31994570135746619</v>
      </c>
      <c r="L15" s="122">
        <f t="shared" si="6"/>
        <v>0.69177448942154862</v>
      </c>
    </row>
    <row r="16" spans="1:46" ht="14.25" customHeight="1" x14ac:dyDescent="0.3">
      <c r="A16" s="128" t="s">
        <v>210</v>
      </c>
      <c r="B16" s="294" t="s">
        <v>209</v>
      </c>
      <c r="C16" s="124" t="s">
        <v>165</v>
      </c>
      <c r="D16" s="125">
        <v>150</v>
      </c>
      <c r="E16" s="197">
        <f t="shared" si="4"/>
        <v>21.32971342383108</v>
      </c>
      <c r="F16" s="127">
        <v>1</v>
      </c>
      <c r="G16" s="119">
        <f t="shared" si="0"/>
        <v>3199.4570135746621</v>
      </c>
      <c r="H16" s="120">
        <f t="shared" si="1"/>
        <v>3199.4570135746621</v>
      </c>
      <c r="I16" s="81">
        <f>VLOOKUP(B16,All_Ingredients!$A$1:$F$151,6,FALSE())</f>
        <v>1</v>
      </c>
      <c r="J16" s="119">
        <f>VLOOKUP(B16,All_Ingredients!$A$1:$J$151,10,FALSE())</f>
        <v>0</v>
      </c>
      <c r="K16" s="122">
        <f t="shared" si="5"/>
        <v>3.1994570135746621</v>
      </c>
      <c r="L16" s="122">
        <f t="shared" si="6"/>
        <v>0</v>
      </c>
    </row>
    <row r="17" spans="1:32" ht="14.25" customHeight="1" x14ac:dyDescent="0.35">
      <c r="A17" s="128" t="s">
        <v>196</v>
      </c>
      <c r="B17" s="294" t="s">
        <v>204</v>
      </c>
      <c r="C17" s="1010" t="s">
        <v>165</v>
      </c>
      <c r="D17" s="125">
        <v>350</v>
      </c>
      <c r="E17" s="197">
        <f t="shared" si="4"/>
        <v>21.32971342383108</v>
      </c>
      <c r="F17" s="127">
        <v>1</v>
      </c>
      <c r="G17" s="119">
        <f t="shared" si="0"/>
        <v>7465.3996983408779</v>
      </c>
      <c r="H17" s="120">
        <f t="shared" si="1"/>
        <v>7465.3996983408779</v>
      </c>
      <c r="I17" s="81">
        <f>VLOOKUP(B17,All_Ingredients!$A$1:$F$151,6,FALSE())</f>
        <v>1</v>
      </c>
      <c r="J17" s="119">
        <f>VLOOKUP(B17,All_Ingredients!$A$1:$J$151,10,FALSE())</f>
        <v>3.25</v>
      </c>
      <c r="K17" s="122">
        <f t="shared" si="5"/>
        <v>7.4653996983408781</v>
      </c>
      <c r="L17" s="122">
        <f t="shared" si="6"/>
        <v>24.262549019607853</v>
      </c>
    </row>
    <row r="18" spans="1:32" ht="14.25" customHeight="1" x14ac:dyDescent="0.3">
      <c r="A18" s="128" t="s">
        <v>220</v>
      </c>
      <c r="B18" s="294" t="s">
        <v>221</v>
      </c>
      <c r="C18" s="124" t="s">
        <v>14</v>
      </c>
      <c r="D18" s="125">
        <v>2</v>
      </c>
      <c r="E18" s="197">
        <f t="shared" si="4"/>
        <v>21.32971342383108</v>
      </c>
      <c r="F18" s="127">
        <v>0.75</v>
      </c>
      <c r="G18" s="119">
        <f t="shared" si="0"/>
        <v>42.659426847662161</v>
      </c>
      <c r="H18" s="120">
        <f t="shared" si="1"/>
        <v>31.994570135746621</v>
      </c>
      <c r="I18" s="81">
        <f>VLOOKUP(B18,All_Ingredients!$A$1:$F$151,6,FALSE())</f>
        <v>1</v>
      </c>
      <c r="J18" s="119">
        <f>VLOOKUP(B18,All_Ingredients!$A$1:$J$151,10,FALSE())</f>
        <v>35</v>
      </c>
      <c r="K18" s="122">
        <f t="shared" si="5"/>
        <v>3.1994570135746622E-2</v>
      </c>
      <c r="L18" s="122">
        <f t="shared" si="6"/>
        <v>1.1198099547511318</v>
      </c>
    </row>
    <row r="19" spans="1:32" ht="14.25" customHeight="1" x14ac:dyDescent="0.3">
      <c r="A19" s="128" t="s">
        <v>192</v>
      </c>
      <c r="B19" s="294" t="s">
        <v>193</v>
      </c>
      <c r="C19" s="124" t="s">
        <v>14</v>
      </c>
      <c r="D19" s="125">
        <v>25</v>
      </c>
      <c r="E19" s="197">
        <f t="shared" si="4"/>
        <v>21.32971342383108</v>
      </c>
      <c r="F19" s="127">
        <v>1</v>
      </c>
      <c r="G19" s="119">
        <f t="shared" si="0"/>
        <v>533.24283559577702</v>
      </c>
      <c r="H19" s="120">
        <f t="shared" si="1"/>
        <v>533.24283559577702</v>
      </c>
      <c r="I19" s="81">
        <f>VLOOKUP(B19,All_Ingredients!$A$1:$F$151,6,FALSE())</f>
        <v>0.9</v>
      </c>
      <c r="J19" s="119">
        <f>VLOOKUP(B19,All_Ingredients!$A$1:$J$151,10,FALSE())</f>
        <v>2.3199999999999998</v>
      </c>
      <c r="K19" s="122">
        <f t="shared" si="5"/>
        <v>0.59249203955086327</v>
      </c>
      <c r="L19" s="122">
        <f t="shared" si="6"/>
        <v>1.3745815317580028</v>
      </c>
    </row>
    <row r="20" spans="1:32" ht="14.25" customHeight="1" x14ac:dyDescent="0.3">
      <c r="A20" s="128" t="s">
        <v>97</v>
      </c>
      <c r="B20" s="294" t="s">
        <v>96</v>
      </c>
      <c r="C20" s="124" t="s">
        <v>14</v>
      </c>
      <c r="D20" s="125">
        <v>3</v>
      </c>
      <c r="E20" s="197">
        <f t="shared" si="4"/>
        <v>21.32971342383108</v>
      </c>
      <c r="F20" s="127">
        <v>0.75</v>
      </c>
      <c r="G20" s="119">
        <f t="shared" si="0"/>
        <v>63.989140271493241</v>
      </c>
      <c r="H20" s="120">
        <f t="shared" si="1"/>
        <v>47.991855203619934</v>
      </c>
      <c r="I20" s="81">
        <f>VLOOKUP(B20,All_Ingredients!$A$1:$F$151,6,FALSE())</f>
        <v>1</v>
      </c>
      <c r="J20" s="119">
        <f>VLOOKUP(B20,All_Ingredients!$A$1:$J$151,10,FALSE())</f>
        <v>0.74</v>
      </c>
      <c r="K20" s="122">
        <f t="shared" si="5"/>
        <v>4.7991855203619933E-2</v>
      </c>
      <c r="L20" s="122">
        <f t="shared" si="6"/>
        <v>3.5513972850678747E-2</v>
      </c>
    </row>
    <row r="21" spans="1:32" ht="14.25" customHeight="1" x14ac:dyDescent="0.3">
      <c r="A21" s="128" t="s">
        <v>97</v>
      </c>
      <c r="B21" s="294" t="s">
        <v>102</v>
      </c>
      <c r="C21" s="124" t="s">
        <v>14</v>
      </c>
      <c r="D21" s="125">
        <v>3</v>
      </c>
      <c r="E21" s="197">
        <f t="shared" si="4"/>
        <v>21.32971342383108</v>
      </c>
      <c r="F21" s="127">
        <v>0.75</v>
      </c>
      <c r="G21" s="119">
        <f t="shared" si="0"/>
        <v>63.989140271493241</v>
      </c>
      <c r="H21" s="120">
        <f t="shared" si="1"/>
        <v>47.991855203619934</v>
      </c>
      <c r="I21" s="81">
        <f>VLOOKUP(B21,All_Ingredients!$A$1:$F$151,6,FALSE())</f>
        <v>1</v>
      </c>
      <c r="J21" s="119">
        <f>VLOOKUP(B21,All_Ingredients!$A$1:$J$151,10,FALSE())</f>
        <v>31</v>
      </c>
      <c r="K21" s="122">
        <f t="shared" si="5"/>
        <v>4.7991855203619933E-2</v>
      </c>
      <c r="L21" s="122">
        <f t="shared" si="6"/>
        <v>1.4877475113122178</v>
      </c>
    </row>
    <row r="22" spans="1:32" ht="14.25" customHeight="1" x14ac:dyDescent="0.3">
      <c r="A22" s="128" t="s">
        <v>158</v>
      </c>
      <c r="B22" s="294" t="s">
        <v>157</v>
      </c>
      <c r="C22" s="124" t="s">
        <v>14</v>
      </c>
      <c r="D22" s="125">
        <v>20</v>
      </c>
      <c r="E22" s="197">
        <f t="shared" si="4"/>
        <v>21.32971342383108</v>
      </c>
      <c r="F22" s="127">
        <v>1</v>
      </c>
      <c r="G22" s="119">
        <f t="shared" si="0"/>
        <v>426.59426847662161</v>
      </c>
      <c r="H22" s="120">
        <f t="shared" si="1"/>
        <v>426.59426847662161</v>
      </c>
      <c r="I22" s="81">
        <f>VLOOKUP(B22,All_Ingredients!$A$1:$F$151,6,FALSE())</f>
        <v>1</v>
      </c>
      <c r="J22" s="119">
        <f>VLOOKUP(B22,All_Ingredients!$A$1:$J$151,10,FALSE())</f>
        <v>30</v>
      </c>
      <c r="K22" s="122">
        <f t="shared" si="5"/>
        <v>0.42659426847662163</v>
      </c>
      <c r="L22" s="122">
        <f t="shared" si="6"/>
        <v>12.797828054298648</v>
      </c>
    </row>
    <row r="23" spans="1:32" ht="14.25" customHeight="1" x14ac:dyDescent="0.3">
      <c r="A23" s="128" t="s">
        <v>186</v>
      </c>
      <c r="B23" s="295" t="s">
        <v>189</v>
      </c>
      <c r="C23" s="124" t="s">
        <v>14</v>
      </c>
      <c r="D23" s="125">
        <v>50</v>
      </c>
      <c r="E23" s="197">
        <f t="shared" si="4"/>
        <v>21.32971342383108</v>
      </c>
      <c r="F23" s="127">
        <v>1</v>
      </c>
      <c r="G23" s="119">
        <f t="shared" si="0"/>
        <v>1066.485671191554</v>
      </c>
      <c r="H23" s="120">
        <f t="shared" si="1"/>
        <v>1066.485671191554</v>
      </c>
      <c r="I23" s="81">
        <f>VLOOKUP(B23,All_Ingredients!$A$1:$F$151,6,FALSE())</f>
        <v>1</v>
      </c>
      <c r="J23" s="119">
        <f>VLOOKUP(B23,All_Ingredients!$A$1:$J$151,10,FALSE())</f>
        <v>17</v>
      </c>
      <c r="K23" s="122">
        <f t="shared" si="5"/>
        <v>1.066485671191554</v>
      </c>
      <c r="L23" s="122">
        <f t="shared" si="6"/>
        <v>18.130256410256418</v>
      </c>
      <c r="P23"/>
      <c r="R23" s="275" t="s">
        <v>321</v>
      </c>
    </row>
    <row r="24" spans="1:32" ht="14.25" customHeight="1" x14ac:dyDescent="0.3">
      <c r="I24" s="92"/>
      <c r="J24" s="139"/>
      <c r="K24" s="92"/>
      <c r="L24" s="137"/>
      <c r="M24" s="131"/>
      <c r="N24" s="131"/>
      <c r="Z24" s="1234"/>
    </row>
    <row r="25" spans="1:32" ht="15.75" customHeight="1" x14ac:dyDescent="0.35">
      <c r="I25" s="92"/>
      <c r="J25" s="139"/>
      <c r="K25" s="92"/>
      <c r="L25" s="137"/>
      <c r="M25" s="131"/>
      <c r="N25" s="131"/>
      <c r="R25" s="1411" t="s">
        <v>542</v>
      </c>
      <c r="S25" s="1388"/>
      <c r="T25" s="1388"/>
      <c r="U25" s="1388"/>
      <c r="V25" s="1151"/>
      <c r="Z25" s="141" t="s">
        <v>264</v>
      </c>
      <c r="AA25" s="1229">
        <v>37370</v>
      </c>
      <c r="AB25" s="141" t="s">
        <v>261</v>
      </c>
      <c r="AC25" s="143">
        <f>(AA25*(4/3))*AF30+(AA30*(AB28/R1))</f>
        <v>1194.2108394754798</v>
      </c>
    </row>
    <row r="26" spans="1:32" ht="14.25" customHeight="1" x14ac:dyDescent="0.3">
      <c r="I26" s="92"/>
      <c r="J26" s="139"/>
      <c r="K26" s="92"/>
      <c r="L26" s="137"/>
      <c r="M26" s="131"/>
      <c r="N26" s="131"/>
      <c r="R26" s="1423" t="s">
        <v>265</v>
      </c>
      <c r="S26" s="1388"/>
      <c r="T26" s="1388"/>
      <c r="U26" s="1388"/>
      <c r="V26" s="1151"/>
    </row>
    <row r="27" spans="1:32" ht="14.25" customHeight="1" thickBot="1" x14ac:dyDescent="0.35">
      <c r="B27" s="100"/>
      <c r="C27" s="861"/>
      <c r="D27" s="861"/>
      <c r="E27" s="861"/>
      <c r="F27" s="861"/>
      <c r="G27" s="861"/>
      <c r="H27"/>
      <c r="I27" s="92"/>
      <c r="J27" s="139"/>
      <c r="K27" s="92"/>
      <c r="L27" s="137"/>
      <c r="M27" s="131"/>
      <c r="N27" s="131"/>
      <c r="R27" s="145" t="s">
        <v>266</v>
      </c>
      <c r="S27" s="146" t="s">
        <v>267</v>
      </c>
      <c r="T27" s="146" t="s">
        <v>268</v>
      </c>
      <c r="U27" s="146" t="s">
        <v>269</v>
      </c>
      <c r="V27" s="146" t="s">
        <v>839</v>
      </c>
      <c r="W27" s="146" t="s">
        <v>848</v>
      </c>
      <c r="Z27" s="141" t="s">
        <v>270</v>
      </c>
      <c r="AA27" s="1185" t="s">
        <v>324</v>
      </c>
      <c r="AB27" s="147" t="s">
        <v>271</v>
      </c>
      <c r="AC27" s="147" t="s">
        <v>272</v>
      </c>
      <c r="AD27" s="147" t="s">
        <v>273</v>
      </c>
      <c r="AE27" s="1186" t="s">
        <v>848</v>
      </c>
      <c r="AF27" s="147" t="s">
        <v>274</v>
      </c>
    </row>
    <row r="28" spans="1:32" ht="14.25" customHeight="1" thickBot="1" x14ac:dyDescent="0.35">
      <c r="B28" s="371"/>
      <c r="C28" s="348"/>
      <c r="D28" s="264"/>
      <c r="E28" s="371"/>
      <c r="F28" s="371"/>
      <c r="G28" s="264"/>
      <c r="H28" s="55"/>
      <c r="I28" s="92"/>
      <c r="J28" s="139"/>
      <c r="K28" s="92"/>
      <c r="L28" s="137"/>
      <c r="M28" s="131"/>
      <c r="N28" s="131"/>
      <c r="R28" s="148" t="s">
        <v>275</v>
      </c>
      <c r="S28" s="149">
        <f>U28*S40</f>
        <v>24723.076923076918</v>
      </c>
      <c r="T28" s="149">
        <f>U28*U40</f>
        <v>7416.9230769230844</v>
      </c>
      <c r="U28" s="150">
        <f>$Z$1</f>
        <v>32140</v>
      </c>
      <c r="V28" s="149">
        <f>SUM(AP5:AP13)</f>
        <v>3519.8956975228157</v>
      </c>
      <c r="W28" s="149">
        <f>SUM(H37:H38)</f>
        <v>245.03</v>
      </c>
      <c r="Z28" s="151"/>
      <c r="AA28" s="1188"/>
      <c r="AB28" s="1200">
        <f>AA25*$S$40</f>
        <v>28746.15384615384</v>
      </c>
      <c r="AC28" s="152">
        <f>AA25*U40</f>
        <v>8623.8461538461634</v>
      </c>
      <c r="AD28" s="1231">
        <f>AA25*(1/3)</f>
        <v>12456.666666666666</v>
      </c>
      <c r="AE28" s="1188"/>
      <c r="AF28" s="154">
        <f>SUM(AB28:AD28)</f>
        <v>49826.666666666664</v>
      </c>
    </row>
    <row r="29" spans="1:32" ht="14.25" customHeight="1" thickBot="1" x14ac:dyDescent="0.35">
      <c r="B29" s="371"/>
      <c r="C29" s="348"/>
      <c r="D29" s="264"/>
      <c r="E29" s="371"/>
      <c r="F29" s="371"/>
      <c r="G29" s="264"/>
      <c r="H29" s="55"/>
      <c r="I29" s="92"/>
      <c r="J29" s="139"/>
      <c r="K29" s="92"/>
      <c r="L29" s="137"/>
      <c r="M29" s="131"/>
      <c r="N29" s="131"/>
      <c r="R29" s="148" t="s">
        <v>276</v>
      </c>
      <c r="S29" s="155"/>
      <c r="T29" s="149">
        <f>U28*(1/3)</f>
        <v>10713.333333333332</v>
      </c>
      <c r="U29" s="149">
        <f>T29</f>
        <v>10713.333333333332</v>
      </c>
      <c r="V29" s="149"/>
      <c r="W29" s="149"/>
      <c r="Z29" s="151"/>
      <c r="AA29" s="1192"/>
      <c r="AB29" s="156">
        <f>AB28/$AF$28</f>
        <v>0.57692307692307687</v>
      </c>
      <c r="AC29" s="156">
        <f>AC28/$AF$28</f>
        <v>0.17307692307692327</v>
      </c>
      <c r="AD29" s="1230">
        <f>AD28/$AF$28</f>
        <v>0.25</v>
      </c>
      <c r="AE29" s="1192"/>
      <c r="AF29" s="156">
        <f>AF28/$AF$28</f>
        <v>1</v>
      </c>
    </row>
    <row r="30" spans="1:32" ht="14.25" customHeight="1" thickBot="1" x14ac:dyDescent="0.35">
      <c r="I30" s="92"/>
      <c r="J30" s="139"/>
      <c r="K30" s="92"/>
      <c r="L30" s="137"/>
      <c r="M30" s="131"/>
      <c r="N30" s="131"/>
      <c r="R30" s="148" t="s">
        <v>277</v>
      </c>
      <c r="S30" s="1228">
        <f>U30*S40</f>
        <v>0</v>
      </c>
      <c r="T30" s="149">
        <f>(U30*U40)+(U30*0.3)</f>
        <v>0</v>
      </c>
      <c r="U30" s="150"/>
      <c r="V30" s="1143"/>
      <c r="W30" s="1143"/>
      <c r="Z30" s="141" t="s">
        <v>278</v>
      </c>
      <c r="AA30" s="1196">
        <f>V35/(S32/R1)</f>
        <v>4.3242796272134208E-4</v>
      </c>
      <c r="AB30" s="157">
        <f>S35/(S32)</f>
        <v>3.3701221915648408E-2</v>
      </c>
      <c r="AC30" s="158">
        <f>T35/T32</f>
        <v>9.5940236635192865E-3</v>
      </c>
      <c r="AD30" s="158">
        <f>T35/T32</f>
        <v>9.5940236635192865E-3</v>
      </c>
      <c r="AE30" s="1199">
        <f>W35/U32</f>
        <v>4.2437276475857691E-5</v>
      </c>
      <c r="AF30" s="1207">
        <f>SUMPRODUCT(AB30:AD30,AB29:AD29)+AE30</f>
        <v>2.35444599316081E-2</v>
      </c>
    </row>
    <row r="31" spans="1:32" ht="14.25" customHeight="1" thickBot="1" x14ac:dyDescent="0.35">
      <c r="I31" s="92"/>
      <c r="J31" s="139"/>
      <c r="K31" s="92"/>
      <c r="L31" s="137"/>
      <c r="M31" s="131"/>
      <c r="N31" s="131"/>
      <c r="R31" s="148" t="s">
        <v>279</v>
      </c>
      <c r="S31" s="155"/>
      <c r="T31" s="149"/>
      <c r="U31" s="149"/>
      <c r="V31" s="149"/>
      <c r="W31" s="149"/>
    </row>
    <row r="32" spans="1:32" ht="38.75" customHeight="1" thickBot="1" x14ac:dyDescent="0.35">
      <c r="I32" s="92"/>
      <c r="J32" s="139"/>
      <c r="K32" s="92"/>
      <c r="L32" s="137"/>
      <c r="M32" s="131"/>
      <c r="N32" s="131"/>
      <c r="R32" s="160" t="s">
        <v>269</v>
      </c>
      <c r="S32" s="149">
        <f>SUM(S28:S30)</f>
        <v>24723.076923076918</v>
      </c>
      <c r="T32" s="149">
        <f>SUM(T28:T30)</f>
        <v>18130.256410256417</v>
      </c>
      <c r="U32" s="1217">
        <f>SUM(U28:U30)</f>
        <v>42853.333333333328</v>
      </c>
      <c r="V32" s="149"/>
      <c r="W32" s="149">
        <f>SUM(W28:W30)</f>
        <v>245.03</v>
      </c>
      <c r="AB32" s="14">
        <f>AB28*AB30</f>
        <v>968.78050999060054</v>
      </c>
      <c r="AC32" s="14">
        <f>AC28*AC30</f>
        <v>82.737384070549879</v>
      </c>
      <c r="AD32" s="14">
        <f>AD28*AD30</f>
        <v>119.5095547685719</v>
      </c>
    </row>
    <row r="33" spans="2:23" ht="14.25" customHeight="1" thickBot="1" x14ac:dyDescent="0.35">
      <c r="I33" s="92"/>
      <c r="J33" s="139"/>
      <c r="K33" s="92"/>
      <c r="L33" s="137"/>
      <c r="M33" s="131"/>
      <c r="N33" s="131"/>
      <c r="R33" s="161" t="s">
        <v>280</v>
      </c>
      <c r="S33" s="155"/>
      <c r="T33" s="155"/>
      <c r="U33" s="155"/>
      <c r="V33" s="155"/>
      <c r="W33" s="155"/>
    </row>
    <row r="34" spans="2:23" ht="14.25" customHeight="1" thickBot="1" x14ac:dyDescent="0.35">
      <c r="I34" s="92"/>
      <c r="J34" s="139"/>
      <c r="K34" s="92"/>
      <c r="L34" s="137"/>
      <c r="M34" s="131"/>
      <c r="N34" s="131"/>
      <c r="R34" s="162" t="s">
        <v>281</v>
      </c>
      <c r="S34" s="155"/>
      <c r="T34" s="149"/>
      <c r="U34" s="155"/>
      <c r="V34" s="155"/>
      <c r="W34" s="155"/>
    </row>
    <row r="35" spans="2:23" ht="14.25" customHeight="1" thickBot="1" x14ac:dyDescent="0.35">
      <c r="B35" s="1412" t="s">
        <v>676</v>
      </c>
      <c r="C35" s="1412"/>
      <c r="D35" s="1412"/>
      <c r="E35" s="1412"/>
      <c r="F35" s="1412"/>
      <c r="G35" s="889"/>
      <c r="H35" s="889"/>
      <c r="I35" s="889"/>
      <c r="J35" s="889"/>
      <c r="K35" s="889"/>
      <c r="L35" s="889"/>
      <c r="M35" s="131"/>
      <c r="N35" s="131"/>
      <c r="R35" s="163" t="s">
        <v>261</v>
      </c>
      <c r="S35" s="164">
        <f>$L$5</f>
        <v>833.1979018222612</v>
      </c>
      <c r="T35" s="164">
        <f>SUM(L6:L23)</f>
        <v>173.94210902567229</v>
      </c>
      <c r="U35" s="1238">
        <f>S35+T35+V35+W35</f>
        <v>1027.0788434771719</v>
      </c>
      <c r="V35" s="1144">
        <f>SUM(AT6:AT12)</f>
        <v>18.120253874659625</v>
      </c>
      <c r="W35" s="1203">
        <f>SUM(L37:L38)</f>
        <v>1.8185787545787546</v>
      </c>
    </row>
    <row r="36" spans="2:23" ht="14.25" customHeight="1" x14ac:dyDescent="0.3">
      <c r="B36" s="860" t="s">
        <v>253</v>
      </c>
      <c r="C36" s="860" t="s">
        <v>329</v>
      </c>
      <c r="D36" s="862" t="s">
        <v>671</v>
      </c>
      <c r="E36" s="859" t="s">
        <v>672</v>
      </c>
      <c r="F36" s="862" t="s">
        <v>673</v>
      </c>
      <c r="G36" s="882"/>
      <c r="H36" s="862" t="s">
        <v>673</v>
      </c>
      <c r="I36" s="862" t="s">
        <v>258</v>
      </c>
      <c r="J36" s="862" t="s">
        <v>259</v>
      </c>
      <c r="K36" s="862" t="s">
        <v>260</v>
      </c>
      <c r="L36" s="862" t="s">
        <v>261</v>
      </c>
      <c r="M36" s="131"/>
      <c r="N36" s="131"/>
    </row>
    <row r="37" spans="2:23" ht="19.25" customHeight="1" x14ac:dyDescent="0.3">
      <c r="B37" s="855" t="s">
        <v>746</v>
      </c>
      <c r="C37" s="856" t="s">
        <v>14</v>
      </c>
      <c r="D37" s="857">
        <v>7.0000000000000007E-2</v>
      </c>
      <c r="E37" s="855">
        <f>$AD$1</f>
        <v>229</v>
      </c>
      <c r="F37" s="855">
        <f>D37*E37</f>
        <v>16.03</v>
      </c>
      <c r="G37"/>
      <c r="H37" s="855">
        <f>F37</f>
        <v>16.03</v>
      </c>
      <c r="I37" s="855">
        <f>VLOOKUP(B37,All_Ingredients!$A$1:$F$151,6,FALSE())</f>
        <v>0.65</v>
      </c>
      <c r="J37" s="855">
        <f>VLOOKUP(B37,All_Ingredients!$A$1:$J$151,10,FALSE())</f>
        <v>45</v>
      </c>
      <c r="K37" s="855">
        <f>(H37/I37)/1000</f>
        <v>2.4661538461538464E-2</v>
      </c>
      <c r="L37" s="855">
        <f t="shared" ref="L37" si="12">K37*J37</f>
        <v>1.1097692307692308</v>
      </c>
      <c r="M37" s="131"/>
      <c r="N37" s="131"/>
    </row>
    <row r="38" spans="2:23" ht="14.25" customHeight="1" x14ac:dyDescent="0.3">
      <c r="B38" s="855" t="s">
        <v>19</v>
      </c>
      <c r="C38" s="856" t="s">
        <v>14</v>
      </c>
      <c r="D38" s="857">
        <v>1</v>
      </c>
      <c r="E38" s="855">
        <f>$AD$1</f>
        <v>229</v>
      </c>
      <c r="F38" s="855">
        <f>D38*E38</f>
        <v>229</v>
      </c>
      <c r="H38" s="855">
        <f>F38</f>
        <v>229</v>
      </c>
      <c r="I38" s="855">
        <f>VLOOKUP(B38,All_Ingredients!$A$1:$F$151,6,FALSE())</f>
        <v>0.84</v>
      </c>
      <c r="J38" s="855">
        <f>VLOOKUP(B38,All_Ingredients!$A$1:$J$151,10,FALSE())</f>
        <v>2.6</v>
      </c>
      <c r="K38" s="855">
        <f>(H38/I38)/1000</f>
        <v>0.27261904761904765</v>
      </c>
      <c r="L38" s="855">
        <f t="shared" ref="L38" si="13">K38*J38</f>
        <v>0.70880952380952389</v>
      </c>
      <c r="M38" s="131"/>
      <c r="N38" s="131"/>
    </row>
    <row r="39" spans="2:23" ht="14.25" customHeight="1" x14ac:dyDescent="0.3">
      <c r="B39"/>
      <c r="C39" s="133"/>
      <c r="D39" s="254"/>
      <c r="E39" s="296"/>
      <c r="F39" s="136"/>
      <c r="G39" s="137"/>
      <c r="H39" s="138"/>
      <c r="I39" s="92"/>
      <c r="J39" s="139"/>
      <c r="K39" s="92"/>
      <c r="L39" s="137"/>
      <c r="M39" s="131"/>
      <c r="N39" s="131"/>
    </row>
    <row r="40" spans="2:23" ht="17.75" customHeight="1" x14ac:dyDescent="0.3">
      <c r="B40"/>
      <c r="C40" s="133"/>
      <c r="D40" s="254"/>
      <c r="E40" s="296"/>
      <c r="F40" s="136"/>
      <c r="G40" s="137"/>
      <c r="H40" s="138"/>
      <c r="I40" s="92"/>
      <c r="J40" s="139"/>
      <c r="K40" s="92"/>
      <c r="L40" s="137"/>
      <c r="M40" s="131"/>
      <c r="N40" s="131"/>
      <c r="R40" s="165" t="s">
        <v>282</v>
      </c>
      <c r="S40" s="166">
        <v>0.76923076923076905</v>
      </c>
      <c r="T40" s="165" t="s">
        <v>283</v>
      </c>
      <c r="U40" s="167">
        <v>0.230769230769231</v>
      </c>
      <c r="V40" s="168">
        <f>S40+U40</f>
        <v>1</v>
      </c>
    </row>
    <row r="41" spans="2:23" ht="15.75" customHeight="1" x14ac:dyDescent="0.3">
      <c r="B41"/>
      <c r="C41" s="133"/>
      <c r="D41" s="254"/>
      <c r="E41" s="296"/>
      <c r="F41" s="136"/>
      <c r="G41" s="137"/>
      <c r="H41" s="138"/>
      <c r="I41" s="92"/>
      <c r="J41" s="139"/>
      <c r="K41" s="92"/>
      <c r="L41" s="137"/>
      <c r="M41" s="131"/>
      <c r="N41" s="131"/>
      <c r="U41" s="169"/>
    </row>
    <row r="42" spans="2:23" ht="14.25" customHeight="1" x14ac:dyDescent="0.3">
      <c r="B42"/>
      <c r="C42" s="133"/>
      <c r="D42" s="254"/>
      <c r="E42" s="296"/>
      <c r="F42" s="136"/>
      <c r="G42" s="137"/>
      <c r="H42" s="138"/>
      <c r="I42" s="92"/>
      <c r="J42" s="139"/>
      <c r="K42" s="92"/>
      <c r="L42" s="137"/>
      <c r="M42" s="131"/>
      <c r="N42" s="131"/>
    </row>
    <row r="43" spans="2:23" ht="14.25" customHeight="1" x14ac:dyDescent="0.3">
      <c r="B43"/>
      <c r="C43" s="133"/>
      <c r="D43" s="254"/>
      <c r="E43" s="296"/>
      <c r="F43" s="136"/>
      <c r="G43" s="137"/>
      <c r="H43" s="138"/>
      <c r="I43" s="92"/>
      <c r="J43" s="139"/>
      <c r="K43" s="92"/>
      <c r="L43" s="137"/>
      <c r="M43" s="131"/>
      <c r="N43" s="131"/>
      <c r="Q43" s="170" t="s">
        <v>284</v>
      </c>
      <c r="R43" s="170" t="s">
        <v>285</v>
      </c>
      <c r="S43" s="170" t="s">
        <v>286</v>
      </c>
      <c r="T43" s="170" t="s">
        <v>287</v>
      </c>
      <c r="U43" s="170" t="s">
        <v>288</v>
      </c>
      <c r="V43" s="170" t="s">
        <v>289</v>
      </c>
      <c r="W43" s="170" t="s">
        <v>290</v>
      </c>
    </row>
    <row r="44" spans="2:23" ht="14.25" customHeight="1" x14ac:dyDescent="0.3">
      <c r="B44"/>
      <c r="C44" s="133"/>
      <c r="D44" s="254"/>
      <c r="E44" s="296"/>
      <c r="F44" s="136"/>
      <c r="G44" s="137"/>
      <c r="H44" s="138"/>
      <c r="I44" s="92"/>
      <c r="J44" s="139"/>
      <c r="K44" s="92"/>
      <c r="L44" s="137"/>
      <c r="M44" s="131"/>
      <c r="N44" s="131"/>
      <c r="Q44" s="172">
        <v>18841</v>
      </c>
      <c r="R44" s="173">
        <f>D51</f>
        <v>10000</v>
      </c>
      <c r="S44" s="174">
        <v>0.43478260000000002</v>
      </c>
      <c r="T44" s="174">
        <v>0.56521739999999998</v>
      </c>
      <c r="U44" s="242">
        <f>R44*S44</f>
        <v>4347.826</v>
      </c>
      <c r="V44" s="176">
        <f>R44*T44</f>
        <v>5652.174</v>
      </c>
      <c r="W44" s="176">
        <f>Q44-U44</f>
        <v>14493.173999999999</v>
      </c>
    </row>
    <row r="45" spans="2:23" ht="14.25" customHeight="1" x14ac:dyDescent="0.3">
      <c r="B45"/>
      <c r="C45" s="133"/>
      <c r="D45" s="254"/>
      <c r="E45" s="296"/>
      <c r="F45" s="136"/>
      <c r="G45" s="137"/>
      <c r="H45" s="138"/>
      <c r="I45" s="92"/>
      <c r="J45" s="139"/>
      <c r="K45" s="92"/>
      <c r="L45" s="137"/>
      <c r="M45" s="131"/>
      <c r="N45" s="131"/>
    </row>
    <row r="46" spans="2:23" ht="14.25" customHeight="1" x14ac:dyDescent="0.3">
      <c r="B46"/>
      <c r="C46" s="133"/>
      <c r="D46" s="254"/>
      <c r="E46" s="296"/>
      <c r="F46" s="136"/>
      <c r="G46" s="137"/>
      <c r="H46" s="138"/>
      <c r="I46" s="92"/>
      <c r="J46" s="139"/>
      <c r="K46" s="92"/>
      <c r="L46" s="137"/>
      <c r="M46" s="131"/>
      <c r="N46" s="131"/>
    </row>
    <row r="47" spans="2:23" ht="14.25" customHeight="1" x14ac:dyDescent="0.3">
      <c r="B47"/>
      <c r="C47" s="133"/>
      <c r="D47" s="254"/>
      <c r="E47" s="296"/>
      <c r="F47" s="136"/>
      <c r="G47" s="137"/>
      <c r="H47" s="138"/>
      <c r="I47" s="92"/>
      <c r="J47" s="139"/>
      <c r="K47" s="92"/>
      <c r="L47" s="137"/>
      <c r="M47" s="131"/>
      <c r="N47" s="131"/>
    </row>
    <row r="48" spans="2:23" ht="14.25" customHeight="1" x14ac:dyDescent="0.3">
      <c r="B48"/>
      <c r="C48" s="133"/>
      <c r="D48" s="254"/>
      <c r="E48" s="296"/>
      <c r="F48" s="136"/>
      <c r="G48" s="137"/>
      <c r="H48" s="138"/>
      <c r="I48" s="92"/>
      <c r="J48" s="139"/>
      <c r="K48" s="92"/>
      <c r="L48" s="137"/>
      <c r="M48" s="131"/>
      <c r="N48" s="131"/>
    </row>
    <row r="49" spans="1:13" ht="14.25" customHeight="1" x14ac:dyDescent="0.3">
      <c r="B49" s="100"/>
      <c r="C49" s="171"/>
      <c r="D49" s="171"/>
      <c r="E49" s="100"/>
      <c r="F49" s="100"/>
      <c r="G49" s="171"/>
      <c r="L49" s="297"/>
    </row>
    <row r="50" spans="1:13" ht="14.25" customHeight="1" x14ac:dyDescent="0.3">
      <c r="B50" s="145"/>
      <c r="C50" s="145" t="s">
        <v>245</v>
      </c>
      <c r="D50" s="145" t="s">
        <v>291</v>
      </c>
      <c r="E50" s="183"/>
      <c r="F50" s="179"/>
      <c r="G50" s="145" t="s">
        <v>292</v>
      </c>
      <c r="H50" s="145" t="s">
        <v>245</v>
      </c>
      <c r="I50" s="145" t="s">
        <v>293</v>
      </c>
      <c r="J50" s="145" t="s">
        <v>294</v>
      </c>
      <c r="L50" s="297"/>
    </row>
    <row r="51" spans="1:13" ht="14.25" customHeight="1" x14ac:dyDescent="0.3">
      <c r="B51" s="180" t="s">
        <v>295</v>
      </c>
      <c r="C51" s="181">
        <f>10/K1</f>
        <v>11.764705882352942</v>
      </c>
      <c r="D51" s="182">
        <f>C1*10</f>
        <v>10000</v>
      </c>
      <c r="E51" s="183"/>
      <c r="F51" s="100"/>
      <c r="G51" s="180" t="s">
        <v>295</v>
      </c>
      <c r="H51" s="181">
        <f>I51/$D$5</f>
        <v>10</v>
      </c>
      <c r="I51" s="181">
        <f>J51/R1</f>
        <v>24564.701694915253</v>
      </c>
      <c r="J51" s="181">
        <f>$W$44</f>
        <v>14493.173999999999</v>
      </c>
      <c r="L51" s="297"/>
    </row>
    <row r="52" spans="1:13" ht="14.25" customHeight="1" x14ac:dyDescent="0.3">
      <c r="B52" s="148" t="s">
        <v>274</v>
      </c>
      <c r="C52" s="184">
        <f>I1</f>
        <v>21.32971342383108</v>
      </c>
      <c r="D52" s="185">
        <f>E1</f>
        <v>18130.256410256417</v>
      </c>
      <c r="E52" s="100"/>
      <c r="F52" s="100"/>
      <c r="G52" s="148" t="s">
        <v>274</v>
      </c>
      <c r="H52" s="176">
        <f>I52/D5</f>
        <v>17.058428280152381</v>
      </c>
      <c r="I52" s="176">
        <f>J52/$R$1</f>
        <v>41903.520208604947</v>
      </c>
      <c r="J52" s="184">
        <f>$S$32</f>
        <v>24723.076923076918</v>
      </c>
      <c r="L52" s="297"/>
    </row>
    <row r="53" spans="1:13" ht="14.25" customHeight="1" x14ac:dyDescent="0.3">
      <c r="B53" s="231" t="s">
        <v>296</v>
      </c>
      <c r="C53" s="234">
        <f>MIN(C52, C51)</f>
        <v>11.764705882352942</v>
      </c>
      <c r="D53" s="233">
        <f>(C53*$K$1)*$C$1</f>
        <v>10000</v>
      </c>
      <c r="E53" s="100"/>
      <c r="F53" s="100"/>
      <c r="G53" s="148" t="s">
        <v>296</v>
      </c>
      <c r="H53" s="187">
        <f>MIN(H52,H51)</f>
        <v>10</v>
      </c>
      <c r="I53" s="176">
        <f>J53/$R$1</f>
        <v>24564.701694915253</v>
      </c>
      <c r="J53" s="176">
        <f>MIN(J52,J51)</f>
        <v>14493.173999999999</v>
      </c>
      <c r="L53" s="297"/>
    </row>
    <row r="54" spans="1:13" ht="14.25" customHeight="1" x14ac:dyDescent="0.3">
      <c r="B54" s="231" t="s">
        <v>297</v>
      </c>
      <c r="C54" s="234">
        <f>MIN(MAX(C52-C53,0),C51)</f>
        <v>9.5650075414781384</v>
      </c>
      <c r="D54" s="233">
        <f>(C54*$K$1)*$C$1</f>
        <v>8130.2564102564165</v>
      </c>
      <c r="F54" s="100"/>
      <c r="G54" s="148" t="s">
        <v>297</v>
      </c>
      <c r="H54" s="187">
        <f>MIN(MAX(H52-H53),H51)</f>
        <v>7.0584282801523806</v>
      </c>
      <c r="I54" s="176">
        <f>J54/$R$1</f>
        <v>17338.818513689694</v>
      </c>
      <c r="J54" s="176">
        <f>MIN(MAX(J52-J53),J51)</f>
        <v>10229.902923076919</v>
      </c>
      <c r="L54" s="297"/>
    </row>
    <row r="55" spans="1:13" ht="14.25" customHeight="1" x14ac:dyDescent="0.3">
      <c r="B55" s="231" t="s">
        <v>298</v>
      </c>
      <c r="C55" s="234">
        <f>MIN(MAX(C52-C53-C54,0),C51)</f>
        <v>0</v>
      </c>
      <c r="D55" s="233">
        <f>(C55*$K$1)*$C$1</f>
        <v>0</v>
      </c>
      <c r="E55" s="100"/>
      <c r="F55" s="100"/>
      <c r="G55" s="145" t="s">
        <v>298</v>
      </c>
      <c r="H55" s="187">
        <f>MIN(MAX(H52-H53-H54),H51)</f>
        <v>0</v>
      </c>
      <c r="I55" s="176">
        <f>J55/$R$1</f>
        <v>0</v>
      </c>
      <c r="J55" s="176">
        <f>MIN(MAX(J52-J53-J54),J51)</f>
        <v>0</v>
      </c>
    </row>
    <row r="56" spans="1:13" ht="14.25" customHeight="1" x14ac:dyDescent="0.3">
      <c r="B56" s="100"/>
      <c r="E56" s="100"/>
      <c r="F56" s="100"/>
      <c r="M56" s="298"/>
    </row>
    <row r="57" spans="1:13" ht="14.25" customHeight="1" x14ac:dyDescent="0.3">
      <c r="B57" s="100"/>
      <c r="E57" s="100"/>
      <c r="F57" s="100"/>
      <c r="M57" s="298"/>
    </row>
    <row r="58" spans="1:13" ht="14.25" customHeight="1" x14ac:dyDescent="0.3">
      <c r="B58" s="100"/>
      <c r="E58" s="100"/>
      <c r="F58" s="100"/>
    </row>
    <row r="59" spans="1:13" ht="14.25" customHeight="1" x14ac:dyDescent="0.3">
      <c r="B59" s="100"/>
      <c r="E59" s="100"/>
      <c r="F59" s="100"/>
    </row>
    <row r="60" spans="1:13" ht="14.25" customHeight="1" x14ac:dyDescent="0.3">
      <c r="B60" s="100"/>
      <c r="E60" s="100"/>
      <c r="F60" s="100"/>
    </row>
    <row r="61" spans="1:13" ht="14.25" customHeight="1" x14ac:dyDescent="0.3">
      <c r="B61" s="100"/>
      <c r="E61" s="100"/>
      <c r="F61" s="100"/>
    </row>
    <row r="62" spans="1:13" ht="17.75" customHeight="1" x14ac:dyDescent="0.3">
      <c r="A62" s="937"/>
      <c r="B62" s="1413" t="str">
        <f>"دجاج صيني دفعة 1 / " &amp; COUNTIF($C$53:$C$55, "&gt;0")</f>
        <v>دجاج صيني دفعة 1 / 2</v>
      </c>
      <c r="C62" s="1424"/>
      <c r="D62" s="1424"/>
      <c r="E62" s="1424"/>
      <c r="F62" s="1424"/>
      <c r="G62" s="1424"/>
      <c r="H62" s="1424"/>
    </row>
    <row r="63" spans="1:13" ht="17.75" customHeight="1" x14ac:dyDescent="0.3">
      <c r="A63" s="937"/>
      <c r="B63" s="1382" t="str">
        <f>"Chinese Chicken 1 / " &amp; COUNTIF($C$53:$C$55, "&gt;0")</f>
        <v>Chinese Chicken 1 / 2</v>
      </c>
      <c r="C63" s="1383"/>
      <c r="D63" s="1383"/>
      <c r="E63" s="1383"/>
      <c r="F63" s="1383"/>
      <c r="G63" s="1383"/>
      <c r="H63" s="1383"/>
    </row>
    <row r="64" spans="1:13" ht="44.25" customHeight="1" x14ac:dyDescent="0.25">
      <c r="A64" s="91"/>
      <c r="B64" s="91" t="s">
        <v>253</v>
      </c>
      <c r="C64" s="107" t="s">
        <v>254</v>
      </c>
      <c r="D64" s="91" t="s">
        <v>243</v>
      </c>
      <c r="E64" s="108" t="s">
        <v>246</v>
      </c>
      <c r="F64" s="108" t="s">
        <v>255</v>
      </c>
      <c r="G64" s="91" t="s">
        <v>256</v>
      </c>
      <c r="H64" s="109" t="s">
        <v>257</v>
      </c>
    </row>
    <row r="65" spans="1:8" ht="14.25" customHeight="1" x14ac:dyDescent="0.3">
      <c r="A65" s="128" t="s">
        <v>230</v>
      </c>
      <c r="B65" s="294" t="str">
        <f t="shared" ref="B65:D83" si="14">B5</f>
        <v>Chicken - دجاج</v>
      </c>
      <c r="C65" s="124" t="str">
        <f t="shared" si="14"/>
        <v>gm</v>
      </c>
      <c r="D65" s="116">
        <f t="shared" si="14"/>
        <v>2456.4701694915252</v>
      </c>
      <c r="E65" s="280">
        <f>H53</f>
        <v>10</v>
      </c>
      <c r="F65" s="299">
        <f t="shared" ref="F65:F83" si="15">F5</f>
        <v>1</v>
      </c>
      <c r="G65" s="119">
        <f t="shared" ref="G65:G83" si="16">D65*E65</f>
        <v>24564.701694915253</v>
      </c>
      <c r="H65" s="207">
        <f t="shared" ref="H65:H83" si="17">G65*F65</f>
        <v>24564.701694915253</v>
      </c>
    </row>
    <row r="66" spans="1:8" ht="14.25" customHeight="1" x14ac:dyDescent="0.3">
      <c r="A66" s="128" t="s">
        <v>13</v>
      </c>
      <c r="B66" s="294" t="str">
        <f t="shared" si="14"/>
        <v>Onion - بصل</v>
      </c>
      <c r="C66" s="124" t="str">
        <f t="shared" si="14"/>
        <v>gm</v>
      </c>
      <c r="D66" s="116">
        <f t="shared" si="14"/>
        <v>150</v>
      </c>
      <c r="E66" s="280">
        <f t="shared" ref="E66:E83" si="18">$C$53</f>
        <v>11.764705882352942</v>
      </c>
      <c r="F66" s="299">
        <f t="shared" si="15"/>
        <v>0.95</v>
      </c>
      <c r="G66" s="119">
        <f t="shared" si="16"/>
        <v>1764.7058823529412</v>
      </c>
      <c r="H66" s="207">
        <f t="shared" si="17"/>
        <v>1676.4705882352941</v>
      </c>
    </row>
    <row r="67" spans="1:8" ht="14.25" customHeight="1" x14ac:dyDescent="0.3">
      <c r="A67" s="128" t="s">
        <v>13</v>
      </c>
      <c r="B67" s="294" t="str">
        <f t="shared" si="14"/>
        <v>Green Bell Pepper - فلفل أخضر رومى</v>
      </c>
      <c r="C67" s="124" t="str">
        <f t="shared" si="14"/>
        <v>gm</v>
      </c>
      <c r="D67" s="116">
        <f t="shared" si="14"/>
        <v>50</v>
      </c>
      <c r="E67" s="280">
        <f t="shared" si="18"/>
        <v>11.764705882352942</v>
      </c>
      <c r="F67" s="299">
        <f t="shared" si="15"/>
        <v>0.95</v>
      </c>
      <c r="G67" s="119">
        <f t="shared" si="16"/>
        <v>588.23529411764707</v>
      </c>
      <c r="H67" s="207">
        <f t="shared" si="17"/>
        <v>558.82352941176464</v>
      </c>
    </row>
    <row r="68" spans="1:8" ht="14.25" customHeight="1" x14ac:dyDescent="0.3">
      <c r="A68" s="128" t="s">
        <v>13</v>
      </c>
      <c r="B68" s="294" t="str">
        <f t="shared" si="14"/>
        <v xml:space="preserve">Red Bell Pepper - فلفل أحمر </v>
      </c>
      <c r="C68" s="124" t="str">
        <f t="shared" si="14"/>
        <v>gm</v>
      </c>
      <c r="D68" s="116">
        <f t="shared" si="14"/>
        <v>50</v>
      </c>
      <c r="E68" s="280">
        <f t="shared" si="18"/>
        <v>11.764705882352942</v>
      </c>
      <c r="F68" s="299">
        <f t="shared" si="15"/>
        <v>0.95</v>
      </c>
      <c r="G68" s="119">
        <f t="shared" si="16"/>
        <v>588.23529411764707</v>
      </c>
      <c r="H68" s="207">
        <f t="shared" si="17"/>
        <v>558.82352941176464</v>
      </c>
    </row>
    <row r="69" spans="1:8" ht="14.25" customHeight="1" x14ac:dyDescent="0.3">
      <c r="A69" s="128" t="s">
        <v>13</v>
      </c>
      <c r="B69" s="294" t="str">
        <f t="shared" si="14"/>
        <v xml:space="preserve">Yellow Bell Pepper - فلفل أصفر </v>
      </c>
      <c r="C69" s="124" t="str">
        <f t="shared" si="14"/>
        <v>gm</v>
      </c>
      <c r="D69" s="116">
        <f t="shared" si="14"/>
        <v>50</v>
      </c>
      <c r="E69" s="280">
        <f t="shared" si="18"/>
        <v>11.764705882352942</v>
      </c>
      <c r="F69" s="299">
        <f t="shared" si="15"/>
        <v>0.95</v>
      </c>
      <c r="G69" s="119">
        <f t="shared" si="16"/>
        <v>588.23529411764707</v>
      </c>
      <c r="H69" s="207">
        <f t="shared" si="17"/>
        <v>558.82352941176464</v>
      </c>
    </row>
    <row r="70" spans="1:8" ht="14.25" customHeight="1" x14ac:dyDescent="0.3">
      <c r="A70" s="128" t="s">
        <v>13</v>
      </c>
      <c r="B70" s="294" t="str">
        <f t="shared" si="14"/>
        <v>Garlic - ثوم مقشر</v>
      </c>
      <c r="C70" s="124" t="str">
        <f t="shared" si="14"/>
        <v>gm</v>
      </c>
      <c r="D70" s="116">
        <f t="shared" si="14"/>
        <v>40</v>
      </c>
      <c r="E70" s="280">
        <f t="shared" si="18"/>
        <v>11.764705882352942</v>
      </c>
      <c r="F70" s="299">
        <f t="shared" si="15"/>
        <v>0.9</v>
      </c>
      <c r="G70" s="119">
        <f t="shared" si="16"/>
        <v>470.58823529411768</v>
      </c>
      <c r="H70" s="207">
        <f t="shared" si="17"/>
        <v>423.52941176470591</v>
      </c>
    </row>
    <row r="71" spans="1:8" ht="14.25" customHeight="1" x14ac:dyDescent="0.3">
      <c r="A71" s="128" t="s">
        <v>57</v>
      </c>
      <c r="B71" s="294" t="str">
        <f t="shared" si="14"/>
        <v>Ginger - زنجبيل</v>
      </c>
      <c r="C71" s="124" t="str">
        <f t="shared" si="14"/>
        <v>gm</v>
      </c>
      <c r="D71" s="116">
        <f t="shared" si="14"/>
        <v>25</v>
      </c>
      <c r="E71" s="280">
        <f t="shared" si="18"/>
        <v>11.764705882352942</v>
      </c>
      <c r="F71" s="299">
        <f t="shared" si="15"/>
        <v>0.6</v>
      </c>
      <c r="G71" s="119">
        <f t="shared" si="16"/>
        <v>294.11764705882354</v>
      </c>
      <c r="H71" s="207">
        <f t="shared" si="17"/>
        <v>176.47058823529412</v>
      </c>
    </row>
    <row r="72" spans="1:8" ht="14.25" customHeight="1" x14ac:dyDescent="0.3">
      <c r="A72" s="128" t="s">
        <v>196</v>
      </c>
      <c r="B72" s="294" t="str">
        <f t="shared" si="14"/>
        <v>Light Soy Sauce - صويا صوص خفيف</v>
      </c>
      <c r="C72" s="124" t="str">
        <f t="shared" si="14"/>
        <v>ml</v>
      </c>
      <c r="D72" s="116">
        <f t="shared" si="14"/>
        <v>25</v>
      </c>
      <c r="E72" s="280">
        <f t="shared" si="18"/>
        <v>11.764705882352942</v>
      </c>
      <c r="F72" s="299">
        <f t="shared" si="15"/>
        <v>0.9</v>
      </c>
      <c r="G72" s="119">
        <f t="shared" si="16"/>
        <v>294.11764705882354</v>
      </c>
      <c r="H72" s="207">
        <f t="shared" si="17"/>
        <v>264.70588235294122</v>
      </c>
    </row>
    <row r="73" spans="1:8" ht="14.25" customHeight="1" x14ac:dyDescent="0.3">
      <c r="A73" s="128" t="s">
        <v>196</v>
      </c>
      <c r="B73" s="294" t="str">
        <f t="shared" si="14"/>
        <v>Sweet Soy Sauce - صويا صوص حلو</v>
      </c>
      <c r="C73" s="124" t="str">
        <f t="shared" si="14"/>
        <v>ml</v>
      </c>
      <c r="D73" s="116">
        <f t="shared" si="14"/>
        <v>17</v>
      </c>
      <c r="E73" s="280">
        <f t="shared" si="18"/>
        <v>11.764705882352942</v>
      </c>
      <c r="F73" s="299">
        <f t="shared" si="15"/>
        <v>1</v>
      </c>
      <c r="G73" s="119">
        <f t="shared" si="16"/>
        <v>200</v>
      </c>
      <c r="H73" s="207">
        <f t="shared" si="17"/>
        <v>200</v>
      </c>
    </row>
    <row r="74" spans="1:8" ht="14.25" customHeight="1" x14ac:dyDescent="0.3">
      <c r="A74" s="128" t="s">
        <v>196</v>
      </c>
      <c r="B74" s="294" t="str">
        <f t="shared" si="14"/>
        <v>Sriracha Sauce - صوص سريراتشا</v>
      </c>
      <c r="C74" s="124" t="str">
        <f t="shared" si="14"/>
        <v>ml</v>
      </c>
      <c r="D74" s="116">
        <f t="shared" si="14"/>
        <v>35</v>
      </c>
      <c r="E74" s="280">
        <f t="shared" si="18"/>
        <v>11.764705882352942</v>
      </c>
      <c r="F74" s="299">
        <f t="shared" si="15"/>
        <v>0.75</v>
      </c>
      <c r="G74" s="119">
        <f t="shared" si="16"/>
        <v>411.76470588235298</v>
      </c>
      <c r="H74" s="207">
        <f t="shared" si="17"/>
        <v>308.82352941176475</v>
      </c>
    </row>
    <row r="75" spans="1:8" ht="14.25" customHeight="1" x14ac:dyDescent="0.3">
      <c r="A75" s="128" t="s">
        <v>210</v>
      </c>
      <c r="B75" s="294" t="str">
        <f t="shared" si="14"/>
        <v>Vinegar - خل</v>
      </c>
      <c r="C75" s="124" t="str">
        <f t="shared" si="14"/>
        <v>ml</v>
      </c>
      <c r="D75" s="116">
        <f t="shared" si="14"/>
        <v>15</v>
      </c>
      <c r="E75" s="280">
        <f t="shared" si="18"/>
        <v>11.764705882352942</v>
      </c>
      <c r="F75" s="299">
        <f t="shared" si="15"/>
        <v>1</v>
      </c>
      <c r="G75" s="119">
        <f t="shared" si="16"/>
        <v>176.47058823529414</v>
      </c>
      <c r="H75" s="207">
        <f t="shared" si="17"/>
        <v>176.47058823529414</v>
      </c>
    </row>
    <row r="76" spans="1:8" ht="14.25" customHeight="1" x14ac:dyDescent="0.3">
      <c r="A76" s="128" t="s">
        <v>210</v>
      </c>
      <c r="B76" s="294" t="str">
        <f t="shared" si="14"/>
        <v>Water - ماء</v>
      </c>
      <c r="C76" s="124" t="str">
        <f t="shared" si="14"/>
        <v>ml</v>
      </c>
      <c r="D76" s="116">
        <f t="shared" si="14"/>
        <v>150</v>
      </c>
      <c r="E76" s="280">
        <f t="shared" si="18"/>
        <v>11.764705882352942</v>
      </c>
      <c r="F76" s="299">
        <f t="shared" si="15"/>
        <v>1</v>
      </c>
      <c r="G76" s="119">
        <f t="shared" si="16"/>
        <v>1764.7058823529412</v>
      </c>
      <c r="H76" s="207">
        <f t="shared" si="17"/>
        <v>1764.7058823529412</v>
      </c>
    </row>
    <row r="77" spans="1:8" ht="14.25" customHeight="1" x14ac:dyDescent="0.3">
      <c r="A77" s="128" t="s">
        <v>196</v>
      </c>
      <c r="B77" s="294" t="str">
        <f t="shared" si="14"/>
        <v>Tomato Ketchup - كاتشب طماطم</v>
      </c>
      <c r="C77" s="124" t="str">
        <f t="shared" si="14"/>
        <v>ml</v>
      </c>
      <c r="D77" s="116">
        <f t="shared" si="14"/>
        <v>350</v>
      </c>
      <c r="E77" s="280">
        <f t="shared" si="18"/>
        <v>11.764705882352942</v>
      </c>
      <c r="F77" s="299">
        <f t="shared" si="15"/>
        <v>1</v>
      </c>
      <c r="G77" s="119">
        <f t="shared" si="16"/>
        <v>4117.6470588235297</v>
      </c>
      <c r="H77" s="207">
        <f t="shared" si="17"/>
        <v>4117.6470588235297</v>
      </c>
    </row>
    <row r="78" spans="1:8" ht="14.25" customHeight="1" x14ac:dyDescent="0.3">
      <c r="A78" s="128" t="s">
        <v>220</v>
      </c>
      <c r="B78" s="294" t="str">
        <f t="shared" si="14"/>
        <v>Orange Color - لون برتقالي</v>
      </c>
      <c r="C78" s="124" t="str">
        <f t="shared" si="14"/>
        <v>gm</v>
      </c>
      <c r="D78" s="116">
        <f t="shared" si="14"/>
        <v>2</v>
      </c>
      <c r="E78" s="280">
        <f t="shared" si="18"/>
        <v>11.764705882352942</v>
      </c>
      <c r="F78" s="299">
        <f t="shared" si="15"/>
        <v>0.75</v>
      </c>
      <c r="G78" s="119">
        <f t="shared" si="16"/>
        <v>23.529411764705884</v>
      </c>
      <c r="H78" s="207">
        <f t="shared" si="17"/>
        <v>17.647058823529413</v>
      </c>
    </row>
    <row r="79" spans="1:8" ht="14.25" customHeight="1" x14ac:dyDescent="0.3">
      <c r="A79" s="128" t="s">
        <v>192</v>
      </c>
      <c r="B79" s="294" t="str">
        <f t="shared" si="14"/>
        <v>Corn Starch - نشا ذرة</v>
      </c>
      <c r="C79" s="124" t="str">
        <f t="shared" si="14"/>
        <v>gm</v>
      </c>
      <c r="D79" s="116">
        <f t="shared" si="14"/>
        <v>25</v>
      </c>
      <c r="E79" s="280">
        <f t="shared" si="18"/>
        <v>11.764705882352942</v>
      </c>
      <c r="F79" s="299">
        <f t="shared" si="15"/>
        <v>1</v>
      </c>
      <c r="G79" s="119">
        <f t="shared" si="16"/>
        <v>294.11764705882354</v>
      </c>
      <c r="H79" s="207">
        <f t="shared" si="17"/>
        <v>294.11764705882354</v>
      </c>
    </row>
    <row r="80" spans="1:8" ht="14.25" customHeight="1" x14ac:dyDescent="0.3">
      <c r="A80" s="128" t="s">
        <v>97</v>
      </c>
      <c r="B80" s="294" t="str">
        <f t="shared" si="14"/>
        <v>Salt - ملح</v>
      </c>
      <c r="C80" s="124" t="str">
        <f t="shared" si="14"/>
        <v>gm</v>
      </c>
      <c r="D80" s="116">
        <f t="shared" si="14"/>
        <v>3</v>
      </c>
      <c r="E80" s="280">
        <f t="shared" si="18"/>
        <v>11.764705882352942</v>
      </c>
      <c r="F80" s="299">
        <f t="shared" si="15"/>
        <v>0.75</v>
      </c>
      <c r="G80" s="119">
        <f t="shared" si="16"/>
        <v>35.294117647058826</v>
      </c>
      <c r="H80" s="207">
        <f t="shared" si="17"/>
        <v>26.47058823529412</v>
      </c>
    </row>
    <row r="81" spans="1:8" ht="14.25" customHeight="1" x14ac:dyDescent="0.3">
      <c r="A81" s="128" t="s">
        <v>97</v>
      </c>
      <c r="B81" s="294" t="str">
        <f t="shared" si="14"/>
        <v>Black Pepper Powder - فلفل أسود مطحون</v>
      </c>
      <c r="C81" s="124" t="str">
        <f t="shared" si="14"/>
        <v>gm</v>
      </c>
      <c r="D81" s="116">
        <f t="shared" si="14"/>
        <v>3</v>
      </c>
      <c r="E81" s="280">
        <f t="shared" si="18"/>
        <v>11.764705882352942</v>
      </c>
      <c r="F81" s="299">
        <f t="shared" si="15"/>
        <v>0.75</v>
      </c>
      <c r="G81" s="119">
        <f t="shared" si="16"/>
        <v>35.294117647058826</v>
      </c>
      <c r="H81" s="207">
        <f t="shared" si="17"/>
        <v>26.47058823529412</v>
      </c>
    </row>
    <row r="82" spans="1:8" ht="14.25" customHeight="1" x14ac:dyDescent="0.3">
      <c r="A82" s="128" t="s">
        <v>158</v>
      </c>
      <c r="B82" s="294" t="str">
        <f t="shared" si="14"/>
        <v>Butter - زبدة</v>
      </c>
      <c r="C82" s="124" t="str">
        <f t="shared" si="14"/>
        <v>gm</v>
      </c>
      <c r="D82" s="116">
        <f t="shared" si="14"/>
        <v>20</v>
      </c>
      <c r="E82" s="280">
        <f t="shared" si="18"/>
        <v>11.764705882352942</v>
      </c>
      <c r="F82" s="299">
        <f t="shared" si="15"/>
        <v>1</v>
      </c>
      <c r="G82" s="119">
        <f t="shared" si="16"/>
        <v>235.29411764705884</v>
      </c>
      <c r="H82" s="207">
        <f t="shared" si="17"/>
        <v>235.29411764705884</v>
      </c>
    </row>
    <row r="83" spans="1:8" ht="14.25" customHeight="1" x14ac:dyDescent="0.3">
      <c r="A83" s="79" t="s">
        <v>186</v>
      </c>
      <c r="B83" s="294" t="str">
        <f t="shared" si="14"/>
        <v>Honey - عسل</v>
      </c>
      <c r="C83" s="124" t="str">
        <f t="shared" si="14"/>
        <v>gm</v>
      </c>
      <c r="D83" s="116">
        <f t="shared" si="14"/>
        <v>50</v>
      </c>
      <c r="E83" s="280">
        <f t="shared" si="18"/>
        <v>11.764705882352942</v>
      </c>
      <c r="F83" s="299">
        <f t="shared" si="15"/>
        <v>1</v>
      </c>
      <c r="G83" s="119">
        <f t="shared" si="16"/>
        <v>588.23529411764707</v>
      </c>
      <c r="H83" s="207">
        <f t="shared" si="17"/>
        <v>588.23529411764707</v>
      </c>
    </row>
    <row r="84" spans="1:8" ht="20.25" customHeight="1" x14ac:dyDescent="0.3">
      <c r="A84" s="211"/>
      <c r="B84" s="198" t="s">
        <v>299</v>
      </c>
      <c r="C84" s="200" t="s">
        <v>285</v>
      </c>
      <c r="E84" s="200" t="s">
        <v>300</v>
      </c>
      <c r="G84" s="890" t="s">
        <v>276</v>
      </c>
      <c r="H84" s="890" t="s">
        <v>733</v>
      </c>
    </row>
    <row r="85" spans="1:8" ht="21.5" customHeight="1" x14ac:dyDescent="0.4">
      <c r="A85" s="211"/>
      <c r="B85" s="199">
        <f>$J$53</f>
        <v>14493.173999999999</v>
      </c>
      <c r="C85" s="199">
        <f>E85+G85</f>
        <v>10000</v>
      </c>
      <c r="D85" s="930"/>
      <c r="E85" s="199">
        <f>$D$53*$S$44</f>
        <v>4347.826</v>
      </c>
      <c r="F85" s="934"/>
      <c r="G85" s="199">
        <f>$D$53*$T$44</f>
        <v>5652.174</v>
      </c>
      <c r="H85" s="199">
        <f>B85+E85</f>
        <v>18841</v>
      </c>
    </row>
    <row r="86" spans="1:8" ht="14.25" customHeight="1" x14ac:dyDescent="0.3">
      <c r="B86" s="100"/>
      <c r="E86" s="100"/>
      <c r="F86" s="100"/>
    </row>
    <row r="87" spans="1:8" ht="17.75" customHeight="1" x14ac:dyDescent="0.3">
      <c r="A87" s="937"/>
      <c r="B87" s="1413" t="str">
        <f>"دجاج صيني دفعة 2 / " &amp; COUNTIF($C$53:$C$55, "&gt;0")</f>
        <v>دجاج صيني دفعة 2 / 2</v>
      </c>
      <c r="C87" s="1424"/>
      <c r="D87" s="1424"/>
      <c r="E87" s="1424"/>
      <c r="F87" s="1424"/>
      <c r="G87" s="1424"/>
      <c r="H87" s="1424"/>
    </row>
    <row r="88" spans="1:8" ht="17.75" customHeight="1" x14ac:dyDescent="0.3">
      <c r="A88" s="937"/>
      <c r="B88" s="1382" t="str">
        <f>"Chinese Chicken 2 / " &amp; COUNTIF($C$53:$C$55, "&gt;0")</f>
        <v>Chinese Chicken 2 / 2</v>
      </c>
      <c r="C88" s="1383"/>
      <c r="D88" s="1383"/>
      <c r="E88" s="1383"/>
      <c r="F88" s="1383"/>
      <c r="G88" s="1383"/>
      <c r="H88" s="1383"/>
    </row>
    <row r="89" spans="1:8" ht="52.25" customHeight="1" x14ac:dyDescent="0.25">
      <c r="A89" s="91"/>
      <c r="B89" s="91" t="s">
        <v>253</v>
      </c>
      <c r="C89" s="107" t="s">
        <v>254</v>
      </c>
      <c r="D89" s="91" t="s">
        <v>243</v>
      </c>
      <c r="E89" s="108" t="s">
        <v>246</v>
      </c>
      <c r="F89" s="108" t="s">
        <v>255</v>
      </c>
      <c r="G89" s="91" t="s">
        <v>256</v>
      </c>
      <c r="H89" s="109" t="s">
        <v>257</v>
      </c>
    </row>
    <row r="90" spans="1:8" ht="14.25" customHeight="1" x14ac:dyDescent="0.3">
      <c r="A90" s="128" t="s">
        <v>230</v>
      </c>
      <c r="B90" s="294" t="str">
        <f t="shared" ref="B90:D108" si="19">B5</f>
        <v>Chicken - دجاج</v>
      </c>
      <c r="C90" s="124" t="str">
        <f t="shared" si="19"/>
        <v>gm</v>
      </c>
      <c r="D90" s="116">
        <f t="shared" si="19"/>
        <v>2456.4701694915252</v>
      </c>
      <c r="E90" s="223">
        <f>H54</f>
        <v>7.0584282801523806</v>
      </c>
      <c r="F90" s="299">
        <f t="shared" ref="F90:F108" si="20">F5</f>
        <v>1</v>
      </c>
      <c r="G90" s="119">
        <f t="shared" ref="G90:G108" si="21">D90*E90</f>
        <v>17338.818513689694</v>
      </c>
      <c r="H90" s="207">
        <f t="shared" ref="H90:H108" si="22">G90*F90</f>
        <v>17338.818513689694</v>
      </c>
    </row>
    <row r="91" spans="1:8" ht="14.25" customHeight="1" x14ac:dyDescent="0.3">
      <c r="A91" s="128" t="s">
        <v>13</v>
      </c>
      <c r="B91" s="294" t="str">
        <f t="shared" si="19"/>
        <v>Onion - بصل</v>
      </c>
      <c r="C91" s="124" t="str">
        <f t="shared" si="19"/>
        <v>gm</v>
      </c>
      <c r="D91" s="125">
        <f t="shared" si="19"/>
        <v>150</v>
      </c>
      <c r="E91" s="223">
        <f t="shared" ref="E91:E108" si="23">$C$54</f>
        <v>9.5650075414781384</v>
      </c>
      <c r="F91" s="299">
        <f t="shared" si="20"/>
        <v>0.95</v>
      </c>
      <c r="G91" s="119">
        <f t="shared" si="21"/>
        <v>1434.7511312217207</v>
      </c>
      <c r="H91" s="207">
        <f t="shared" si="22"/>
        <v>1363.0135746606345</v>
      </c>
    </row>
    <row r="92" spans="1:8" ht="14.25" customHeight="1" x14ac:dyDescent="0.3">
      <c r="A92" s="128" t="s">
        <v>13</v>
      </c>
      <c r="B92" s="294" t="str">
        <f t="shared" si="19"/>
        <v>Green Bell Pepper - فلفل أخضر رومى</v>
      </c>
      <c r="C92" s="124" t="str">
        <f t="shared" si="19"/>
        <v>gm</v>
      </c>
      <c r="D92" s="125">
        <f t="shared" si="19"/>
        <v>50</v>
      </c>
      <c r="E92" s="223">
        <f t="shared" si="23"/>
        <v>9.5650075414781384</v>
      </c>
      <c r="F92" s="299">
        <f t="shared" si="20"/>
        <v>0.95</v>
      </c>
      <c r="G92" s="119">
        <f t="shared" si="21"/>
        <v>478.25037707390692</v>
      </c>
      <c r="H92" s="207">
        <f t="shared" si="22"/>
        <v>454.33785822021156</v>
      </c>
    </row>
    <row r="93" spans="1:8" ht="14.25" customHeight="1" x14ac:dyDescent="0.3">
      <c r="A93" s="128" t="s">
        <v>13</v>
      </c>
      <c r="B93" s="294" t="str">
        <f t="shared" si="19"/>
        <v xml:space="preserve">Red Bell Pepper - فلفل أحمر </v>
      </c>
      <c r="C93" s="124" t="str">
        <f t="shared" si="19"/>
        <v>gm</v>
      </c>
      <c r="D93" s="125">
        <f t="shared" si="19"/>
        <v>50</v>
      </c>
      <c r="E93" s="223">
        <f t="shared" si="23"/>
        <v>9.5650075414781384</v>
      </c>
      <c r="F93" s="299">
        <f t="shared" si="20"/>
        <v>0.95</v>
      </c>
      <c r="G93" s="119">
        <f t="shared" si="21"/>
        <v>478.25037707390692</v>
      </c>
      <c r="H93" s="207">
        <f t="shared" si="22"/>
        <v>454.33785822021156</v>
      </c>
    </row>
    <row r="94" spans="1:8" ht="14.25" customHeight="1" x14ac:dyDescent="0.3">
      <c r="A94" s="128" t="s">
        <v>13</v>
      </c>
      <c r="B94" s="294" t="str">
        <f t="shared" si="19"/>
        <v xml:space="preserve">Yellow Bell Pepper - فلفل أصفر </v>
      </c>
      <c r="C94" s="124" t="str">
        <f t="shared" si="19"/>
        <v>gm</v>
      </c>
      <c r="D94" s="125">
        <f t="shared" si="19"/>
        <v>50</v>
      </c>
      <c r="E94" s="223">
        <f t="shared" si="23"/>
        <v>9.5650075414781384</v>
      </c>
      <c r="F94" s="299">
        <f t="shared" si="20"/>
        <v>0.95</v>
      </c>
      <c r="G94" s="119">
        <f t="shared" si="21"/>
        <v>478.25037707390692</v>
      </c>
      <c r="H94" s="207">
        <f t="shared" si="22"/>
        <v>454.33785822021156</v>
      </c>
    </row>
    <row r="95" spans="1:8" ht="14.25" customHeight="1" x14ac:dyDescent="0.3">
      <c r="A95" s="128" t="s">
        <v>13</v>
      </c>
      <c r="B95" s="294" t="str">
        <f t="shared" si="19"/>
        <v>Garlic - ثوم مقشر</v>
      </c>
      <c r="C95" s="124" t="str">
        <f t="shared" si="19"/>
        <v>gm</v>
      </c>
      <c r="D95" s="125">
        <f t="shared" si="19"/>
        <v>40</v>
      </c>
      <c r="E95" s="223">
        <f t="shared" si="23"/>
        <v>9.5650075414781384</v>
      </c>
      <c r="F95" s="299">
        <f t="shared" si="20"/>
        <v>0.9</v>
      </c>
      <c r="G95" s="119">
        <f t="shared" si="21"/>
        <v>382.60030165912553</v>
      </c>
      <c r="H95" s="207">
        <f t="shared" si="22"/>
        <v>344.34027149321298</v>
      </c>
    </row>
    <row r="96" spans="1:8" ht="14.25" customHeight="1" x14ac:dyDescent="0.3">
      <c r="A96" s="128" t="s">
        <v>57</v>
      </c>
      <c r="B96" s="294" t="str">
        <f t="shared" si="19"/>
        <v>Ginger - زنجبيل</v>
      </c>
      <c r="C96" s="124" t="str">
        <f t="shared" si="19"/>
        <v>gm</v>
      </c>
      <c r="D96" s="125">
        <f t="shared" si="19"/>
        <v>25</v>
      </c>
      <c r="E96" s="223">
        <f t="shared" si="23"/>
        <v>9.5650075414781384</v>
      </c>
      <c r="F96" s="299">
        <f t="shared" si="20"/>
        <v>0.6</v>
      </c>
      <c r="G96" s="119">
        <f t="shared" si="21"/>
        <v>239.12518853695346</v>
      </c>
      <c r="H96" s="207">
        <f t="shared" si="22"/>
        <v>143.47511312217208</v>
      </c>
    </row>
    <row r="97" spans="1:8" ht="14.25" customHeight="1" x14ac:dyDescent="0.3">
      <c r="A97" s="128" t="s">
        <v>196</v>
      </c>
      <c r="B97" s="294" t="str">
        <f t="shared" si="19"/>
        <v>Light Soy Sauce - صويا صوص خفيف</v>
      </c>
      <c r="C97" s="124" t="str">
        <f t="shared" si="19"/>
        <v>ml</v>
      </c>
      <c r="D97" s="125">
        <f t="shared" si="19"/>
        <v>25</v>
      </c>
      <c r="E97" s="223">
        <f t="shared" si="23"/>
        <v>9.5650075414781384</v>
      </c>
      <c r="F97" s="299">
        <f t="shared" si="20"/>
        <v>0.9</v>
      </c>
      <c r="G97" s="119">
        <f t="shared" si="21"/>
        <v>239.12518853695346</v>
      </c>
      <c r="H97" s="207">
        <f t="shared" si="22"/>
        <v>215.21266968325813</v>
      </c>
    </row>
    <row r="98" spans="1:8" ht="14.25" customHeight="1" x14ac:dyDescent="0.3">
      <c r="A98" s="128" t="s">
        <v>196</v>
      </c>
      <c r="B98" s="294" t="str">
        <f t="shared" si="19"/>
        <v>Sweet Soy Sauce - صويا صوص حلو</v>
      </c>
      <c r="C98" s="124" t="str">
        <f t="shared" si="19"/>
        <v>ml</v>
      </c>
      <c r="D98" s="125">
        <f t="shared" si="19"/>
        <v>17</v>
      </c>
      <c r="E98" s="223">
        <f t="shared" si="23"/>
        <v>9.5650075414781384</v>
      </c>
      <c r="F98" s="299">
        <f t="shared" si="20"/>
        <v>1</v>
      </c>
      <c r="G98" s="119">
        <f t="shared" si="21"/>
        <v>162.60512820512835</v>
      </c>
      <c r="H98" s="207">
        <f t="shared" si="22"/>
        <v>162.60512820512835</v>
      </c>
    </row>
    <row r="99" spans="1:8" ht="14.25" customHeight="1" x14ac:dyDescent="0.3">
      <c r="A99" s="128" t="s">
        <v>196</v>
      </c>
      <c r="B99" s="294" t="str">
        <f t="shared" si="19"/>
        <v>Sriracha Sauce - صوص سريراتشا</v>
      </c>
      <c r="C99" s="124" t="str">
        <f t="shared" si="19"/>
        <v>ml</v>
      </c>
      <c r="D99" s="125">
        <f t="shared" si="19"/>
        <v>35</v>
      </c>
      <c r="E99" s="223">
        <f t="shared" si="23"/>
        <v>9.5650075414781384</v>
      </c>
      <c r="F99" s="299">
        <f t="shared" si="20"/>
        <v>0.75</v>
      </c>
      <c r="G99" s="119">
        <f t="shared" si="21"/>
        <v>334.77526395173481</v>
      </c>
      <c r="H99" s="207">
        <f t="shared" si="22"/>
        <v>251.08144796380111</v>
      </c>
    </row>
    <row r="100" spans="1:8" ht="14.25" customHeight="1" x14ac:dyDescent="0.3">
      <c r="A100" s="128" t="s">
        <v>210</v>
      </c>
      <c r="B100" s="294" t="str">
        <f t="shared" si="19"/>
        <v>Vinegar - خل</v>
      </c>
      <c r="C100" s="124" t="str">
        <f t="shared" si="19"/>
        <v>ml</v>
      </c>
      <c r="D100" s="125">
        <f t="shared" si="19"/>
        <v>15</v>
      </c>
      <c r="E100" s="223">
        <f t="shared" si="23"/>
        <v>9.5650075414781384</v>
      </c>
      <c r="F100" s="299">
        <f t="shared" si="20"/>
        <v>1</v>
      </c>
      <c r="G100" s="119">
        <f t="shared" si="21"/>
        <v>143.47511312217208</v>
      </c>
      <c r="H100" s="207">
        <f t="shared" si="22"/>
        <v>143.47511312217208</v>
      </c>
    </row>
    <row r="101" spans="1:8" ht="14.25" customHeight="1" x14ac:dyDescent="0.3">
      <c r="A101" s="128" t="s">
        <v>210</v>
      </c>
      <c r="B101" s="294" t="str">
        <f t="shared" si="19"/>
        <v>Water - ماء</v>
      </c>
      <c r="C101" s="124" t="str">
        <f t="shared" si="19"/>
        <v>ml</v>
      </c>
      <c r="D101" s="125">
        <f t="shared" si="19"/>
        <v>150</v>
      </c>
      <c r="E101" s="223">
        <f t="shared" si="23"/>
        <v>9.5650075414781384</v>
      </c>
      <c r="F101" s="299">
        <f t="shared" si="20"/>
        <v>1</v>
      </c>
      <c r="G101" s="119">
        <f t="shared" si="21"/>
        <v>1434.7511312217207</v>
      </c>
      <c r="H101" s="207">
        <f t="shared" si="22"/>
        <v>1434.7511312217207</v>
      </c>
    </row>
    <row r="102" spans="1:8" ht="14.25" customHeight="1" x14ac:dyDescent="0.3">
      <c r="A102" s="128" t="s">
        <v>196</v>
      </c>
      <c r="B102" s="294" t="str">
        <f t="shared" si="19"/>
        <v>Tomato Ketchup - كاتشب طماطم</v>
      </c>
      <c r="C102" s="124" t="str">
        <f t="shared" si="19"/>
        <v>ml</v>
      </c>
      <c r="D102" s="125">
        <f t="shared" si="19"/>
        <v>350</v>
      </c>
      <c r="E102" s="223">
        <f t="shared" si="23"/>
        <v>9.5650075414781384</v>
      </c>
      <c r="F102" s="299">
        <f t="shared" si="20"/>
        <v>1</v>
      </c>
      <c r="G102" s="119">
        <f t="shared" si="21"/>
        <v>3347.7526395173486</v>
      </c>
      <c r="H102" s="207">
        <f t="shared" si="22"/>
        <v>3347.7526395173486</v>
      </c>
    </row>
    <row r="103" spans="1:8" ht="14.25" customHeight="1" x14ac:dyDescent="0.3">
      <c r="A103" s="128" t="s">
        <v>220</v>
      </c>
      <c r="B103" s="294" t="str">
        <f t="shared" si="19"/>
        <v>Orange Color - لون برتقالي</v>
      </c>
      <c r="C103" s="124" t="str">
        <f t="shared" si="19"/>
        <v>gm</v>
      </c>
      <c r="D103" s="125">
        <f t="shared" si="19"/>
        <v>2</v>
      </c>
      <c r="E103" s="223">
        <f t="shared" si="23"/>
        <v>9.5650075414781384</v>
      </c>
      <c r="F103" s="299">
        <f t="shared" si="20"/>
        <v>0.75</v>
      </c>
      <c r="G103" s="119">
        <f t="shared" si="21"/>
        <v>19.130015082956277</v>
      </c>
      <c r="H103" s="207">
        <f t="shared" si="22"/>
        <v>14.347511312217208</v>
      </c>
    </row>
    <row r="104" spans="1:8" ht="14.25" customHeight="1" x14ac:dyDescent="0.3">
      <c r="A104" s="128" t="s">
        <v>192</v>
      </c>
      <c r="B104" s="294" t="str">
        <f t="shared" si="19"/>
        <v>Corn Starch - نشا ذرة</v>
      </c>
      <c r="C104" s="124" t="str">
        <f t="shared" si="19"/>
        <v>gm</v>
      </c>
      <c r="D104" s="125">
        <f t="shared" si="19"/>
        <v>25</v>
      </c>
      <c r="E104" s="223">
        <f t="shared" si="23"/>
        <v>9.5650075414781384</v>
      </c>
      <c r="F104" s="299">
        <f t="shared" si="20"/>
        <v>1</v>
      </c>
      <c r="G104" s="119">
        <f t="shared" si="21"/>
        <v>239.12518853695346</v>
      </c>
      <c r="H104" s="207">
        <f t="shared" si="22"/>
        <v>239.12518853695346</v>
      </c>
    </row>
    <row r="105" spans="1:8" ht="14.25" customHeight="1" x14ac:dyDescent="0.3">
      <c r="A105" s="128" t="s">
        <v>97</v>
      </c>
      <c r="B105" s="294" t="str">
        <f t="shared" si="19"/>
        <v>Salt - ملح</v>
      </c>
      <c r="C105" s="124" t="str">
        <f t="shared" si="19"/>
        <v>gm</v>
      </c>
      <c r="D105" s="125">
        <f t="shared" si="19"/>
        <v>3</v>
      </c>
      <c r="E105" s="223">
        <f t="shared" si="23"/>
        <v>9.5650075414781384</v>
      </c>
      <c r="F105" s="299">
        <f t="shared" si="20"/>
        <v>0.75</v>
      </c>
      <c r="G105" s="119">
        <f t="shared" si="21"/>
        <v>28.695022624434415</v>
      </c>
      <c r="H105" s="207">
        <f t="shared" si="22"/>
        <v>21.521266968325811</v>
      </c>
    </row>
    <row r="106" spans="1:8" ht="14.25" customHeight="1" x14ac:dyDescent="0.3">
      <c r="A106" s="128" t="s">
        <v>97</v>
      </c>
      <c r="B106" s="294" t="str">
        <f t="shared" si="19"/>
        <v>Black Pepper Powder - فلفل أسود مطحون</v>
      </c>
      <c r="C106" s="124" t="str">
        <f t="shared" si="19"/>
        <v>gm</v>
      </c>
      <c r="D106" s="125">
        <f t="shared" si="19"/>
        <v>3</v>
      </c>
      <c r="E106" s="223">
        <f t="shared" si="23"/>
        <v>9.5650075414781384</v>
      </c>
      <c r="F106" s="299">
        <f t="shared" si="20"/>
        <v>0.75</v>
      </c>
      <c r="G106" s="119">
        <f t="shared" si="21"/>
        <v>28.695022624434415</v>
      </c>
      <c r="H106" s="207">
        <f t="shared" si="22"/>
        <v>21.521266968325811</v>
      </c>
    </row>
    <row r="107" spans="1:8" ht="14.25" customHeight="1" x14ac:dyDescent="0.3">
      <c r="A107" s="128" t="s">
        <v>158</v>
      </c>
      <c r="B107" s="294" t="str">
        <f t="shared" si="19"/>
        <v>Butter - زبدة</v>
      </c>
      <c r="C107" s="124" t="str">
        <f t="shared" si="19"/>
        <v>gm</v>
      </c>
      <c r="D107" s="125">
        <f t="shared" si="19"/>
        <v>20</v>
      </c>
      <c r="E107" s="223">
        <f t="shared" si="23"/>
        <v>9.5650075414781384</v>
      </c>
      <c r="F107" s="299">
        <f t="shared" si="20"/>
        <v>1</v>
      </c>
      <c r="G107" s="119">
        <f t="shared" si="21"/>
        <v>191.30015082956277</v>
      </c>
      <c r="H107" s="207">
        <f t="shared" si="22"/>
        <v>191.30015082956277</v>
      </c>
    </row>
    <row r="108" spans="1:8" ht="14.25" customHeight="1" x14ac:dyDescent="0.3">
      <c r="A108" s="79" t="s">
        <v>186</v>
      </c>
      <c r="B108" s="294" t="str">
        <f t="shared" si="19"/>
        <v>Honey - عسل</v>
      </c>
      <c r="C108" s="124" t="str">
        <f t="shared" si="19"/>
        <v>gm</v>
      </c>
      <c r="D108" s="125">
        <f t="shared" si="19"/>
        <v>50</v>
      </c>
      <c r="E108" s="223">
        <f t="shared" si="23"/>
        <v>9.5650075414781384</v>
      </c>
      <c r="F108" s="299">
        <f t="shared" si="20"/>
        <v>1</v>
      </c>
      <c r="G108" s="119">
        <f t="shared" si="21"/>
        <v>478.25037707390692</v>
      </c>
      <c r="H108" s="207">
        <f t="shared" si="22"/>
        <v>478.25037707390692</v>
      </c>
    </row>
    <row r="109" spans="1:8" ht="20.25" customHeight="1" x14ac:dyDescent="0.3">
      <c r="A109" s="211"/>
      <c r="B109" s="198" t="s">
        <v>299</v>
      </c>
      <c r="C109" s="200" t="s">
        <v>285</v>
      </c>
      <c r="E109" s="200" t="s">
        <v>300</v>
      </c>
      <c r="G109" s="890" t="s">
        <v>276</v>
      </c>
      <c r="H109" s="890" t="s">
        <v>733</v>
      </c>
    </row>
    <row r="110" spans="1:8" ht="20" x14ac:dyDescent="0.4">
      <c r="A110" s="211"/>
      <c r="B110" s="199">
        <f>$J$54</f>
        <v>10229.902923076919</v>
      </c>
      <c r="C110" s="199">
        <f>E110+G110</f>
        <v>8130.2564102564174</v>
      </c>
      <c r="D110" s="930"/>
      <c r="E110" s="199">
        <f>$D$54*$S$44</f>
        <v>3534.8940207179517</v>
      </c>
      <c r="F110" s="934"/>
      <c r="G110" s="199">
        <f>$D$54*$T$44</f>
        <v>4595.3623895384653</v>
      </c>
      <c r="H110" s="199">
        <f>B110+E110</f>
        <v>13764.79694379487</v>
      </c>
    </row>
    <row r="112" spans="1:8" x14ac:dyDescent="0.3">
      <c r="A112" s="937"/>
      <c r="B112" s="1413" t="str">
        <f>"دجاج صيني دفعة 3 / " &amp; COUNTIF($C$53:$C$55, "&gt;0")</f>
        <v>دجاج صيني دفعة 3 / 2</v>
      </c>
      <c r="C112" s="1424"/>
      <c r="D112" s="1424"/>
      <c r="E112" s="1424"/>
      <c r="F112" s="1424"/>
      <c r="G112" s="1424"/>
      <c r="H112" s="1424"/>
    </row>
    <row r="113" spans="1:8" x14ac:dyDescent="0.3">
      <c r="A113" s="937"/>
      <c r="B113" s="1382" t="str">
        <f>"Chinese Chicken 3 / " &amp; COUNTIF($C$53:$C$55, "&gt;0")</f>
        <v>Chinese Chicken 3 / 2</v>
      </c>
      <c r="C113" s="1383"/>
      <c r="D113" s="1383"/>
      <c r="E113" s="1383"/>
      <c r="F113" s="1383"/>
      <c r="G113" s="1383"/>
      <c r="H113" s="1383"/>
    </row>
    <row r="114" spans="1:8" ht="26" x14ac:dyDescent="0.25">
      <c r="A114" s="91"/>
      <c r="B114" s="91" t="s">
        <v>253</v>
      </c>
      <c r="C114" s="107" t="s">
        <v>254</v>
      </c>
      <c r="D114" s="91" t="s">
        <v>243</v>
      </c>
      <c r="E114" s="108" t="s">
        <v>246</v>
      </c>
      <c r="F114" s="108" t="s">
        <v>255</v>
      </c>
      <c r="G114" s="91" t="s">
        <v>256</v>
      </c>
      <c r="H114" s="109" t="s">
        <v>257</v>
      </c>
    </row>
    <row r="115" spans="1:8" x14ac:dyDescent="0.3">
      <c r="A115" s="128" t="s">
        <v>230</v>
      </c>
      <c r="B115" s="294" t="str">
        <f>B5</f>
        <v>Chicken - دجاج</v>
      </c>
      <c r="C115" s="294" t="str">
        <f t="shared" ref="C115:D115" si="24">C5</f>
        <v>gm</v>
      </c>
      <c r="D115" s="294">
        <f t="shared" si="24"/>
        <v>2456.4701694915252</v>
      </c>
      <c r="E115" s="351">
        <f>H55</f>
        <v>0</v>
      </c>
      <c r="F115" s="299">
        <f>F5</f>
        <v>1</v>
      </c>
      <c r="G115" s="119">
        <f t="shared" ref="G115:G133" si="25">D115*E115</f>
        <v>0</v>
      </c>
      <c r="H115" s="207">
        <f t="shared" ref="H115:H133" si="26">G115*F115</f>
        <v>0</v>
      </c>
    </row>
    <row r="116" spans="1:8" x14ac:dyDescent="0.3">
      <c r="A116" s="128" t="s">
        <v>13</v>
      </c>
      <c r="B116" s="294" t="str">
        <f t="shared" ref="B116:D116" si="27">B6</f>
        <v>Onion - بصل</v>
      </c>
      <c r="C116" s="294" t="str">
        <f t="shared" si="27"/>
        <v>gm</v>
      </c>
      <c r="D116" s="294">
        <f t="shared" si="27"/>
        <v>150</v>
      </c>
      <c r="E116" s="351">
        <f>$C$55</f>
        <v>0</v>
      </c>
      <c r="F116" s="299">
        <f t="shared" ref="F116:F133" si="28">F6</f>
        <v>0.95</v>
      </c>
      <c r="G116" s="119">
        <f t="shared" si="25"/>
        <v>0</v>
      </c>
      <c r="H116" s="207">
        <f t="shared" si="26"/>
        <v>0</v>
      </c>
    </row>
    <row r="117" spans="1:8" x14ac:dyDescent="0.3">
      <c r="A117" s="128" t="s">
        <v>13</v>
      </c>
      <c r="B117" s="294" t="str">
        <f t="shared" ref="B117:D117" si="29">B7</f>
        <v>Green Bell Pepper - فلفل أخضر رومى</v>
      </c>
      <c r="C117" s="294" t="str">
        <f t="shared" si="29"/>
        <v>gm</v>
      </c>
      <c r="D117" s="294">
        <f t="shared" si="29"/>
        <v>50</v>
      </c>
      <c r="E117" s="351">
        <f t="shared" ref="E117:E133" si="30">$C$55</f>
        <v>0</v>
      </c>
      <c r="F117" s="299">
        <f t="shared" si="28"/>
        <v>0.95</v>
      </c>
      <c r="G117" s="119">
        <f t="shared" si="25"/>
        <v>0</v>
      </c>
      <c r="H117" s="207">
        <f t="shared" si="26"/>
        <v>0</v>
      </c>
    </row>
    <row r="118" spans="1:8" x14ac:dyDescent="0.3">
      <c r="A118" s="128" t="s">
        <v>13</v>
      </c>
      <c r="B118" s="294" t="str">
        <f t="shared" ref="B118:D118" si="31">B8</f>
        <v xml:space="preserve">Red Bell Pepper - فلفل أحمر </v>
      </c>
      <c r="C118" s="294" t="str">
        <f t="shared" si="31"/>
        <v>gm</v>
      </c>
      <c r="D118" s="294">
        <f t="shared" si="31"/>
        <v>50</v>
      </c>
      <c r="E118" s="351">
        <f t="shared" si="30"/>
        <v>0</v>
      </c>
      <c r="F118" s="299">
        <f t="shared" si="28"/>
        <v>0.95</v>
      </c>
      <c r="G118" s="119">
        <f t="shared" si="25"/>
        <v>0</v>
      </c>
      <c r="H118" s="207">
        <f t="shared" si="26"/>
        <v>0</v>
      </c>
    </row>
    <row r="119" spans="1:8" x14ac:dyDescent="0.3">
      <c r="A119" s="128" t="s">
        <v>13</v>
      </c>
      <c r="B119" s="294" t="str">
        <f t="shared" ref="B119:D119" si="32">B9</f>
        <v xml:space="preserve">Yellow Bell Pepper - فلفل أصفر </v>
      </c>
      <c r="C119" s="294" t="str">
        <f t="shared" si="32"/>
        <v>gm</v>
      </c>
      <c r="D119" s="294">
        <f t="shared" si="32"/>
        <v>50</v>
      </c>
      <c r="E119" s="351">
        <f t="shared" si="30"/>
        <v>0</v>
      </c>
      <c r="F119" s="299">
        <f t="shared" si="28"/>
        <v>0.95</v>
      </c>
      <c r="G119" s="119">
        <f t="shared" si="25"/>
        <v>0</v>
      </c>
      <c r="H119" s="207">
        <f t="shared" si="26"/>
        <v>0</v>
      </c>
    </row>
    <row r="120" spans="1:8" x14ac:dyDescent="0.3">
      <c r="A120" s="128" t="s">
        <v>13</v>
      </c>
      <c r="B120" s="294" t="str">
        <f t="shared" ref="B120:D120" si="33">B10</f>
        <v>Garlic - ثوم مقشر</v>
      </c>
      <c r="C120" s="294" t="str">
        <f t="shared" si="33"/>
        <v>gm</v>
      </c>
      <c r="D120" s="294">
        <f t="shared" si="33"/>
        <v>40</v>
      </c>
      <c r="E120" s="351">
        <f t="shared" si="30"/>
        <v>0</v>
      </c>
      <c r="F120" s="299">
        <f t="shared" si="28"/>
        <v>0.9</v>
      </c>
      <c r="G120" s="119">
        <f t="shared" si="25"/>
        <v>0</v>
      </c>
      <c r="H120" s="207">
        <f t="shared" si="26"/>
        <v>0</v>
      </c>
    </row>
    <row r="121" spans="1:8" x14ac:dyDescent="0.3">
      <c r="A121" s="128" t="s">
        <v>57</v>
      </c>
      <c r="B121" s="294" t="str">
        <f t="shared" ref="B121:D121" si="34">B11</f>
        <v>Ginger - زنجبيل</v>
      </c>
      <c r="C121" s="294" t="str">
        <f t="shared" si="34"/>
        <v>gm</v>
      </c>
      <c r="D121" s="294">
        <f t="shared" si="34"/>
        <v>25</v>
      </c>
      <c r="E121" s="351">
        <f t="shared" si="30"/>
        <v>0</v>
      </c>
      <c r="F121" s="299">
        <f t="shared" si="28"/>
        <v>0.6</v>
      </c>
      <c r="G121" s="119">
        <f t="shared" si="25"/>
        <v>0</v>
      </c>
      <c r="H121" s="207">
        <f t="shared" si="26"/>
        <v>0</v>
      </c>
    </row>
    <row r="122" spans="1:8" x14ac:dyDescent="0.3">
      <c r="A122" s="128" t="s">
        <v>196</v>
      </c>
      <c r="B122" s="294" t="str">
        <f t="shared" ref="B122:D122" si="35">B12</f>
        <v>Light Soy Sauce - صويا صوص خفيف</v>
      </c>
      <c r="C122" s="294" t="str">
        <f t="shared" si="35"/>
        <v>ml</v>
      </c>
      <c r="D122" s="294">
        <f t="shared" si="35"/>
        <v>25</v>
      </c>
      <c r="E122" s="351">
        <f t="shared" si="30"/>
        <v>0</v>
      </c>
      <c r="F122" s="299">
        <f t="shared" si="28"/>
        <v>0.9</v>
      </c>
      <c r="G122" s="119">
        <f t="shared" si="25"/>
        <v>0</v>
      </c>
      <c r="H122" s="207">
        <f t="shared" si="26"/>
        <v>0</v>
      </c>
    </row>
    <row r="123" spans="1:8" x14ac:dyDescent="0.3">
      <c r="A123" s="128" t="s">
        <v>196</v>
      </c>
      <c r="B123" s="294" t="str">
        <f t="shared" ref="B123:D123" si="36">B13</f>
        <v>Sweet Soy Sauce - صويا صوص حلو</v>
      </c>
      <c r="C123" s="294" t="str">
        <f t="shared" si="36"/>
        <v>ml</v>
      </c>
      <c r="D123" s="294">
        <f t="shared" si="36"/>
        <v>17</v>
      </c>
      <c r="E123" s="351">
        <f t="shared" si="30"/>
        <v>0</v>
      </c>
      <c r="F123" s="299">
        <f t="shared" si="28"/>
        <v>1</v>
      </c>
      <c r="G123" s="119">
        <f t="shared" si="25"/>
        <v>0</v>
      </c>
      <c r="H123" s="207">
        <f t="shared" si="26"/>
        <v>0</v>
      </c>
    </row>
    <row r="124" spans="1:8" x14ac:dyDescent="0.3">
      <c r="A124" s="128" t="s">
        <v>196</v>
      </c>
      <c r="B124" s="294" t="str">
        <f t="shared" ref="B124:D124" si="37">B14</f>
        <v>Sriracha Sauce - صوص سريراتشا</v>
      </c>
      <c r="C124" s="294" t="str">
        <f t="shared" si="37"/>
        <v>ml</v>
      </c>
      <c r="D124" s="294">
        <f t="shared" si="37"/>
        <v>35</v>
      </c>
      <c r="E124" s="351">
        <f t="shared" si="30"/>
        <v>0</v>
      </c>
      <c r="F124" s="299">
        <f t="shared" si="28"/>
        <v>0.75</v>
      </c>
      <c r="G124" s="119">
        <f t="shared" si="25"/>
        <v>0</v>
      </c>
      <c r="H124" s="207">
        <f t="shared" si="26"/>
        <v>0</v>
      </c>
    </row>
    <row r="125" spans="1:8" x14ac:dyDescent="0.3">
      <c r="A125" s="128" t="s">
        <v>210</v>
      </c>
      <c r="B125" s="294" t="str">
        <f t="shared" ref="B125:D125" si="38">B15</f>
        <v>Vinegar - خل</v>
      </c>
      <c r="C125" s="294" t="str">
        <f t="shared" si="38"/>
        <v>ml</v>
      </c>
      <c r="D125" s="294">
        <f t="shared" si="38"/>
        <v>15</v>
      </c>
      <c r="E125" s="351">
        <f t="shared" si="30"/>
        <v>0</v>
      </c>
      <c r="F125" s="299">
        <f t="shared" si="28"/>
        <v>1</v>
      </c>
      <c r="G125" s="119">
        <f t="shared" si="25"/>
        <v>0</v>
      </c>
      <c r="H125" s="207">
        <f t="shared" si="26"/>
        <v>0</v>
      </c>
    </row>
    <row r="126" spans="1:8" x14ac:dyDescent="0.3">
      <c r="A126" s="128" t="s">
        <v>210</v>
      </c>
      <c r="B126" s="294" t="str">
        <f t="shared" ref="B126:D126" si="39">B16</f>
        <v>Water - ماء</v>
      </c>
      <c r="C126" s="294" t="str">
        <f t="shared" si="39"/>
        <v>ml</v>
      </c>
      <c r="D126" s="294">
        <f t="shared" si="39"/>
        <v>150</v>
      </c>
      <c r="E126" s="351">
        <f t="shared" si="30"/>
        <v>0</v>
      </c>
      <c r="F126" s="299">
        <f t="shared" si="28"/>
        <v>1</v>
      </c>
      <c r="G126" s="119">
        <f t="shared" si="25"/>
        <v>0</v>
      </c>
      <c r="H126" s="207">
        <f t="shared" si="26"/>
        <v>0</v>
      </c>
    </row>
    <row r="127" spans="1:8" x14ac:dyDescent="0.3">
      <c r="A127" s="128" t="s">
        <v>196</v>
      </c>
      <c r="B127" s="294" t="str">
        <f t="shared" ref="B127:D127" si="40">B17</f>
        <v>Tomato Ketchup - كاتشب طماطم</v>
      </c>
      <c r="C127" s="294" t="str">
        <f t="shared" si="40"/>
        <v>ml</v>
      </c>
      <c r="D127" s="294">
        <f t="shared" si="40"/>
        <v>350</v>
      </c>
      <c r="E127" s="351">
        <f t="shared" si="30"/>
        <v>0</v>
      </c>
      <c r="F127" s="299">
        <f t="shared" si="28"/>
        <v>1</v>
      </c>
      <c r="G127" s="119">
        <f t="shared" si="25"/>
        <v>0</v>
      </c>
      <c r="H127" s="207">
        <f t="shared" si="26"/>
        <v>0</v>
      </c>
    </row>
    <row r="128" spans="1:8" x14ac:dyDescent="0.3">
      <c r="A128" s="128" t="s">
        <v>220</v>
      </c>
      <c r="B128" s="294" t="str">
        <f t="shared" ref="B128:D128" si="41">B18</f>
        <v>Orange Color - لون برتقالي</v>
      </c>
      <c r="C128" s="294" t="str">
        <f t="shared" si="41"/>
        <v>gm</v>
      </c>
      <c r="D128" s="294">
        <f t="shared" si="41"/>
        <v>2</v>
      </c>
      <c r="E128" s="351">
        <f t="shared" si="30"/>
        <v>0</v>
      </c>
      <c r="F128" s="299">
        <f t="shared" si="28"/>
        <v>0.75</v>
      </c>
      <c r="G128" s="119">
        <f t="shared" si="25"/>
        <v>0</v>
      </c>
      <c r="H128" s="207">
        <f t="shared" si="26"/>
        <v>0</v>
      </c>
    </row>
    <row r="129" spans="1:8" x14ac:dyDescent="0.3">
      <c r="A129" s="128" t="s">
        <v>192</v>
      </c>
      <c r="B129" s="294" t="str">
        <f t="shared" ref="B129:D129" si="42">B19</f>
        <v>Corn Starch - نشا ذرة</v>
      </c>
      <c r="C129" s="294" t="str">
        <f t="shared" si="42"/>
        <v>gm</v>
      </c>
      <c r="D129" s="294">
        <f t="shared" si="42"/>
        <v>25</v>
      </c>
      <c r="E129" s="351">
        <f t="shared" si="30"/>
        <v>0</v>
      </c>
      <c r="F129" s="299">
        <f t="shared" si="28"/>
        <v>1</v>
      </c>
      <c r="G129" s="119">
        <f t="shared" si="25"/>
        <v>0</v>
      </c>
      <c r="H129" s="207">
        <f t="shared" si="26"/>
        <v>0</v>
      </c>
    </row>
    <row r="130" spans="1:8" x14ac:dyDescent="0.3">
      <c r="A130" s="128" t="s">
        <v>97</v>
      </c>
      <c r="B130" s="294" t="str">
        <f t="shared" ref="B130:D130" si="43">B20</f>
        <v>Salt - ملح</v>
      </c>
      <c r="C130" s="294" t="str">
        <f t="shared" si="43"/>
        <v>gm</v>
      </c>
      <c r="D130" s="294">
        <f t="shared" si="43"/>
        <v>3</v>
      </c>
      <c r="E130" s="351">
        <f t="shared" si="30"/>
        <v>0</v>
      </c>
      <c r="F130" s="299">
        <f t="shared" si="28"/>
        <v>0.75</v>
      </c>
      <c r="G130" s="119">
        <f t="shared" si="25"/>
        <v>0</v>
      </c>
      <c r="H130" s="207">
        <f t="shared" si="26"/>
        <v>0</v>
      </c>
    </row>
    <row r="131" spans="1:8" x14ac:dyDescent="0.3">
      <c r="A131" s="128" t="s">
        <v>97</v>
      </c>
      <c r="B131" s="294" t="str">
        <f t="shared" ref="B131:D131" si="44">B21</f>
        <v>Black Pepper Powder - فلفل أسود مطحون</v>
      </c>
      <c r="C131" s="294" t="str">
        <f t="shared" si="44"/>
        <v>gm</v>
      </c>
      <c r="D131" s="294">
        <f t="shared" si="44"/>
        <v>3</v>
      </c>
      <c r="E131" s="351">
        <f t="shared" si="30"/>
        <v>0</v>
      </c>
      <c r="F131" s="299">
        <f t="shared" si="28"/>
        <v>0.75</v>
      </c>
      <c r="G131" s="119">
        <f t="shared" si="25"/>
        <v>0</v>
      </c>
      <c r="H131" s="207">
        <f t="shared" si="26"/>
        <v>0</v>
      </c>
    </row>
    <row r="132" spans="1:8" x14ac:dyDescent="0.3">
      <c r="A132" s="128" t="s">
        <v>158</v>
      </c>
      <c r="B132" s="294" t="str">
        <f t="shared" ref="B132:D132" si="45">B22</f>
        <v>Butter - زبدة</v>
      </c>
      <c r="C132" s="294" t="str">
        <f t="shared" si="45"/>
        <v>gm</v>
      </c>
      <c r="D132" s="294">
        <f t="shared" si="45"/>
        <v>20</v>
      </c>
      <c r="E132" s="351">
        <f t="shared" si="30"/>
        <v>0</v>
      </c>
      <c r="F132" s="299">
        <f t="shared" si="28"/>
        <v>1</v>
      </c>
      <c r="G132" s="119">
        <f t="shared" si="25"/>
        <v>0</v>
      </c>
      <c r="H132" s="207">
        <f t="shared" si="26"/>
        <v>0</v>
      </c>
    </row>
    <row r="133" spans="1:8" x14ac:dyDescent="0.3">
      <c r="A133" s="79" t="s">
        <v>186</v>
      </c>
      <c r="B133" s="294" t="str">
        <f t="shared" ref="B133:D133" si="46">B23</f>
        <v>Honey - عسل</v>
      </c>
      <c r="C133" s="294" t="str">
        <f t="shared" si="46"/>
        <v>gm</v>
      </c>
      <c r="D133" s="294">
        <f t="shared" si="46"/>
        <v>50</v>
      </c>
      <c r="E133" s="351">
        <f t="shared" si="30"/>
        <v>0</v>
      </c>
      <c r="F133" s="299">
        <f t="shared" si="28"/>
        <v>1</v>
      </c>
      <c r="G133" s="119">
        <f t="shared" si="25"/>
        <v>0</v>
      </c>
      <c r="H133" s="207">
        <f t="shared" si="26"/>
        <v>0</v>
      </c>
    </row>
    <row r="134" spans="1:8" ht="18" x14ac:dyDescent="0.3">
      <c r="A134" s="211"/>
      <c r="B134" s="198" t="s">
        <v>299</v>
      </c>
      <c r="C134" s="200" t="s">
        <v>285</v>
      </c>
      <c r="E134" s="200" t="s">
        <v>300</v>
      </c>
      <c r="G134" s="890" t="s">
        <v>276</v>
      </c>
      <c r="H134" s="890" t="s">
        <v>733</v>
      </c>
    </row>
    <row r="135" spans="1:8" ht="20" x14ac:dyDescent="0.4">
      <c r="A135" s="211"/>
      <c r="B135" s="199">
        <f>$J$55</f>
        <v>0</v>
      </c>
      <c r="C135" s="199">
        <f>E135+G135</f>
        <v>0</v>
      </c>
      <c r="D135" s="930"/>
      <c r="E135" s="199">
        <f>$D$55*$S$44</f>
        <v>0</v>
      </c>
      <c r="F135" s="934"/>
      <c r="G135" s="199">
        <f>$D$55*$T$44</f>
        <v>0</v>
      </c>
      <c r="H135" s="199">
        <f>B135+E135</f>
        <v>0</v>
      </c>
    </row>
  </sheetData>
  <mergeCells count="13">
    <mergeCell ref="B112:H112"/>
    <mergeCell ref="B113:H113"/>
    <mergeCell ref="AK2:AM2"/>
    <mergeCell ref="B2:J3"/>
    <mergeCell ref="AE2:AG3"/>
    <mergeCell ref="B88:H88"/>
    <mergeCell ref="R26:U26"/>
    <mergeCell ref="B87:H87"/>
    <mergeCell ref="R25:U25"/>
    <mergeCell ref="B62:H62"/>
    <mergeCell ref="K2:K3"/>
    <mergeCell ref="B63:H63"/>
    <mergeCell ref="B35:F35"/>
  </mergeCells>
  <printOptions horizontalCentered="1"/>
  <pageMargins left="0.4" right="0.4" top="1" bottom="0.5" header="0.3" footer="0.511811023622047"/>
  <pageSetup paperSize="9" scale="45" orientation="landscape"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50"/>
    <pageSetUpPr fitToPage="1"/>
  </sheetPr>
  <dimension ref="A1:AT105"/>
  <sheetViews>
    <sheetView zoomScale="85" zoomScaleNormal="55" workbookViewId="0">
      <selection activeCell="D5" sqref="D5"/>
    </sheetView>
  </sheetViews>
  <sheetFormatPr defaultColWidth="12.5" defaultRowHeight="14" x14ac:dyDescent="0.3"/>
  <cols>
    <col min="1" max="1" width="12.5" style="79" customWidth="1"/>
    <col min="2" max="2" width="32" style="29"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3.75" style="14" customWidth="1"/>
    <col min="15" max="17" width="12.5" style="14" customWidth="1"/>
    <col min="18" max="18" width="32.83203125" style="14" customWidth="1"/>
    <col min="19" max="27" width="12.5" style="14" customWidth="1"/>
    <col min="28" max="28" width="13.1640625" style="14" bestFit="1" customWidth="1"/>
    <col min="29" max="29" width="9.83203125" style="14" bestFit="1" customWidth="1"/>
    <col min="30" max="30" width="10.08203125" style="14" bestFit="1" customWidth="1"/>
    <col min="31" max="31" width="9.83203125" style="14" bestFit="1" customWidth="1"/>
    <col min="32" max="32" width="8.83203125" style="14" bestFit="1" customWidth="1"/>
    <col min="33" max="35" width="4.08203125" style="14" customWidth="1"/>
    <col min="36" max="36" width="41.4140625" style="14" customWidth="1"/>
    <col min="37" max="37" width="12.5" style="14" customWidth="1"/>
    <col min="38" max="38" width="16.1640625" style="14" customWidth="1"/>
    <col min="39" max="41" width="12.5" style="14"/>
    <col min="42" max="42" width="24.25" style="14" customWidth="1"/>
    <col min="43" max="16384" width="12.5" style="14"/>
  </cols>
  <sheetData>
    <row r="1" spans="1:46" s="250" customFormat="1" ht="53" customHeight="1" x14ac:dyDescent="0.25">
      <c r="A1" s="248"/>
      <c r="B1" s="300" t="s">
        <v>243</v>
      </c>
      <c r="C1" s="81">
        <v>1000</v>
      </c>
      <c r="D1" s="82" t="s">
        <v>244</v>
      </c>
      <c r="E1" s="117">
        <f>U32</f>
        <v>27100</v>
      </c>
      <c r="F1" s="80" t="s">
        <v>245</v>
      </c>
      <c r="G1" s="117">
        <f>E1/C1</f>
        <v>27.1</v>
      </c>
      <c r="H1" s="80" t="s">
        <v>246</v>
      </c>
      <c r="I1" s="249">
        <f>(G1/K1)</f>
        <v>27.512690355329951</v>
      </c>
      <c r="J1" s="86" t="s">
        <v>247</v>
      </c>
      <c r="K1" s="81">
        <v>0.98499999999999999</v>
      </c>
      <c r="L1" s="92"/>
      <c r="M1" s="89"/>
      <c r="N1" s="90"/>
      <c r="O1" s="91" t="s">
        <v>248</v>
      </c>
      <c r="P1" s="92" t="s">
        <v>249</v>
      </c>
      <c r="Q1" s="93" t="s">
        <v>250</v>
      </c>
      <c r="R1" s="92">
        <v>0.59</v>
      </c>
      <c r="Y1" s="91" t="s">
        <v>479</v>
      </c>
      <c r="Z1" s="847">
        <v>26100</v>
      </c>
      <c r="AA1" s="91" t="s">
        <v>600</v>
      </c>
      <c r="AB1" s="847">
        <v>1000</v>
      </c>
      <c r="AC1" s="91" t="s">
        <v>587</v>
      </c>
      <c r="AD1" s="847">
        <v>178</v>
      </c>
      <c r="AF1" s="252"/>
      <c r="AG1" s="92"/>
      <c r="AJ1" s="94" t="s">
        <v>262</v>
      </c>
      <c r="AK1" s="94">
        <v>10000</v>
      </c>
      <c r="AL1" s="628" t="s">
        <v>520</v>
      </c>
      <c r="AM1" s="629">
        <f>$S$32</f>
        <v>27100</v>
      </c>
      <c r="AN1" s="94" t="s">
        <v>251</v>
      </c>
      <c r="AO1" s="329">
        <f>(($S$32)/$R$1)/$AK$1</f>
        <v>4.593220338983051</v>
      </c>
      <c r="AP1" s="95"/>
    </row>
    <row r="2" spans="1:46" ht="12.75" customHeight="1" x14ac:dyDescent="0.3">
      <c r="A2" s="97"/>
      <c r="B2" s="1408" t="s">
        <v>29</v>
      </c>
      <c r="C2" s="1429"/>
      <c r="D2" s="1429"/>
      <c r="E2" s="1429"/>
      <c r="F2" s="1429"/>
      <c r="G2" s="1429"/>
      <c r="H2" s="1429"/>
      <c r="I2" s="98"/>
      <c r="J2" s="98"/>
      <c r="K2" s="98"/>
      <c r="L2" s="98"/>
      <c r="P2" s="100"/>
      <c r="Q2" s="100"/>
      <c r="R2" s="100"/>
      <c r="AC2" s="99"/>
      <c r="AD2" s="99"/>
      <c r="AE2" s="1391"/>
      <c r="AF2" s="1389"/>
      <c r="AG2" s="1389"/>
      <c r="AJ2" s="101"/>
      <c r="AK2" s="101"/>
      <c r="AL2" s="1386" t="s">
        <v>323</v>
      </c>
      <c r="AM2" s="1386"/>
      <c r="AN2" s="102"/>
      <c r="AO2" s="101"/>
      <c r="AP2" s="101"/>
    </row>
    <row r="3" spans="1:46" ht="12.75" customHeight="1" x14ac:dyDescent="0.3">
      <c r="A3" s="97"/>
      <c r="B3" s="1388"/>
      <c r="C3" s="1388"/>
      <c r="D3" s="1388"/>
      <c r="E3" s="1388"/>
      <c r="F3" s="1388"/>
      <c r="G3" s="1388"/>
      <c r="H3" s="1388"/>
      <c r="I3" s="103"/>
      <c r="J3" s="103"/>
      <c r="K3" s="103"/>
      <c r="L3" s="103"/>
      <c r="P3" s="100"/>
      <c r="Q3" s="100"/>
      <c r="R3" s="100"/>
      <c r="AC3" s="99"/>
      <c r="AD3" s="99"/>
      <c r="AE3" s="1389"/>
      <c r="AF3" s="1389"/>
      <c r="AG3" s="1389"/>
      <c r="AJ3" s="104"/>
      <c r="AK3" s="104"/>
      <c r="AL3" s="105"/>
      <c r="AM3" s="105"/>
      <c r="AN3" s="105"/>
      <c r="AO3" s="104"/>
      <c r="AP3" s="104"/>
    </row>
    <row r="4" spans="1:46" ht="69" customHeight="1" x14ac:dyDescent="0.25">
      <c r="A4" s="91" t="s">
        <v>1</v>
      </c>
      <c r="B4" s="91" t="s">
        <v>253</v>
      </c>
      <c r="C4" s="107" t="s">
        <v>254</v>
      </c>
      <c r="D4" s="91" t="s">
        <v>243</v>
      </c>
      <c r="E4" s="108" t="s">
        <v>246</v>
      </c>
      <c r="F4" s="108" t="s">
        <v>255</v>
      </c>
      <c r="G4" s="91" t="s">
        <v>256</v>
      </c>
      <c r="H4" s="109" t="s">
        <v>257</v>
      </c>
      <c r="I4" s="91" t="s">
        <v>258</v>
      </c>
      <c r="J4" s="91" t="s">
        <v>259</v>
      </c>
      <c r="K4" s="91" t="s">
        <v>260</v>
      </c>
      <c r="L4" s="91" t="s">
        <v>261</v>
      </c>
      <c r="P4" s="100"/>
      <c r="AA4" s="251"/>
      <c r="AB4" s="253"/>
      <c r="AC4" s="251"/>
      <c r="AD4" s="251"/>
      <c r="AE4" s="251"/>
      <c r="AJ4" s="110" t="s">
        <v>253</v>
      </c>
      <c r="AK4" s="111" t="s">
        <v>254</v>
      </c>
      <c r="AL4" s="110" t="s">
        <v>262</v>
      </c>
      <c r="AM4" s="110" t="s">
        <v>246</v>
      </c>
      <c r="AN4" s="110" t="s">
        <v>255</v>
      </c>
      <c r="AO4" s="110" t="s">
        <v>256</v>
      </c>
      <c r="AP4" s="112" t="s">
        <v>257</v>
      </c>
      <c r="AQ4" s="91" t="s">
        <v>258</v>
      </c>
      <c r="AR4" s="91" t="s">
        <v>259</v>
      </c>
      <c r="AS4" s="91" t="s">
        <v>260</v>
      </c>
      <c r="AT4" s="91" t="s">
        <v>261</v>
      </c>
    </row>
    <row r="5" spans="1:46" ht="14.25" customHeight="1" x14ac:dyDescent="0.25">
      <c r="A5" s="266" t="s">
        <v>230</v>
      </c>
      <c r="B5" s="114" t="s">
        <v>229</v>
      </c>
      <c r="C5" s="124" t="s">
        <v>14</v>
      </c>
      <c r="D5" s="121">
        <f>I51/H51</f>
        <v>1694.9152542372881</v>
      </c>
      <c r="E5" s="85">
        <f>H52</f>
        <v>27.1</v>
      </c>
      <c r="F5" s="127">
        <v>1</v>
      </c>
      <c r="G5" s="121">
        <f>D5*E5</f>
        <v>45932.203389830509</v>
      </c>
      <c r="H5" s="120">
        <f>G5*F5</f>
        <v>45932.203389830509</v>
      </c>
      <c r="I5" s="81">
        <f>VLOOKUP(B5,All_Ingredients!$A$1:$F$151,6,FALSE())</f>
        <v>0.86</v>
      </c>
      <c r="J5" s="119">
        <f>VLOOKUP(B5,All_Ingredients!$A$1:$J$151,10,FALSE())</f>
        <v>17.100000000000001</v>
      </c>
      <c r="K5" s="122">
        <f>(H5/I5)/1000</f>
        <v>53.40953882538431</v>
      </c>
      <c r="L5" s="122">
        <f>K5*J5</f>
        <v>913.30311391407179</v>
      </c>
      <c r="P5" s="100"/>
      <c r="AA5" s="92"/>
      <c r="AB5" s="133"/>
      <c r="AC5" s="254"/>
      <c r="AD5" s="135"/>
      <c r="AE5" s="136"/>
      <c r="AJ5" s="123" t="s">
        <v>229</v>
      </c>
      <c r="AK5" s="124" t="s">
        <v>238</v>
      </c>
      <c r="AL5" s="125">
        <v>10</v>
      </c>
      <c r="AM5" s="197">
        <f>$AO$1</f>
        <v>4.593220338983051</v>
      </c>
      <c r="AN5" s="127">
        <v>1</v>
      </c>
      <c r="AO5" s="119">
        <f>AL5*AM5</f>
        <v>45.932203389830512</v>
      </c>
      <c r="AP5" s="120">
        <f>AN5*AO5</f>
        <v>45.932203389830512</v>
      </c>
      <c r="AQ5" s="295"/>
      <c r="AR5" s="1171"/>
      <c r="AS5" s="175"/>
      <c r="AT5" s="1172"/>
    </row>
    <row r="6" spans="1:46" ht="14.25" customHeight="1" x14ac:dyDescent="0.3">
      <c r="B6" s="301"/>
      <c r="E6" s="100"/>
      <c r="F6" s="100"/>
      <c r="I6" s="79"/>
      <c r="J6" s="301"/>
      <c r="M6" s="100"/>
      <c r="N6" s="100"/>
      <c r="AJ6" s="123" t="s">
        <v>219</v>
      </c>
      <c r="AK6" s="124" t="s">
        <v>165</v>
      </c>
      <c r="AL6" s="125">
        <v>100</v>
      </c>
      <c r="AM6" s="197">
        <f t="shared" ref="AM6:AM20" si="0">$AO$1</f>
        <v>4.593220338983051</v>
      </c>
      <c r="AN6" s="127">
        <v>1</v>
      </c>
      <c r="AO6" s="119">
        <f t="shared" ref="AO6:AO19" si="1">AL6*AM6</f>
        <v>459.32203389830511</v>
      </c>
      <c r="AP6" s="120">
        <f t="shared" ref="AP6:AP20" si="2">AN6*AO6</f>
        <v>459.32203389830511</v>
      </c>
      <c r="AQ6" s="1172">
        <f>VLOOKUP(AJ6,Marination_Ordering!$A:$J,6,FALSE)</f>
        <v>1</v>
      </c>
      <c r="AR6" s="1172">
        <f>VLOOKUP(AJ6,Marination_Ordering!$A:$J,10,FALSE)</f>
        <v>5</v>
      </c>
      <c r="AS6" s="175">
        <f>AP6/AQ6</f>
        <v>459.32203389830511</v>
      </c>
      <c r="AT6" s="1172">
        <f>AR6*(AS6/1000)</f>
        <v>2.2966101694915255</v>
      </c>
    </row>
    <row r="7" spans="1:46" ht="14.25" customHeight="1" x14ac:dyDescent="0.3">
      <c r="B7" s="301"/>
      <c r="E7" s="100"/>
      <c r="F7" s="79"/>
      <c r="G7" s="301"/>
      <c r="I7" s="79"/>
      <c r="J7" s="301"/>
      <c r="M7" s="100"/>
      <c r="N7" s="100"/>
      <c r="AJ7" s="123" t="s">
        <v>822</v>
      </c>
      <c r="AK7" s="124" t="s">
        <v>14</v>
      </c>
      <c r="AL7" s="125">
        <v>10</v>
      </c>
      <c r="AM7" s="197">
        <f t="shared" si="0"/>
        <v>4.593220338983051</v>
      </c>
      <c r="AN7" s="127">
        <v>1</v>
      </c>
      <c r="AO7" s="119">
        <f t="shared" si="1"/>
        <v>45.932203389830512</v>
      </c>
      <c r="AP7" s="120">
        <f t="shared" si="2"/>
        <v>45.932203389830512</v>
      </c>
      <c r="AQ7" s="1172">
        <f>VLOOKUP(AJ7,Marination_Ordering!$A:$J,6,FALSE)</f>
        <v>0.74</v>
      </c>
      <c r="AR7" s="1172">
        <f>VLOOKUP(AJ7,Marination_Ordering!$A:$J,10,FALSE)</f>
        <v>100</v>
      </c>
      <c r="AS7" s="175">
        <f t="shared" ref="AS7:AS8" si="3">AP7/AQ7</f>
        <v>62.070545121392584</v>
      </c>
      <c r="AT7" s="1172">
        <f t="shared" ref="AT7:AT8" si="4">AR7*(AS7/1000)</f>
        <v>6.2070545121392584</v>
      </c>
    </row>
    <row r="8" spans="1:46" ht="14.25" customHeight="1" x14ac:dyDescent="0.3">
      <c r="B8" s="301"/>
      <c r="E8" s="100"/>
      <c r="F8" s="79"/>
      <c r="G8" s="301"/>
      <c r="I8" s="79"/>
      <c r="J8" s="301"/>
      <c r="M8" s="100"/>
      <c r="N8" s="100"/>
      <c r="AJ8" s="123" t="s">
        <v>794</v>
      </c>
      <c r="AK8" s="124" t="s">
        <v>14</v>
      </c>
      <c r="AL8" s="125">
        <v>10</v>
      </c>
      <c r="AM8" s="197">
        <f t="shared" si="0"/>
        <v>4.593220338983051</v>
      </c>
      <c r="AN8" s="127">
        <v>1</v>
      </c>
      <c r="AO8" s="119">
        <f t="shared" si="1"/>
        <v>45.932203389830512</v>
      </c>
      <c r="AP8" s="120">
        <f t="shared" si="2"/>
        <v>45.932203389830512</v>
      </c>
      <c r="AQ8" s="1172">
        <f>VLOOKUP(AJ8,Marination_Ordering!$A:$J,6,FALSE)</f>
        <v>0.5</v>
      </c>
      <c r="AR8" s="1172">
        <f>VLOOKUP(AJ8,Marination_Ordering!$A:$J,10,FALSE)</f>
        <v>90</v>
      </c>
      <c r="AS8" s="175">
        <f t="shared" si="3"/>
        <v>91.864406779661024</v>
      </c>
      <c r="AT8" s="1172">
        <f t="shared" si="4"/>
        <v>8.2677966101694924</v>
      </c>
    </row>
    <row r="9" spans="1:46" ht="14.25" customHeight="1" x14ac:dyDescent="0.3">
      <c r="B9" s="301"/>
      <c r="E9" s="100"/>
      <c r="F9" s="79"/>
      <c r="G9" s="29"/>
      <c r="I9" s="79"/>
      <c r="J9" s="29"/>
      <c r="AJ9" s="123" t="s">
        <v>823</v>
      </c>
      <c r="AK9" s="124" t="s">
        <v>14</v>
      </c>
      <c r="AL9" s="125">
        <v>5</v>
      </c>
      <c r="AM9" s="197">
        <f t="shared" si="0"/>
        <v>4.593220338983051</v>
      </c>
      <c r="AN9" s="127">
        <v>1</v>
      </c>
      <c r="AO9" s="119">
        <f t="shared" si="1"/>
        <v>22.966101694915256</v>
      </c>
      <c r="AP9" s="120">
        <f t="shared" si="2"/>
        <v>22.966101694915256</v>
      </c>
      <c r="AQ9" s="1172">
        <f>VLOOKUP(AJ9,Marination_Ordering!$A:$J,6,FALSE)</f>
        <v>0.7</v>
      </c>
      <c r="AR9" s="1172">
        <f>VLOOKUP(AJ9,Marination_Ordering!$A:$J,10,FALSE)</f>
        <v>90</v>
      </c>
      <c r="AS9" s="175">
        <f t="shared" ref="AS9:AS20" si="5">AP9/AQ9</f>
        <v>32.808716707021794</v>
      </c>
      <c r="AT9" s="1172">
        <f t="shared" ref="AT9:AT20" si="6">AR9*(AS9/1000)</f>
        <v>2.9527845036319618</v>
      </c>
    </row>
    <row r="10" spans="1:46" ht="14.25" customHeight="1" x14ac:dyDescent="0.3">
      <c r="I10" s="79"/>
      <c r="J10" s="29"/>
      <c r="AJ10" s="123" t="s">
        <v>114</v>
      </c>
      <c r="AK10" s="124" t="s">
        <v>14</v>
      </c>
      <c r="AL10" s="125">
        <v>10</v>
      </c>
      <c r="AM10" s="197">
        <f t="shared" si="0"/>
        <v>4.593220338983051</v>
      </c>
      <c r="AN10" s="127">
        <v>1</v>
      </c>
      <c r="AO10" s="119">
        <f t="shared" si="1"/>
        <v>45.932203389830512</v>
      </c>
      <c r="AP10" s="120">
        <f t="shared" si="2"/>
        <v>45.932203389830512</v>
      </c>
      <c r="AQ10" s="1172">
        <f>VLOOKUP(AJ10,Marination_Ordering!$A:$J,6,FALSE)</f>
        <v>1</v>
      </c>
      <c r="AR10" s="1172">
        <f>VLOOKUP(AJ10,Marination_Ordering!$A:$J,10,FALSE)</f>
        <v>64.243759177679877</v>
      </c>
      <c r="AS10" s="175">
        <f t="shared" si="5"/>
        <v>45.932203389830512</v>
      </c>
      <c r="AT10" s="1172">
        <f t="shared" si="6"/>
        <v>2.9508574130764829</v>
      </c>
    </row>
    <row r="11" spans="1:46" x14ac:dyDescent="0.3">
      <c r="I11" s="79"/>
      <c r="J11" s="29"/>
      <c r="AJ11" s="123" t="s">
        <v>110</v>
      </c>
      <c r="AK11" s="124" t="s">
        <v>14</v>
      </c>
      <c r="AL11" s="125">
        <v>20</v>
      </c>
      <c r="AM11" s="197">
        <f t="shared" si="0"/>
        <v>4.593220338983051</v>
      </c>
      <c r="AN11" s="127">
        <v>1</v>
      </c>
      <c r="AO11" s="119">
        <f t="shared" si="1"/>
        <v>91.864406779661024</v>
      </c>
      <c r="AP11" s="120">
        <f t="shared" si="2"/>
        <v>91.864406779661024</v>
      </c>
      <c r="AQ11" s="1172">
        <f>VLOOKUP(AJ11,Marination_Ordering!$A:$J,6,FALSE)</f>
        <v>1</v>
      </c>
      <c r="AR11" s="1172">
        <f>VLOOKUP(AJ11,Marination_Ordering!$A:$J,10,FALSE)</f>
        <v>8</v>
      </c>
      <c r="AS11" s="175">
        <f t="shared" si="5"/>
        <v>91.864406779661024</v>
      </c>
      <c r="AT11" s="1172">
        <f t="shared" si="6"/>
        <v>0.73491525423728821</v>
      </c>
    </row>
    <row r="12" spans="1:46" ht="14.25" customHeight="1" x14ac:dyDescent="0.3">
      <c r="I12" s="79"/>
      <c r="J12" s="29"/>
      <c r="AJ12" s="123" t="s">
        <v>108</v>
      </c>
      <c r="AK12" s="124" t="s">
        <v>14</v>
      </c>
      <c r="AL12" s="125">
        <v>15</v>
      </c>
      <c r="AM12" s="197">
        <f t="shared" si="0"/>
        <v>4.593220338983051</v>
      </c>
      <c r="AN12" s="127">
        <v>1</v>
      </c>
      <c r="AO12" s="119">
        <f t="shared" si="1"/>
        <v>68.898305084745772</v>
      </c>
      <c r="AP12" s="120">
        <f t="shared" si="2"/>
        <v>68.898305084745772</v>
      </c>
      <c r="AQ12" s="1172">
        <f>VLOOKUP(AJ12,Marination_Ordering!$A:$J,6,FALSE)</f>
        <v>1</v>
      </c>
      <c r="AR12" s="1172">
        <f>VLOOKUP(AJ12,Marination_Ordering!$A:$J,10,FALSE)</f>
        <v>15</v>
      </c>
      <c r="AS12" s="175">
        <f t="shared" si="5"/>
        <v>68.898305084745772</v>
      </c>
      <c r="AT12" s="1172">
        <f t="shared" si="6"/>
        <v>1.0334745762711866</v>
      </c>
    </row>
    <row r="13" spans="1:46" ht="14.25" customHeight="1" x14ac:dyDescent="0.3">
      <c r="AJ13" s="123" t="s">
        <v>96</v>
      </c>
      <c r="AK13" s="124" t="s">
        <v>14</v>
      </c>
      <c r="AL13" s="125">
        <v>11</v>
      </c>
      <c r="AM13" s="197">
        <f t="shared" si="0"/>
        <v>4.593220338983051</v>
      </c>
      <c r="AN13" s="127">
        <v>1</v>
      </c>
      <c r="AO13" s="119">
        <f t="shared" si="1"/>
        <v>50.525423728813564</v>
      </c>
      <c r="AP13" s="120">
        <f t="shared" si="2"/>
        <v>50.525423728813564</v>
      </c>
      <c r="AQ13" s="1172">
        <f>VLOOKUP(AJ13,Marination_Ordering!$A:$J,6,FALSE)</f>
        <v>1</v>
      </c>
      <c r="AR13" s="1172">
        <f>VLOOKUP(AJ13,Marination_Ordering!$A:$J,10,FALSE)</f>
        <v>0.74</v>
      </c>
      <c r="AS13" s="175">
        <f t="shared" si="5"/>
        <v>50.525423728813564</v>
      </c>
      <c r="AT13" s="1172">
        <f t="shared" si="6"/>
        <v>3.738881355932204E-2</v>
      </c>
    </row>
    <row r="14" spans="1:46" ht="14.25" customHeight="1" x14ac:dyDescent="0.3">
      <c r="B14" s="301"/>
      <c r="E14" s="100"/>
      <c r="F14" s="79"/>
      <c r="G14" s="301"/>
      <c r="J14" s="100"/>
      <c r="K14" s="100"/>
      <c r="AJ14" s="123" t="s">
        <v>102</v>
      </c>
      <c r="AK14" s="124" t="s">
        <v>14</v>
      </c>
      <c r="AL14" s="125">
        <v>5</v>
      </c>
      <c r="AM14" s="197">
        <f t="shared" si="0"/>
        <v>4.593220338983051</v>
      </c>
      <c r="AN14" s="127">
        <v>1</v>
      </c>
      <c r="AO14" s="119">
        <f t="shared" si="1"/>
        <v>22.966101694915256</v>
      </c>
      <c r="AP14" s="120">
        <f t="shared" si="2"/>
        <v>22.966101694915256</v>
      </c>
      <c r="AQ14" s="1172">
        <f>VLOOKUP(AJ14,Marination_Ordering!$A:$J,6,FALSE)</f>
        <v>1</v>
      </c>
      <c r="AR14" s="1172">
        <f>VLOOKUP(AJ14,Marination_Ordering!$A:$J,10,FALSE)</f>
        <v>31</v>
      </c>
      <c r="AS14" s="175">
        <f t="shared" si="5"/>
        <v>22.966101694915256</v>
      </c>
      <c r="AT14" s="1172">
        <f t="shared" si="6"/>
        <v>0.7119491525423729</v>
      </c>
    </row>
    <row r="15" spans="1:46" ht="14.25" customHeight="1" x14ac:dyDescent="0.3">
      <c r="B15" s="301"/>
      <c r="E15" s="100"/>
      <c r="F15" s="79"/>
      <c r="G15" s="301"/>
      <c r="J15" s="100"/>
      <c r="K15" s="100"/>
      <c r="AJ15" s="123" t="s">
        <v>66</v>
      </c>
      <c r="AK15" s="124" t="s">
        <v>14</v>
      </c>
      <c r="AL15" s="125">
        <v>25</v>
      </c>
      <c r="AM15" s="197">
        <f t="shared" si="0"/>
        <v>4.593220338983051</v>
      </c>
      <c r="AN15" s="127">
        <v>1</v>
      </c>
      <c r="AO15" s="119">
        <f t="shared" si="1"/>
        <v>114.83050847457628</v>
      </c>
      <c r="AP15" s="120">
        <f t="shared" si="2"/>
        <v>114.83050847457628</v>
      </c>
      <c r="AQ15" s="1172">
        <f>VLOOKUP(AJ15,Marination_Ordering!$A:$J,6,FALSE)</f>
        <v>0.65</v>
      </c>
      <c r="AR15" s="1172">
        <f>VLOOKUP(AJ15,Marination_Ordering!$A:$J,10,FALSE)</f>
        <v>3.5</v>
      </c>
      <c r="AS15" s="175">
        <f t="shared" si="5"/>
        <v>176.66232073011733</v>
      </c>
      <c r="AT15" s="1172">
        <f t="shared" si="6"/>
        <v>0.61831812255541063</v>
      </c>
    </row>
    <row r="16" spans="1:46" ht="14.25" customHeight="1" x14ac:dyDescent="0.3">
      <c r="B16" s="301"/>
      <c r="E16" s="100"/>
      <c r="F16" s="79"/>
      <c r="G16" s="301"/>
      <c r="J16" s="100"/>
      <c r="K16" s="100"/>
      <c r="AJ16" s="123" t="s">
        <v>82</v>
      </c>
      <c r="AK16" s="124" t="s">
        <v>14</v>
      </c>
      <c r="AL16" s="125">
        <v>15</v>
      </c>
      <c r="AM16" s="197">
        <f t="shared" si="0"/>
        <v>4.593220338983051</v>
      </c>
      <c r="AN16" s="127">
        <v>1</v>
      </c>
      <c r="AO16" s="119">
        <f t="shared" si="1"/>
        <v>68.898305084745772</v>
      </c>
      <c r="AP16" s="120">
        <f t="shared" si="2"/>
        <v>68.898305084745772</v>
      </c>
      <c r="AQ16" s="1172">
        <f>VLOOKUP(AJ16,Marination_Ordering!$A:$J,6,FALSE)</f>
        <v>1</v>
      </c>
      <c r="AR16" s="1172">
        <f>VLOOKUP(AJ16,Marination_Ordering!$A:$J,10,FALSE)</f>
        <v>7</v>
      </c>
      <c r="AS16" s="175">
        <f t="shared" si="5"/>
        <v>68.898305084745772</v>
      </c>
      <c r="AT16" s="1172">
        <f t="shared" si="6"/>
        <v>0.48228813559322042</v>
      </c>
    </row>
    <row r="17" spans="2:46" ht="14.25" customHeight="1" x14ac:dyDescent="0.3">
      <c r="B17" s="301"/>
      <c r="E17" s="100"/>
      <c r="F17" s="79"/>
      <c r="G17" s="29"/>
      <c r="AJ17" s="123" t="s">
        <v>189</v>
      </c>
      <c r="AK17" s="124" t="s">
        <v>14</v>
      </c>
      <c r="AL17" s="125">
        <v>50</v>
      </c>
      <c r="AM17" s="197">
        <f t="shared" si="0"/>
        <v>4.593220338983051</v>
      </c>
      <c r="AN17" s="127">
        <v>1</v>
      </c>
      <c r="AO17" s="119">
        <f t="shared" si="1"/>
        <v>229.66101694915255</v>
      </c>
      <c r="AP17" s="120">
        <f t="shared" si="2"/>
        <v>229.66101694915255</v>
      </c>
      <c r="AQ17" s="1172">
        <f>VLOOKUP(AJ17,Marination_Ordering!$A:$J,6,FALSE)</f>
        <v>1</v>
      </c>
      <c r="AR17" s="1172">
        <f>VLOOKUP(AJ17,Marination_Ordering!$A:$J,10,FALSE)</f>
        <v>17</v>
      </c>
      <c r="AS17" s="175">
        <f t="shared" si="5"/>
        <v>229.66101694915255</v>
      </c>
      <c r="AT17" s="1172">
        <f t="shared" si="6"/>
        <v>3.9042372881355933</v>
      </c>
    </row>
    <row r="18" spans="2:46" ht="14.25" customHeight="1" x14ac:dyDescent="0.3">
      <c r="F18" s="79"/>
      <c r="G18" s="29"/>
      <c r="AJ18" s="123" t="s">
        <v>208</v>
      </c>
      <c r="AK18" s="124" t="s">
        <v>14</v>
      </c>
      <c r="AL18" s="125">
        <v>20</v>
      </c>
      <c r="AM18" s="197">
        <f t="shared" si="0"/>
        <v>4.593220338983051</v>
      </c>
      <c r="AN18" s="127">
        <v>1</v>
      </c>
      <c r="AO18" s="119">
        <f t="shared" si="1"/>
        <v>91.864406779661024</v>
      </c>
      <c r="AP18" s="120">
        <f t="shared" si="2"/>
        <v>91.864406779661024</v>
      </c>
      <c r="AQ18" s="1172">
        <f>VLOOKUP(AJ18,Marination_Ordering!$A:$J,6,FALSE)</f>
        <v>1</v>
      </c>
      <c r="AR18" s="1172">
        <f>VLOOKUP(AJ18,Marination_Ordering!$A:$J,10,FALSE)</f>
        <v>11.243386243386244</v>
      </c>
      <c r="AS18" s="175">
        <f t="shared" si="5"/>
        <v>91.864406779661024</v>
      </c>
      <c r="AT18" s="1172">
        <f t="shared" si="6"/>
        <v>1.0328670074432789</v>
      </c>
    </row>
    <row r="19" spans="2:46" ht="14.25" customHeight="1" x14ac:dyDescent="0.3">
      <c r="F19" s="79"/>
      <c r="G19" s="29"/>
      <c r="AJ19" s="123" t="s">
        <v>795</v>
      </c>
      <c r="AK19" s="124" t="s">
        <v>14</v>
      </c>
      <c r="AL19" s="125">
        <v>5</v>
      </c>
      <c r="AM19" s="197">
        <f t="shared" si="0"/>
        <v>4.593220338983051</v>
      </c>
      <c r="AN19" s="127">
        <v>1</v>
      </c>
      <c r="AO19" s="119">
        <f t="shared" si="1"/>
        <v>22.966101694915256</v>
      </c>
      <c r="AP19" s="120">
        <f t="shared" si="2"/>
        <v>22.966101694915256</v>
      </c>
      <c r="AQ19" s="1172">
        <f>VLOOKUP(AJ19,Marination_Ordering!$A:$J,6,FALSE)</f>
        <v>0.52</v>
      </c>
      <c r="AR19" s="1172">
        <f>VLOOKUP(AJ19,Marination_Ordering!$A:$J,10,FALSE)</f>
        <v>100</v>
      </c>
      <c r="AS19" s="175">
        <f t="shared" si="5"/>
        <v>44.165580182529339</v>
      </c>
      <c r="AT19" s="1172">
        <f t="shared" si="6"/>
        <v>4.4165580182529345</v>
      </c>
    </row>
    <row r="20" spans="2:46" ht="14.25" customHeight="1" x14ac:dyDescent="0.3">
      <c r="F20" s="79"/>
      <c r="G20" s="29"/>
      <c r="AJ20" s="123" t="s">
        <v>221</v>
      </c>
      <c r="AK20" s="124" t="s">
        <v>14</v>
      </c>
      <c r="AL20" s="125">
        <v>1</v>
      </c>
      <c r="AM20" s="197">
        <f t="shared" si="0"/>
        <v>4.593220338983051</v>
      </c>
      <c r="AN20" s="127">
        <v>1</v>
      </c>
      <c r="AO20" s="119">
        <f>AL20*AM20</f>
        <v>4.593220338983051</v>
      </c>
      <c r="AP20" s="120">
        <f t="shared" si="2"/>
        <v>4.593220338983051</v>
      </c>
      <c r="AQ20" s="1172">
        <f>VLOOKUP(AJ20,Marination_Ordering!$A:$J,6,FALSE)</f>
        <v>1</v>
      </c>
      <c r="AR20" s="1172">
        <f>VLOOKUP(AJ20,Marination_Ordering!$A:$J,10,FALSE)</f>
        <v>35</v>
      </c>
      <c r="AS20" s="175">
        <f t="shared" si="5"/>
        <v>4.593220338983051</v>
      </c>
      <c r="AT20" s="1172">
        <f t="shared" si="6"/>
        <v>0.1607627118644068</v>
      </c>
    </row>
    <row r="21" spans="2:46" ht="14.25" customHeight="1" x14ac:dyDescent="0.3">
      <c r="L21" s="297"/>
    </row>
    <row r="22" spans="2:46" ht="14.25" customHeight="1" x14ac:dyDescent="0.3">
      <c r="L22" s="297"/>
      <c r="S22" s="303"/>
    </row>
    <row r="23" spans="2:46" ht="14.25" customHeight="1" x14ac:dyDescent="0.3">
      <c r="L23" s="297"/>
    </row>
    <row r="24" spans="2:46" ht="14.25" customHeight="1" x14ac:dyDescent="0.3">
      <c r="L24" s="297"/>
      <c r="Z24" s="1234"/>
    </row>
    <row r="25" spans="2:46" ht="14.25" customHeight="1" x14ac:dyDescent="0.35">
      <c r="L25" s="297"/>
      <c r="R25" s="1411" t="s">
        <v>323</v>
      </c>
      <c r="S25" s="1388"/>
      <c r="T25" s="1388"/>
      <c r="U25" s="1388"/>
      <c r="V25" s="1151"/>
      <c r="Z25" s="141" t="s">
        <v>264</v>
      </c>
      <c r="AA25" s="142">
        <v>26800</v>
      </c>
      <c r="AB25" s="141" t="s">
        <v>261</v>
      </c>
      <c r="AC25" s="143">
        <f>(AA25*AF30)+(AA30*(AB28/R1))</f>
        <v>943.68198725273226</v>
      </c>
    </row>
    <row r="26" spans="2:46" ht="15.75" customHeight="1" x14ac:dyDescent="0.35">
      <c r="R26" s="1427" t="s">
        <v>303</v>
      </c>
      <c r="S26" s="1410"/>
      <c r="T26" s="1410"/>
      <c r="U26" s="1410"/>
      <c r="V26" s="1151"/>
    </row>
    <row r="27" spans="2:46" ht="14.25" customHeight="1" thickBot="1" x14ac:dyDescent="0.35">
      <c r="R27" s="145" t="s">
        <v>266</v>
      </c>
      <c r="S27" s="146" t="s">
        <v>267</v>
      </c>
      <c r="T27" s="146" t="s">
        <v>324</v>
      </c>
      <c r="U27" s="146" t="s">
        <v>269</v>
      </c>
      <c r="V27" s="146" t="s">
        <v>839</v>
      </c>
      <c r="W27" s="146" t="s">
        <v>848</v>
      </c>
      <c r="Z27" s="141" t="s">
        <v>270</v>
      </c>
      <c r="AA27" s="1185" t="s">
        <v>324</v>
      </c>
      <c r="AB27" s="147" t="s">
        <v>271</v>
      </c>
      <c r="AC27" s="147" t="s">
        <v>272</v>
      </c>
      <c r="AD27" s="147" t="s">
        <v>273</v>
      </c>
      <c r="AE27" s="1186" t="s">
        <v>848</v>
      </c>
      <c r="AF27" s="147" t="s">
        <v>274</v>
      </c>
    </row>
    <row r="28" spans="2:46" ht="14.25" customHeight="1" thickBot="1" x14ac:dyDescent="0.35">
      <c r="B28" s="301"/>
      <c r="E28" s="100"/>
      <c r="F28" s="100"/>
      <c r="R28" s="148" t="s">
        <v>275</v>
      </c>
      <c r="S28" s="150">
        <f>$Z$1</f>
        <v>26100</v>
      </c>
      <c r="T28" s="149"/>
      <c r="U28" s="304">
        <f>S28</f>
        <v>26100</v>
      </c>
      <c r="V28" s="149">
        <f>SUM(AP5:AP13)</f>
        <v>877.30508474576277</v>
      </c>
      <c r="W28" s="149">
        <f>SUM(H37:H38)</f>
        <v>546.46</v>
      </c>
      <c r="Z28" s="151"/>
      <c r="AA28" s="1188"/>
      <c r="AB28" s="1200">
        <f>AA25*$S$40</f>
        <v>26800</v>
      </c>
      <c r="AC28" s="152"/>
      <c r="AD28" s="153"/>
      <c r="AE28" s="1188"/>
      <c r="AF28" s="154">
        <f>SUM(AB28:AD28)</f>
        <v>26800</v>
      </c>
    </row>
    <row r="29" spans="2:46" s="14" customFormat="1" ht="14.25" customHeight="1" thickBot="1" x14ac:dyDescent="0.35">
      <c r="R29" s="148" t="s">
        <v>276</v>
      </c>
      <c r="S29" s="155"/>
      <c r="T29" s="149"/>
      <c r="U29" s="149">
        <f>T29</f>
        <v>0</v>
      </c>
      <c r="V29" s="149"/>
      <c r="W29" s="149"/>
      <c r="Z29" s="151"/>
      <c r="AA29" s="1192"/>
      <c r="AB29" s="156">
        <f>AB28/$AF$28</f>
        <v>1</v>
      </c>
      <c r="AC29" s="156">
        <v>0</v>
      </c>
      <c r="AD29" s="156">
        <v>0</v>
      </c>
      <c r="AE29" s="1192"/>
      <c r="AF29" s="156">
        <f>AF28/$AF$28</f>
        <v>1</v>
      </c>
    </row>
    <row r="30" spans="2:46" ht="21.75" customHeight="1" thickBot="1" x14ac:dyDescent="0.35">
      <c r="B30" s="301"/>
      <c r="E30" s="100"/>
      <c r="F30" s="100"/>
      <c r="R30" s="148" t="s">
        <v>277</v>
      </c>
      <c r="S30" s="1295">
        <f>$AB$1</f>
        <v>1000</v>
      </c>
      <c r="T30" s="149"/>
      <c r="U30" s="155">
        <f>S30</f>
        <v>1000</v>
      </c>
      <c r="V30" s="1143"/>
      <c r="W30" s="1143"/>
      <c r="Z30" s="141" t="s">
        <v>278</v>
      </c>
      <c r="AA30" s="1196">
        <f>V35/(S32/R1)</f>
        <v>7.7958076570068654E-4</v>
      </c>
      <c r="AB30" s="157">
        <f>S35/(S32)</f>
        <v>3.3701221915648408E-2</v>
      </c>
      <c r="AC30" s="158"/>
      <c r="AD30" s="158"/>
      <c r="AE30" s="1199">
        <f>W35/U32</f>
        <v>1.8946920238433154E-4</v>
      </c>
      <c r="AF30" s="1201">
        <f>SUMPRODUCT(AB30:AD30,AB29:AD29)+AE30</f>
        <v>3.3890691118032737E-2</v>
      </c>
    </row>
    <row r="31" spans="2:46" ht="26.25" customHeight="1" thickBot="1" x14ac:dyDescent="0.35">
      <c r="B31" s="301"/>
      <c r="E31" s="100"/>
      <c r="F31" s="100"/>
      <c r="R31" s="148" t="s">
        <v>279</v>
      </c>
      <c r="S31" s="155"/>
      <c r="T31" s="149"/>
      <c r="U31" s="149">
        <f>T31</f>
        <v>0</v>
      </c>
      <c r="V31" s="149"/>
      <c r="W31" s="149"/>
    </row>
    <row r="32" spans="2:46" ht="14.25" customHeight="1" thickBot="1" x14ac:dyDescent="0.35">
      <c r="B32" s="301"/>
      <c r="E32" s="100"/>
      <c r="F32" s="100"/>
      <c r="R32" s="160" t="s">
        <v>269</v>
      </c>
      <c r="S32" s="149">
        <f>S28+S30</f>
        <v>27100</v>
      </c>
      <c r="T32" s="149"/>
      <c r="U32" s="149">
        <f>S32</f>
        <v>27100</v>
      </c>
      <c r="V32" s="149"/>
      <c r="W32" s="149">
        <f>SUM(W28:W30)</f>
        <v>546.46</v>
      </c>
    </row>
    <row r="33" spans="2:23" ht="14.25" customHeight="1" thickBot="1" x14ac:dyDescent="0.35">
      <c r="R33" s="161" t="s">
        <v>280</v>
      </c>
      <c r="S33" s="155"/>
      <c r="T33" s="155"/>
      <c r="U33" s="155"/>
      <c r="V33" s="155"/>
      <c r="W33" s="155"/>
    </row>
    <row r="34" spans="2:23" ht="14.25" customHeight="1" thickBot="1" x14ac:dyDescent="0.35">
      <c r="R34" s="162" t="s">
        <v>281</v>
      </c>
      <c r="S34" s="155"/>
      <c r="T34" s="149"/>
      <c r="U34" s="155"/>
      <c r="V34" s="155"/>
      <c r="W34" s="155"/>
    </row>
    <row r="35" spans="2:23" ht="14.25" customHeight="1" thickBot="1" x14ac:dyDescent="0.35">
      <c r="B35" s="1412" t="s">
        <v>677</v>
      </c>
      <c r="C35" s="1412"/>
      <c r="D35" s="1412"/>
      <c r="E35" s="1412"/>
      <c r="F35" s="1412"/>
      <c r="G35" s="889"/>
      <c r="H35" s="889"/>
      <c r="I35" s="889"/>
      <c r="J35" s="889"/>
      <c r="K35" s="889"/>
      <c r="L35" s="889"/>
      <c r="R35" s="163" t="s">
        <v>261</v>
      </c>
      <c r="S35" s="1144">
        <f>$L$5</f>
        <v>913.30311391407179</v>
      </c>
      <c r="T35" s="1144"/>
      <c r="U35" s="1144">
        <f>S35+T35+V35+W35</f>
        <v>954.24559158765089</v>
      </c>
      <c r="V35" s="1144">
        <f>SUM(AT6:AT20)</f>
        <v>35.80786228896374</v>
      </c>
      <c r="W35" s="1203">
        <f>SUM(L37:L38)</f>
        <v>5.134615384615385</v>
      </c>
    </row>
    <row r="36" spans="2:23" ht="61.25" customHeight="1" x14ac:dyDescent="0.3">
      <c r="B36" s="860" t="s">
        <v>253</v>
      </c>
      <c r="C36" s="860" t="s">
        <v>329</v>
      </c>
      <c r="D36" s="862" t="s">
        <v>671</v>
      </c>
      <c r="E36" s="859" t="s">
        <v>672</v>
      </c>
      <c r="F36" s="862" t="s">
        <v>673</v>
      </c>
      <c r="G36" s="882"/>
      <c r="H36" s="862" t="s">
        <v>673</v>
      </c>
      <c r="I36" s="862" t="s">
        <v>258</v>
      </c>
      <c r="J36" s="862" t="s">
        <v>259</v>
      </c>
      <c r="K36" s="862" t="s">
        <v>260</v>
      </c>
      <c r="L36" s="862" t="s">
        <v>261</v>
      </c>
    </row>
    <row r="37" spans="2:23" x14ac:dyDescent="0.3">
      <c r="B37" s="855" t="s">
        <v>746</v>
      </c>
      <c r="C37" s="856" t="s">
        <v>14</v>
      </c>
      <c r="D37" s="857">
        <v>7.0000000000000007E-2</v>
      </c>
      <c r="E37" s="855">
        <f>$AD$1</f>
        <v>178</v>
      </c>
      <c r="F37" s="855">
        <f>D37*E37</f>
        <v>12.46</v>
      </c>
      <c r="G37"/>
      <c r="H37" s="855">
        <f>F37</f>
        <v>12.46</v>
      </c>
      <c r="I37" s="855">
        <f>VLOOKUP(B37,All_Ingredients!$A$1:$F$151,6,FALSE())</f>
        <v>0.65</v>
      </c>
      <c r="J37" s="855">
        <f>VLOOKUP(B37,All_Ingredients!$A$1:$J$151,10,FALSE())</f>
        <v>45</v>
      </c>
      <c r="K37" s="855">
        <f>(H37/I37)/1000</f>
        <v>1.9169230769230768E-2</v>
      </c>
      <c r="L37" s="855">
        <f t="shared" ref="L37" si="7">K37*J37</f>
        <v>0.86261538461538456</v>
      </c>
    </row>
    <row r="38" spans="2:23" x14ac:dyDescent="0.3">
      <c r="B38" s="855" t="s">
        <v>759</v>
      </c>
      <c r="C38" s="856" t="s">
        <v>14</v>
      </c>
      <c r="D38" s="857">
        <v>3</v>
      </c>
      <c r="E38" s="855">
        <f>$AD$1</f>
        <v>178</v>
      </c>
      <c r="F38" s="855">
        <f>D38*E38</f>
        <v>534</v>
      </c>
      <c r="G38" s="29"/>
      <c r="H38" s="855">
        <f>F38</f>
        <v>534</v>
      </c>
      <c r="I38" s="855">
        <f>VLOOKUP(B38,All_Ingredients!$A$1:$F$151,6,FALSE())</f>
        <v>1</v>
      </c>
      <c r="J38" s="855">
        <f>VLOOKUP(B38,All_Ingredients!$A$1:$J$151,10,FALSE())</f>
        <v>8</v>
      </c>
      <c r="K38" s="855">
        <f>(H38/I38)/1000</f>
        <v>0.53400000000000003</v>
      </c>
      <c r="L38" s="855">
        <f t="shared" ref="L38" si="8">K38*J38</f>
        <v>4.2720000000000002</v>
      </c>
    </row>
    <row r="40" spans="2:23" ht="19.25" customHeight="1" x14ac:dyDescent="0.3">
      <c r="R40" s="165" t="s">
        <v>282</v>
      </c>
      <c r="S40" s="239">
        <v>1</v>
      </c>
      <c r="T40" s="165" t="s">
        <v>283</v>
      </c>
      <c r="U40" s="239">
        <v>0</v>
      </c>
      <c r="V40" s="168">
        <f>S40+U40</f>
        <v>1</v>
      </c>
    </row>
    <row r="41" spans="2:23" ht="14.25" customHeight="1" x14ac:dyDescent="0.3">
      <c r="U41" s="169"/>
    </row>
    <row r="42" spans="2:23" ht="14.25" customHeight="1" x14ac:dyDescent="0.3"/>
    <row r="43" spans="2:23" ht="14.25" customHeight="1" x14ac:dyDescent="0.3">
      <c r="Q43" s="170" t="s">
        <v>284</v>
      </c>
      <c r="R43" s="170" t="s">
        <v>285</v>
      </c>
      <c r="S43" s="170" t="s">
        <v>286</v>
      </c>
      <c r="T43" s="170" t="s">
        <v>287</v>
      </c>
      <c r="U43" s="170" t="s">
        <v>288</v>
      </c>
      <c r="V43" s="170" t="s">
        <v>289</v>
      </c>
      <c r="W43" s="258" t="s">
        <v>290</v>
      </c>
    </row>
    <row r="44" spans="2:23" ht="14.25" customHeight="1" x14ac:dyDescent="0.3">
      <c r="Q44" s="172">
        <v>10000</v>
      </c>
      <c r="R44" s="173">
        <f>D51</f>
        <v>10000</v>
      </c>
      <c r="S44" s="174">
        <v>0</v>
      </c>
      <c r="T44" s="174">
        <v>0</v>
      </c>
      <c r="U44" s="242">
        <f>R44*S44</f>
        <v>0</v>
      </c>
      <c r="V44" s="176">
        <f>R44*T44</f>
        <v>0</v>
      </c>
      <c r="W44" s="260">
        <f>Q44-U44</f>
        <v>10000</v>
      </c>
    </row>
    <row r="50" spans="1:10" x14ac:dyDescent="0.3">
      <c r="B50" s="302"/>
      <c r="C50" s="145" t="s">
        <v>245</v>
      </c>
      <c r="D50" s="145" t="s">
        <v>291</v>
      </c>
      <c r="E50" s="183"/>
      <c r="F50" s="100"/>
      <c r="G50" s="145" t="s">
        <v>292</v>
      </c>
      <c r="H50" s="145" t="s">
        <v>245</v>
      </c>
      <c r="I50" s="145" t="s">
        <v>293</v>
      </c>
      <c r="J50" s="145" t="s">
        <v>294</v>
      </c>
    </row>
    <row r="51" spans="1:10" ht="14" customHeight="1" x14ac:dyDescent="0.3">
      <c r="B51" s="180" t="s">
        <v>295</v>
      </c>
      <c r="C51" s="181">
        <f>10/$K$1</f>
        <v>10.152284263959391</v>
      </c>
      <c r="D51" s="182">
        <f>$C$1*10</f>
        <v>10000</v>
      </c>
      <c r="E51" s="183"/>
      <c r="F51" s="100"/>
      <c r="G51" s="180" t="s">
        <v>295</v>
      </c>
      <c r="H51" s="277">
        <v>10</v>
      </c>
      <c r="I51" s="181">
        <f>J51/$R$1</f>
        <v>16949.152542372882</v>
      </c>
      <c r="J51" s="181">
        <f>$W$44</f>
        <v>10000</v>
      </c>
    </row>
    <row r="52" spans="1:10" ht="14" customHeight="1" x14ac:dyDescent="0.3">
      <c r="B52" s="231" t="s">
        <v>274</v>
      </c>
      <c r="C52" s="232">
        <f>$I$1</f>
        <v>27.512690355329951</v>
      </c>
      <c r="D52" s="233">
        <f>$E$1</f>
        <v>27100</v>
      </c>
      <c r="E52" s="100"/>
      <c r="F52" s="100"/>
      <c r="G52" s="148" t="s">
        <v>274</v>
      </c>
      <c r="H52" s="210">
        <f>I52/$D$5</f>
        <v>27.1</v>
      </c>
      <c r="I52" s="176">
        <f>J52/$R$1</f>
        <v>45932.203389830509</v>
      </c>
      <c r="J52" s="184">
        <f>$S$32</f>
        <v>27100</v>
      </c>
    </row>
    <row r="53" spans="1:10" x14ac:dyDescent="0.3">
      <c r="B53" s="231" t="s">
        <v>296</v>
      </c>
      <c r="C53" s="234">
        <f>MIN(C52, C51)</f>
        <v>10.152284263959391</v>
      </c>
      <c r="D53" s="233">
        <f>(C53*$K$1)*$C$1</f>
        <v>10000</v>
      </c>
      <c r="E53" s="100"/>
      <c r="F53" s="100"/>
      <c r="G53" s="148" t="s">
        <v>296</v>
      </c>
      <c r="H53" s="187">
        <f>MIN(H52,H51)</f>
        <v>10</v>
      </c>
      <c r="I53" s="176">
        <f>J53/$R$1</f>
        <v>16949.152542372882</v>
      </c>
      <c r="J53" s="176">
        <f>MIN(J52,J51)</f>
        <v>10000</v>
      </c>
    </row>
    <row r="54" spans="1:10" x14ac:dyDescent="0.3">
      <c r="B54" s="231" t="s">
        <v>297</v>
      </c>
      <c r="C54" s="234">
        <f>MIN(MAX(C52-C53,0),C51)</f>
        <v>10.152284263959391</v>
      </c>
      <c r="D54" s="233">
        <f>(C54*$K$1)*$C$1</f>
        <v>10000</v>
      </c>
      <c r="E54" s="100"/>
      <c r="F54" s="100"/>
      <c r="G54" s="148" t="s">
        <v>297</v>
      </c>
      <c r="H54" s="187">
        <f>MIN(MAX(H52-H53),H51)</f>
        <v>10</v>
      </c>
      <c r="I54" s="176">
        <f>J54/$R$1</f>
        <v>16949.152542372882</v>
      </c>
      <c r="J54" s="176">
        <f>MIN(MAX(J52-J53),J51)</f>
        <v>10000</v>
      </c>
    </row>
    <row r="55" spans="1:10" x14ac:dyDescent="0.3">
      <c r="B55" s="231" t="s">
        <v>298</v>
      </c>
      <c r="C55" s="234">
        <f>MIN(MAX(C52-C53-C54,0),C51)</f>
        <v>7.2081218274111691</v>
      </c>
      <c r="D55" s="233">
        <f>(C55*$K$1)*$C$1</f>
        <v>7100.0000000000018</v>
      </c>
      <c r="E55" s="100"/>
      <c r="F55" s="100"/>
      <c r="G55" s="145" t="s">
        <v>298</v>
      </c>
      <c r="H55" s="187">
        <f>MIN(MAX(H52-H53-H54),H51)</f>
        <v>7.1000000000000014</v>
      </c>
      <c r="I55" s="176">
        <f>J55/$R$1</f>
        <v>12033.898305084746</v>
      </c>
      <c r="J55" s="176">
        <f>MIN(MAX(J52-J53-J54),J51)</f>
        <v>7100</v>
      </c>
    </row>
    <row r="56" spans="1:10" ht="14.25" customHeight="1" x14ac:dyDescent="0.3"/>
    <row r="57" spans="1:10" ht="14.25" customHeight="1" x14ac:dyDescent="0.3"/>
    <row r="58" spans="1:10" ht="14.25" customHeight="1" x14ac:dyDescent="0.3"/>
    <row r="60" spans="1:10" ht="48.75" customHeight="1" x14ac:dyDescent="0.3"/>
    <row r="62" spans="1:10" ht="17.75" customHeight="1" x14ac:dyDescent="0.3">
      <c r="A62" s="937"/>
      <c r="B62" s="1413" t="s">
        <v>323</v>
      </c>
      <c r="C62" s="1413"/>
      <c r="D62" s="1413"/>
      <c r="E62" s="1413"/>
      <c r="F62" s="1413"/>
      <c r="G62" s="1413"/>
      <c r="H62" s="1413"/>
    </row>
    <row r="63" spans="1:10" ht="14" customHeight="1" x14ac:dyDescent="0.3">
      <c r="A63" s="937"/>
      <c r="B63" s="1382"/>
      <c r="C63" s="1382"/>
      <c r="D63" s="1382"/>
      <c r="E63" s="1382"/>
      <c r="F63" s="1382"/>
      <c r="G63" s="1382"/>
      <c r="H63" s="1382"/>
    </row>
    <row r="64" spans="1:10" ht="42" customHeight="1" x14ac:dyDescent="0.25">
      <c r="A64" s="91"/>
      <c r="B64" s="91" t="s">
        <v>253</v>
      </c>
      <c r="C64" s="107" t="s">
        <v>254</v>
      </c>
      <c r="D64" s="91" t="s">
        <v>243</v>
      </c>
      <c r="E64" s="108" t="s">
        <v>246</v>
      </c>
      <c r="F64" s="108" t="s">
        <v>255</v>
      </c>
      <c r="G64" s="91" t="s">
        <v>256</v>
      </c>
      <c r="H64" s="109" t="s">
        <v>257</v>
      </c>
    </row>
    <row r="65" spans="1:10" ht="14.25" customHeight="1" x14ac:dyDescent="0.3">
      <c r="A65" s="128" t="s">
        <v>230</v>
      </c>
      <c r="B65" s="269" t="str">
        <f>B5</f>
        <v>Chicken - دجاج</v>
      </c>
      <c r="C65" s="124" t="str">
        <f>C5</f>
        <v>gm</v>
      </c>
      <c r="D65" s="116">
        <f>D5</f>
        <v>1694.9152542372881</v>
      </c>
      <c r="E65" s="126">
        <f>H52</f>
        <v>27.1</v>
      </c>
      <c r="F65" s="127">
        <f>F5</f>
        <v>1</v>
      </c>
      <c r="G65" s="119">
        <f>D65*E65</f>
        <v>45932.203389830509</v>
      </c>
      <c r="H65" s="120">
        <f>G65*F65</f>
        <v>45932.203389830509</v>
      </c>
    </row>
    <row r="66" spans="1:10" ht="14.25" customHeight="1" x14ac:dyDescent="0.3">
      <c r="A66" s="128"/>
      <c r="B66" s="269"/>
      <c r="C66" s="124"/>
      <c r="D66" s="125"/>
      <c r="E66" s="126"/>
      <c r="F66" s="127"/>
      <c r="G66" s="119"/>
      <c r="H66" s="120"/>
    </row>
    <row r="67" spans="1:10" ht="31.25" customHeight="1" x14ac:dyDescent="0.4">
      <c r="A67" s="204"/>
      <c r="B67" s="484"/>
      <c r="C67" s="485"/>
      <c r="D67" s="486"/>
      <c r="E67" s="485"/>
      <c r="F67" s="486"/>
      <c r="G67" s="485"/>
      <c r="H67" s="487"/>
    </row>
    <row r="68" spans="1:10" ht="14.25" customHeight="1" x14ac:dyDescent="0.3">
      <c r="B68" s="897"/>
      <c r="C68" s="133"/>
      <c r="D68" s="254"/>
      <c r="E68" s="135"/>
      <c r="F68" s="136"/>
      <c r="G68" s="137"/>
      <c r="H68" s="138"/>
    </row>
    <row r="69" spans="1:10" ht="14.25" customHeight="1" x14ac:dyDescent="0.3">
      <c r="B69" s="897"/>
      <c r="C69" s="133"/>
      <c r="D69" s="254"/>
      <c r="E69" s="135"/>
      <c r="F69" s="136"/>
      <c r="G69" s="137"/>
      <c r="H69" s="138"/>
    </row>
    <row r="70" spans="1:10" ht="14.25" customHeight="1" x14ac:dyDescent="0.3">
      <c r="B70" s="897"/>
      <c r="C70" s="133"/>
      <c r="D70" s="254"/>
      <c r="E70" s="135"/>
      <c r="F70" s="136"/>
      <c r="G70" s="137"/>
      <c r="H70" s="138"/>
    </row>
    <row r="71" spans="1:10" ht="14.25" customHeight="1" x14ac:dyDescent="0.3">
      <c r="B71" s="897"/>
      <c r="C71" s="133"/>
      <c r="D71" s="254"/>
      <c r="E71" s="135"/>
      <c r="F71" s="136"/>
      <c r="G71" s="137"/>
      <c r="H71" s="138"/>
    </row>
    <row r="72" spans="1:10" ht="14.25" customHeight="1" x14ac:dyDescent="0.3">
      <c r="B72" s="897"/>
      <c r="C72" s="133"/>
      <c r="D72" s="254"/>
      <c r="E72" s="135"/>
      <c r="F72" s="136"/>
      <c r="G72" s="137"/>
      <c r="H72" s="138"/>
    </row>
    <row r="73" spans="1:10" ht="14" customHeight="1" x14ac:dyDescent="0.3">
      <c r="B73" s="897"/>
      <c r="C73" s="133"/>
      <c r="D73" s="254"/>
      <c r="E73" s="135"/>
      <c r="F73" s="136"/>
      <c r="G73" s="137"/>
      <c r="H73" s="138"/>
    </row>
    <row r="74" spans="1:10" ht="14" customHeight="1" x14ac:dyDescent="0.3">
      <c r="B74" s="897"/>
      <c r="C74" s="133"/>
      <c r="D74" s="254"/>
      <c r="E74" s="135"/>
      <c r="F74" s="136"/>
      <c r="G74" s="137"/>
      <c r="H74" s="138"/>
    </row>
    <row r="75" spans="1:10" ht="14.25" customHeight="1" x14ac:dyDescent="0.3">
      <c r="B75" s="897"/>
      <c r="C75" s="133"/>
      <c r="D75" s="254"/>
      <c r="E75" s="135"/>
      <c r="F75" s="136"/>
      <c r="G75" s="137"/>
      <c r="H75" s="138"/>
    </row>
    <row r="76" spans="1:10" ht="20.25" customHeight="1" x14ac:dyDescent="0.4">
      <c r="B76" s="897"/>
      <c r="C76" s="133"/>
      <c r="D76" s="254"/>
      <c r="E76" s="135"/>
      <c r="F76" s="136"/>
      <c r="G76" s="137"/>
      <c r="H76" s="138"/>
      <c r="I76" s="204"/>
      <c r="J76" s="203"/>
    </row>
    <row r="77" spans="1:10" ht="14.25" customHeight="1" x14ac:dyDescent="0.3">
      <c r="B77" s="897"/>
      <c r="C77" s="133"/>
      <c r="D77" s="254"/>
      <c r="E77" s="135"/>
      <c r="F77" s="136"/>
      <c r="G77" s="137"/>
      <c r="H77" s="138"/>
    </row>
    <row r="78" spans="1:10" ht="14.25" customHeight="1" x14ac:dyDescent="0.3">
      <c r="B78" s="897"/>
      <c r="C78" s="133"/>
      <c r="D78" s="254"/>
      <c r="E78" s="135"/>
      <c r="F78" s="136"/>
      <c r="G78" s="137"/>
      <c r="H78" s="138"/>
    </row>
    <row r="79" spans="1:10" ht="14.25" customHeight="1" x14ac:dyDescent="0.3">
      <c r="B79" s="897"/>
      <c r="C79" s="133"/>
      <c r="D79" s="254"/>
      <c r="E79" s="135"/>
      <c r="F79" s="136"/>
      <c r="G79" s="137"/>
      <c r="H79" s="138"/>
    </row>
    <row r="80" spans="1:10" ht="14.25" customHeight="1" x14ac:dyDescent="0.3">
      <c r="B80" s="897"/>
      <c r="C80" s="133"/>
      <c r="D80" s="254"/>
      <c r="E80" s="135"/>
      <c r="F80" s="136"/>
      <c r="G80" s="137"/>
      <c r="H80" s="138"/>
    </row>
    <row r="81" spans="1:8" ht="20.25" customHeight="1" x14ac:dyDescent="0.4">
      <c r="H81" s="203"/>
    </row>
    <row r="82" spans="1:8" ht="14.25" customHeight="1" x14ac:dyDescent="0.3">
      <c r="B82" s="100"/>
      <c r="C82" s="208"/>
      <c r="D82" s="209"/>
      <c r="E82" s="100"/>
      <c r="F82" s="100"/>
    </row>
    <row r="83" spans="1:8" ht="14.25" customHeight="1" x14ac:dyDescent="0.3">
      <c r="B83" s="301"/>
      <c r="E83" s="100"/>
      <c r="F83" s="100"/>
    </row>
    <row r="84" spans="1:8" ht="14.25" customHeight="1" x14ac:dyDescent="0.3">
      <c r="B84" s="301"/>
      <c r="C84" s="100"/>
      <c r="D84" s="100"/>
      <c r="E84" s="100"/>
      <c r="F84" s="100"/>
      <c r="G84" s="100"/>
      <c r="H84" s="100"/>
    </row>
    <row r="85" spans="1:8" ht="14.25" customHeight="1" x14ac:dyDescent="0.3">
      <c r="B85" s="301"/>
      <c r="C85" s="100"/>
      <c r="D85" s="100"/>
      <c r="E85" s="100"/>
      <c r="F85" s="100"/>
      <c r="G85" s="100"/>
      <c r="H85" s="100"/>
    </row>
    <row r="86" spans="1:8" ht="17.75" customHeight="1" x14ac:dyDescent="0.3">
      <c r="B86" s="1428"/>
      <c r="C86" s="1389"/>
      <c r="D86" s="1389"/>
      <c r="E86" s="1389"/>
      <c r="F86" s="1389"/>
      <c r="G86" s="1389"/>
      <c r="H86" s="1389"/>
    </row>
    <row r="87" spans="1:8" ht="17.75" customHeight="1" x14ac:dyDescent="0.3">
      <c r="B87" s="1428"/>
      <c r="C87" s="1422"/>
      <c r="D87" s="1422"/>
      <c r="E87" s="1422"/>
      <c r="F87" s="1422"/>
      <c r="G87" s="1422"/>
      <c r="H87" s="1422"/>
    </row>
    <row r="88" spans="1:8" ht="25.5" customHeight="1" x14ac:dyDescent="0.25">
      <c r="A88" s="371"/>
      <c r="B88" s="371"/>
      <c r="C88" s="348"/>
      <c r="D88" s="371"/>
      <c r="E88" s="371"/>
      <c r="F88" s="371"/>
      <c r="G88" s="371"/>
      <c r="H88" s="347"/>
    </row>
    <row r="89" spans="1:8" ht="14.25" customHeight="1" x14ac:dyDescent="0.3">
      <c r="B89" s="897"/>
      <c r="C89" s="92"/>
      <c r="D89" s="137"/>
      <c r="E89" s="135"/>
      <c r="F89" s="136"/>
      <c r="G89" s="137"/>
      <c r="H89" s="138"/>
    </row>
    <row r="90" spans="1:8" ht="14.25" customHeight="1" x14ac:dyDescent="0.3">
      <c r="B90" s="897"/>
      <c r="C90" s="92"/>
      <c r="D90" s="92"/>
      <c r="E90" s="135"/>
      <c r="F90" s="136"/>
      <c r="G90" s="137"/>
      <c r="H90" s="138"/>
    </row>
    <row r="91" spans="1:8" ht="14.25" customHeight="1" x14ac:dyDescent="0.3">
      <c r="B91" s="897"/>
      <c r="C91" s="92"/>
      <c r="D91" s="92"/>
      <c r="E91" s="135"/>
      <c r="F91" s="136"/>
      <c r="G91" s="137"/>
      <c r="H91" s="138"/>
    </row>
    <row r="92" spans="1:8" ht="14.25" customHeight="1" x14ac:dyDescent="0.3">
      <c r="B92" s="897"/>
      <c r="C92" s="92"/>
      <c r="D92" s="92"/>
      <c r="E92" s="135"/>
      <c r="F92" s="136"/>
      <c r="G92" s="137"/>
      <c r="H92" s="138"/>
    </row>
    <row r="93" spans="1:8" ht="14.25" customHeight="1" x14ac:dyDescent="0.3">
      <c r="B93" s="897"/>
      <c r="C93" s="92"/>
      <c r="D93" s="92"/>
      <c r="E93" s="135"/>
      <c r="F93" s="136"/>
      <c r="G93" s="137"/>
      <c r="H93" s="138"/>
    </row>
    <row r="94" spans="1:8" ht="14.25" customHeight="1" x14ac:dyDescent="0.3">
      <c r="B94" s="897"/>
      <c r="C94" s="92"/>
      <c r="D94" s="92"/>
      <c r="E94" s="135"/>
      <c r="F94" s="136"/>
      <c r="G94" s="137"/>
      <c r="H94" s="138"/>
    </row>
    <row r="95" spans="1:8" ht="14.25" customHeight="1" x14ac:dyDescent="0.3">
      <c r="B95" s="897"/>
      <c r="C95" s="92"/>
      <c r="D95" s="92"/>
      <c r="E95" s="135"/>
      <c r="F95" s="136"/>
      <c r="G95" s="137"/>
      <c r="H95" s="138"/>
    </row>
    <row r="96" spans="1:8" ht="14.25" customHeight="1" x14ac:dyDescent="0.3">
      <c r="B96" s="897"/>
      <c r="C96" s="92"/>
      <c r="D96" s="92"/>
      <c r="E96" s="135"/>
      <c r="F96" s="136"/>
      <c r="G96" s="137"/>
      <c r="H96" s="138"/>
    </row>
    <row r="97" spans="2:8" ht="14.25" customHeight="1" x14ac:dyDescent="0.3">
      <c r="B97" s="897"/>
      <c r="C97" s="92"/>
      <c r="D97" s="92"/>
      <c r="E97" s="135"/>
      <c r="F97" s="136"/>
      <c r="G97" s="137"/>
      <c r="H97" s="138"/>
    </row>
    <row r="98" spans="2:8" ht="14.25" customHeight="1" x14ac:dyDescent="0.3">
      <c r="B98" s="897"/>
      <c r="C98" s="92"/>
      <c r="D98" s="92"/>
      <c r="E98" s="135"/>
      <c r="F98" s="136"/>
      <c r="G98" s="137"/>
      <c r="H98" s="138"/>
    </row>
    <row r="99" spans="2:8" ht="14.25" customHeight="1" x14ac:dyDescent="0.3">
      <c r="B99" s="897"/>
      <c r="C99" s="92"/>
      <c r="D99" s="92"/>
      <c r="E99" s="135"/>
      <c r="F99" s="136"/>
      <c r="G99" s="137"/>
      <c r="H99" s="138"/>
    </row>
    <row r="100" spans="2:8" ht="14.25" customHeight="1" x14ac:dyDescent="0.3">
      <c r="B100" s="897"/>
      <c r="C100" s="92"/>
      <c r="D100" s="92"/>
      <c r="E100" s="135"/>
      <c r="F100" s="136"/>
      <c r="G100" s="137"/>
      <c r="H100" s="138"/>
    </row>
    <row r="101" spans="2:8" ht="14.25" customHeight="1" x14ac:dyDescent="0.3">
      <c r="B101" s="897"/>
      <c r="C101" s="92"/>
      <c r="D101" s="92"/>
      <c r="E101" s="135"/>
      <c r="F101" s="136"/>
      <c r="G101" s="137"/>
      <c r="H101" s="138"/>
    </row>
    <row r="102" spans="2:8" ht="14.25" customHeight="1" x14ac:dyDescent="0.3">
      <c r="B102" s="897"/>
      <c r="C102" s="92"/>
      <c r="D102" s="92"/>
      <c r="E102" s="135"/>
      <c r="F102" s="136"/>
      <c r="G102" s="137"/>
      <c r="H102" s="138"/>
    </row>
    <row r="103" spans="2:8" ht="14.25" customHeight="1" x14ac:dyDescent="0.3">
      <c r="B103" s="897"/>
      <c r="C103" s="92"/>
      <c r="D103" s="92"/>
      <c r="E103" s="135"/>
      <c r="F103" s="136"/>
      <c r="G103" s="137"/>
      <c r="H103" s="138"/>
    </row>
    <row r="104" spans="2:8" ht="14.25" customHeight="1" x14ac:dyDescent="0.3">
      <c r="B104" s="897"/>
      <c r="C104" s="92"/>
      <c r="D104" s="92"/>
      <c r="E104" s="135"/>
      <c r="F104" s="136"/>
      <c r="G104" s="137"/>
      <c r="H104" s="138"/>
    </row>
    <row r="105" spans="2:8" ht="20.25" customHeight="1" x14ac:dyDescent="0.4">
      <c r="B105" s="204"/>
      <c r="C105" s="484"/>
      <c r="D105" s="485"/>
      <c r="E105" s="486"/>
      <c r="F105" s="485"/>
      <c r="G105" s="487"/>
      <c r="H105" s="203"/>
    </row>
  </sheetData>
  <mergeCells count="9">
    <mergeCell ref="AL2:AM2"/>
    <mergeCell ref="AE2:AG3"/>
    <mergeCell ref="R26:U26"/>
    <mergeCell ref="B87:H87"/>
    <mergeCell ref="R25:U25"/>
    <mergeCell ref="B86:H86"/>
    <mergeCell ref="B2:H3"/>
    <mergeCell ref="B35:F35"/>
    <mergeCell ref="B62:H63"/>
  </mergeCells>
  <printOptions horizontalCentered="1"/>
  <pageMargins left="0.4" right="0.4" top="1" bottom="0.5" header="0.3" footer="0.511811023622047"/>
  <pageSetup paperSize="9" scale="48" orientation="landscape"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pageSetUpPr fitToPage="1"/>
  </sheetPr>
  <dimension ref="A1:AF974"/>
  <sheetViews>
    <sheetView topLeftCell="B7" zoomScale="115" zoomScaleNormal="115" workbookViewId="0">
      <selection activeCell="AF30" sqref="AF30"/>
    </sheetView>
  </sheetViews>
  <sheetFormatPr defaultColWidth="12.5" defaultRowHeight="12.5" x14ac:dyDescent="0.25"/>
  <cols>
    <col min="1" max="1" width="12.5" style="14" customWidth="1"/>
    <col min="2" max="2" width="38.33203125" style="14" customWidth="1"/>
    <col min="3" max="3" width="24"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3.6640625" style="14" customWidth="1"/>
    <col min="15" max="15" width="16.75" style="14" customWidth="1"/>
    <col min="16" max="17" width="12.5" style="14" customWidth="1"/>
    <col min="18" max="18" width="23" style="14" bestFit="1" customWidth="1"/>
    <col min="19" max="19" width="15.9140625" style="14" customWidth="1"/>
    <col min="20" max="20" width="14.25" style="14" bestFit="1" customWidth="1"/>
    <col min="21" max="25" width="12.5" style="14" customWidth="1"/>
    <col min="26" max="27" width="13.33203125" style="14" bestFit="1" customWidth="1"/>
    <col min="28" max="28" width="11.9140625" style="14" bestFit="1" customWidth="1"/>
    <col min="29" max="29" width="13.33203125" style="14" bestFit="1" customWidth="1"/>
    <col min="30" max="30" width="12.5" style="14" customWidth="1"/>
    <col min="31" max="16384" width="12.5" style="14"/>
  </cols>
  <sheetData>
    <row r="1" spans="1:32" ht="28.5" customHeight="1" x14ac:dyDescent="0.3">
      <c r="B1" s="80" t="s">
        <v>343</v>
      </c>
      <c r="C1" s="81">
        <v>1</v>
      </c>
      <c r="D1" s="82" t="s">
        <v>244</v>
      </c>
      <c r="E1" s="117">
        <f>U32</f>
        <v>193</v>
      </c>
      <c r="F1" s="80" t="s">
        <v>245</v>
      </c>
      <c r="G1" s="117">
        <f>E1/C1</f>
        <v>193</v>
      </c>
      <c r="H1" s="80" t="s">
        <v>246</v>
      </c>
      <c r="I1" s="117"/>
      <c r="J1" s="326" t="s">
        <v>247</v>
      </c>
      <c r="K1" s="327"/>
      <c r="L1" s="100"/>
      <c r="M1" s="100"/>
      <c r="N1" s="100"/>
      <c r="O1" s="91" t="s">
        <v>248</v>
      </c>
      <c r="P1" s="92" t="s">
        <v>344</v>
      </c>
      <c r="Q1" s="93" t="s">
        <v>250</v>
      </c>
      <c r="R1" s="92">
        <v>0.52</v>
      </c>
      <c r="S1" s="93" t="s">
        <v>345</v>
      </c>
      <c r="T1" s="328">
        <v>100</v>
      </c>
      <c r="U1" s="100"/>
      <c r="V1" s="100"/>
      <c r="Y1" s="91" t="s">
        <v>479</v>
      </c>
      <c r="Z1" s="847">
        <v>188</v>
      </c>
      <c r="AA1" s="91" t="s">
        <v>600</v>
      </c>
      <c r="AB1" s="847">
        <v>5</v>
      </c>
      <c r="AC1" s="91" t="s">
        <v>587</v>
      </c>
      <c r="AD1" s="847">
        <v>188</v>
      </c>
      <c r="AE1" s="91" t="s">
        <v>578</v>
      </c>
      <c r="AF1" s="847">
        <f>Z1+AB1</f>
        <v>193</v>
      </c>
    </row>
    <row r="2" spans="1:32" ht="12.75" customHeight="1" x14ac:dyDescent="0.25">
      <c r="A2" s="330"/>
      <c r="B2" s="1415" t="s">
        <v>346</v>
      </c>
      <c r="C2" s="1415"/>
      <c r="D2" s="1415"/>
      <c r="E2" s="1415"/>
      <c r="F2" s="1415"/>
      <c r="G2" s="1415"/>
      <c r="H2" s="1415"/>
      <c r="I2" s="648"/>
      <c r="J2" s="648"/>
      <c r="K2" s="648"/>
      <c r="L2" s="293"/>
      <c r="M2" s="131"/>
      <c r="O2" s="100"/>
      <c r="P2" s="100"/>
      <c r="Q2" s="100"/>
      <c r="R2" s="100"/>
      <c r="S2" s="100"/>
      <c r="T2" s="100"/>
      <c r="U2" s="100"/>
    </row>
    <row r="3" spans="1:32" ht="12.75" customHeight="1" x14ac:dyDescent="0.3">
      <c r="A3" s="330"/>
      <c r="B3" s="1387"/>
      <c r="C3" s="1387"/>
      <c r="D3" s="1387"/>
      <c r="E3" s="1387"/>
      <c r="F3" s="1387"/>
      <c r="G3" s="1387"/>
      <c r="H3" s="1387"/>
      <c r="I3" s="649"/>
      <c r="J3" s="649"/>
      <c r="K3" s="649"/>
      <c r="L3" s="293"/>
      <c r="M3" s="131"/>
      <c r="O3" s="100"/>
      <c r="P3" s="100"/>
      <c r="Q3" s="100"/>
      <c r="R3" s="100"/>
      <c r="S3" s="100"/>
      <c r="T3" s="100"/>
      <c r="U3" s="100"/>
    </row>
    <row r="4" spans="1:32" ht="68.75" customHeight="1" x14ac:dyDescent="0.25">
      <c r="A4" s="91" t="s">
        <v>1</v>
      </c>
      <c r="B4" s="91" t="s">
        <v>253</v>
      </c>
      <c r="C4" s="107" t="s">
        <v>254</v>
      </c>
      <c r="D4" s="91" t="s">
        <v>519</v>
      </c>
      <c r="E4" s="108" t="s">
        <v>246</v>
      </c>
      <c r="F4" s="108" t="s">
        <v>255</v>
      </c>
      <c r="G4" s="91" t="s">
        <v>256</v>
      </c>
      <c r="H4" s="331" t="s">
        <v>347</v>
      </c>
      <c r="I4" s="91" t="s">
        <v>258</v>
      </c>
      <c r="J4" s="91" t="s">
        <v>259</v>
      </c>
      <c r="K4" s="91" t="s">
        <v>260</v>
      </c>
      <c r="L4" s="91" t="s">
        <v>261</v>
      </c>
      <c r="M4" s="131"/>
      <c r="O4" s="100"/>
      <c r="P4" s="100"/>
      <c r="Q4" s="100"/>
      <c r="R4" s="100"/>
      <c r="S4" s="100"/>
    </row>
    <row r="5" spans="1:32" ht="14.25" customHeight="1" x14ac:dyDescent="0.25">
      <c r="A5" s="295" t="s">
        <v>230</v>
      </c>
      <c r="B5" s="125" t="s">
        <v>229</v>
      </c>
      <c r="C5" s="124" t="s">
        <v>14</v>
      </c>
      <c r="D5" s="268">
        <f>T1/R1</f>
        <v>192.30769230769229</v>
      </c>
      <c r="E5" s="116">
        <f>G1</f>
        <v>193</v>
      </c>
      <c r="F5" s="127">
        <v>1</v>
      </c>
      <c r="G5" s="121">
        <f>D5*E5</f>
        <v>37115.38461538461</v>
      </c>
      <c r="H5" s="120">
        <f>G5*F5</f>
        <v>37115.38461538461</v>
      </c>
      <c r="I5" s="81">
        <f>VLOOKUP(B5,All_Ingredients!$A$1:$F$151,6,FALSE())</f>
        <v>0.86</v>
      </c>
      <c r="J5" s="119">
        <f>VLOOKUP(B5,All_Ingredients!$A$1:$J$151,10,FALSE())</f>
        <v>17.100000000000001</v>
      </c>
      <c r="K5" s="122">
        <f>(H5/I5)/1000</f>
        <v>43.157423971377455</v>
      </c>
      <c r="L5" s="122">
        <f>K5*J5</f>
        <v>737.99194991055458</v>
      </c>
      <c r="M5" s="131"/>
    </row>
    <row r="6" spans="1:32" ht="14.25" customHeight="1" x14ac:dyDescent="0.25">
      <c r="B6" s="323" t="s">
        <v>381</v>
      </c>
      <c r="C6" s="115" t="s">
        <v>14</v>
      </c>
      <c r="D6" s="116">
        <v>10</v>
      </c>
      <c r="E6" s="116">
        <f>$G$1</f>
        <v>193</v>
      </c>
      <c r="F6" s="127">
        <v>1</v>
      </c>
      <c r="G6" s="119">
        <f>D6*E6</f>
        <v>1930</v>
      </c>
      <c r="H6" s="120">
        <f>G6*F6</f>
        <v>1930</v>
      </c>
      <c r="I6" s="81">
        <f>VLOOKUP(B6,All_Ingredients!$A$1:$F$151,6,FALSE())</f>
        <v>0.56999999999999995</v>
      </c>
      <c r="J6" s="119">
        <f>VLOOKUP(B6,All_Ingredients!$A$1:$J$151,10,FALSE())</f>
        <v>8.5</v>
      </c>
      <c r="K6" s="122">
        <f>(H6/I6)/1000</f>
        <v>3.3859649122807021</v>
      </c>
      <c r="L6" s="122">
        <f>K6*J6</f>
        <v>28.780701754385966</v>
      </c>
      <c r="M6" s="131"/>
      <c r="P6" s="131"/>
    </row>
    <row r="7" spans="1:32" ht="14.25" customHeight="1" x14ac:dyDescent="0.25">
      <c r="B7" s="323" t="s">
        <v>863</v>
      </c>
      <c r="C7" s="124" t="s">
        <v>241</v>
      </c>
      <c r="D7" s="116">
        <v>1</v>
      </c>
      <c r="E7" s="116">
        <f>$Z$1+$AB$1</f>
        <v>193</v>
      </c>
      <c r="F7" s="127">
        <v>1</v>
      </c>
      <c r="G7" s="121">
        <f>D7*($Z$1+$AB$1)</f>
        <v>193</v>
      </c>
      <c r="H7" s="120">
        <f>G7*F7</f>
        <v>193</v>
      </c>
      <c r="I7" s="81">
        <f>VLOOKUP(B7,All_Ingredients!$A$1:$F$151,6,FALSE())</f>
        <v>1</v>
      </c>
      <c r="J7" s="119">
        <f>VLOOKUP(B7,All_Ingredients!$A$1:$J$151,10,FALSE())</f>
        <v>2</v>
      </c>
      <c r="K7" s="175">
        <f>H7*I7</f>
        <v>193</v>
      </c>
      <c r="L7" s="122">
        <f>K7*J7</f>
        <v>386</v>
      </c>
      <c r="M7" s="131"/>
      <c r="P7" s="131"/>
    </row>
    <row r="8" spans="1:32" ht="31.5" customHeight="1" x14ac:dyDescent="0.25">
      <c r="B8" s="212"/>
      <c r="C8" s="332"/>
      <c r="D8" s="212"/>
      <c r="E8" s="333"/>
      <c r="F8" s="136"/>
      <c r="G8" s="137"/>
      <c r="H8" s="138"/>
      <c r="I8" s="92"/>
      <c r="J8" s="137"/>
      <c r="K8" s="131"/>
      <c r="L8" s="131"/>
      <c r="P8" s="131"/>
    </row>
    <row r="9" spans="1:32" ht="28.5" customHeight="1" x14ac:dyDescent="0.25">
      <c r="B9" s="94" t="s">
        <v>262</v>
      </c>
      <c r="C9" s="94">
        <v>10000</v>
      </c>
      <c r="D9" s="628" t="s">
        <v>520</v>
      </c>
      <c r="E9" s="629">
        <f>$S$32*100</f>
        <v>19300</v>
      </c>
      <c r="F9" s="94" t="s">
        <v>251</v>
      </c>
      <c r="G9" s="650">
        <f>(($S$32*$T$1)/$R$1)/$C$9</f>
        <v>3.7115384615384617</v>
      </c>
      <c r="H9" s="95"/>
      <c r="I9" s="92"/>
      <c r="J9" s="137"/>
      <c r="K9" s="131"/>
      <c r="L9" s="131"/>
      <c r="P9" s="131"/>
    </row>
    <row r="10" spans="1:32" ht="14.25" customHeight="1" x14ac:dyDescent="0.25">
      <c r="B10" s="646"/>
      <c r="C10" s="1386" t="s">
        <v>346</v>
      </c>
      <c r="D10" s="1386"/>
      <c r="E10" s="1386"/>
      <c r="F10" s="1386"/>
      <c r="G10" s="101"/>
      <c r="H10" s="101"/>
      <c r="I10" s="92"/>
      <c r="J10" s="137"/>
      <c r="K10" s="131"/>
      <c r="L10" s="131"/>
    </row>
    <row r="11" spans="1:32" ht="35" customHeight="1" x14ac:dyDescent="0.25">
      <c r="B11" s="104"/>
      <c r="C11" s="104"/>
      <c r="D11" s="105"/>
      <c r="E11" s="105"/>
      <c r="F11" s="105"/>
      <c r="G11" s="104"/>
      <c r="H11" s="104"/>
      <c r="I11" s="92"/>
      <c r="J11" s="137"/>
      <c r="K11" s="131"/>
      <c r="L11" s="131"/>
    </row>
    <row r="12" spans="1:32" ht="41" customHeight="1" x14ac:dyDescent="0.25">
      <c r="B12" s="110" t="s">
        <v>253</v>
      </c>
      <c r="C12" s="111" t="s">
        <v>254</v>
      </c>
      <c r="D12" s="110" t="s">
        <v>262</v>
      </c>
      <c r="E12" s="110" t="s">
        <v>246</v>
      </c>
      <c r="F12" s="110" t="s">
        <v>255</v>
      </c>
      <c r="G12" s="110" t="s">
        <v>256</v>
      </c>
      <c r="H12" s="112" t="s">
        <v>257</v>
      </c>
      <c r="I12" s="91" t="s">
        <v>258</v>
      </c>
      <c r="J12" s="91" t="s">
        <v>259</v>
      </c>
      <c r="K12" s="91" t="s">
        <v>260</v>
      </c>
      <c r="L12" s="91" t="s">
        <v>261</v>
      </c>
      <c r="M12" s="131"/>
    </row>
    <row r="13" spans="1:32" ht="14.25" customHeight="1" x14ac:dyDescent="0.25">
      <c r="B13" s="123"/>
      <c r="C13" s="124"/>
      <c r="D13" s="125"/>
      <c r="E13" s="197"/>
      <c r="F13" s="127"/>
      <c r="G13" s="119"/>
      <c r="H13" s="120"/>
      <c r="I13" s="81"/>
      <c r="J13" s="119"/>
      <c r="K13" s="122"/>
      <c r="L13" s="122"/>
      <c r="M13" s="131"/>
    </row>
    <row r="14" spans="1:32" ht="14.25" customHeight="1" x14ac:dyDescent="0.25">
      <c r="B14" s="123" t="s">
        <v>56</v>
      </c>
      <c r="C14" s="334" t="s">
        <v>14</v>
      </c>
      <c r="D14" s="335">
        <v>100</v>
      </c>
      <c r="E14" s="197">
        <f>$G$9</f>
        <v>3.7115384615384617</v>
      </c>
      <c r="F14" s="127">
        <v>1</v>
      </c>
      <c r="G14" s="119">
        <f>D14*E14</f>
        <v>371.15384615384619</v>
      </c>
      <c r="H14" s="120">
        <f>F14*G14</f>
        <v>371.15384615384619</v>
      </c>
      <c r="I14" s="81">
        <f>VLOOKUP(B14,All_Ingredients!$A$1:$F$151,6,FALSE())</f>
        <v>0.87</v>
      </c>
      <c r="J14" s="119">
        <f>VLOOKUP(B14,All_Ingredients!$A$1:$J$151,10,FALSE())</f>
        <v>7</v>
      </c>
      <c r="K14" s="122">
        <f t="shared" ref="K14:K28" si="0">(H14/I14)/1000</f>
        <v>0.42661361626878874</v>
      </c>
      <c r="L14" s="122">
        <f t="shared" ref="L14:L28" si="1">K14*J14</f>
        <v>2.9862953138815214</v>
      </c>
      <c r="M14" s="131"/>
    </row>
    <row r="15" spans="1:32" ht="14.25" customHeight="1" x14ac:dyDescent="0.25">
      <c r="B15" s="123" t="s">
        <v>792</v>
      </c>
      <c r="C15" s="334" t="s">
        <v>14</v>
      </c>
      <c r="D15" s="335">
        <v>100</v>
      </c>
      <c r="E15" s="197">
        <f t="shared" ref="E15:E28" si="2">$G$9</f>
        <v>3.7115384615384617</v>
      </c>
      <c r="F15" s="127">
        <v>1</v>
      </c>
      <c r="G15" s="119">
        <f t="shared" ref="G15:G27" si="3">D15*E15</f>
        <v>371.15384615384619</v>
      </c>
      <c r="H15" s="120">
        <f t="shared" ref="H15:H27" si="4">F15*G15</f>
        <v>371.15384615384619</v>
      </c>
      <c r="I15" s="81">
        <f>VLOOKUP(B15,All_Ingredients!$A$1:$F$151,6,FALSE())</f>
        <v>1</v>
      </c>
      <c r="J15" s="119">
        <f>VLOOKUP(B15,All_Ingredients!$A$1:$J$151,10,FALSE())</f>
        <v>10.5</v>
      </c>
      <c r="K15" s="122">
        <f t="shared" si="0"/>
        <v>0.37115384615384617</v>
      </c>
      <c r="L15" s="122">
        <f t="shared" si="1"/>
        <v>3.8971153846153848</v>
      </c>
      <c r="M15" s="131"/>
    </row>
    <row r="16" spans="1:32" ht="14.25" customHeight="1" x14ac:dyDescent="0.25">
      <c r="B16" s="123" t="s">
        <v>108</v>
      </c>
      <c r="C16" s="334" t="s">
        <v>14</v>
      </c>
      <c r="D16" s="335">
        <v>10</v>
      </c>
      <c r="E16" s="197">
        <f t="shared" si="2"/>
        <v>3.7115384615384617</v>
      </c>
      <c r="F16" s="127">
        <v>1</v>
      </c>
      <c r="G16" s="119">
        <f t="shared" si="3"/>
        <v>37.115384615384613</v>
      </c>
      <c r="H16" s="120">
        <f t="shared" si="4"/>
        <v>37.115384615384613</v>
      </c>
      <c r="I16" s="81">
        <f>VLOOKUP(B16,All_Ingredients!$A$1:$F$151,6,FALSE())</f>
        <v>1</v>
      </c>
      <c r="J16" s="119">
        <f>VLOOKUP(B16,All_Ingredients!$A$1:$J$151,10,FALSE())</f>
        <v>15</v>
      </c>
      <c r="K16" s="122">
        <f t="shared" si="0"/>
        <v>3.7115384615384613E-2</v>
      </c>
      <c r="L16" s="122">
        <f t="shared" si="1"/>
        <v>0.55673076923076914</v>
      </c>
      <c r="M16" s="131"/>
    </row>
    <row r="17" spans="2:32" ht="14.25" customHeight="1" x14ac:dyDescent="0.25">
      <c r="B17" s="123" t="s">
        <v>110</v>
      </c>
      <c r="C17" s="334" t="s">
        <v>14</v>
      </c>
      <c r="D17" s="335">
        <v>10</v>
      </c>
      <c r="E17" s="197">
        <f t="shared" si="2"/>
        <v>3.7115384615384617</v>
      </c>
      <c r="F17" s="127">
        <v>1</v>
      </c>
      <c r="G17" s="119">
        <f t="shared" si="3"/>
        <v>37.115384615384613</v>
      </c>
      <c r="H17" s="120">
        <f t="shared" si="4"/>
        <v>37.115384615384613</v>
      </c>
      <c r="I17" s="81">
        <f>VLOOKUP(B17,All_Ingredients!$A$1:$F$151,6,FALSE())</f>
        <v>1</v>
      </c>
      <c r="J17" s="119">
        <f>VLOOKUP(B17,All_Ingredients!$A$1:$J$151,10,FALSE())</f>
        <v>8</v>
      </c>
      <c r="K17" s="122">
        <f t="shared" si="0"/>
        <v>3.7115384615384613E-2</v>
      </c>
      <c r="L17" s="122">
        <f t="shared" si="1"/>
        <v>0.2969230769230769</v>
      </c>
      <c r="M17" s="131"/>
    </row>
    <row r="18" spans="2:32" ht="14.25" customHeight="1" x14ac:dyDescent="0.25">
      <c r="B18" s="123" t="s">
        <v>96</v>
      </c>
      <c r="C18" s="334" t="s">
        <v>14</v>
      </c>
      <c r="D18" s="335">
        <v>15</v>
      </c>
      <c r="E18" s="197">
        <f t="shared" si="2"/>
        <v>3.7115384615384617</v>
      </c>
      <c r="F18" s="127">
        <v>1</v>
      </c>
      <c r="G18" s="119">
        <f t="shared" si="3"/>
        <v>55.673076923076927</v>
      </c>
      <c r="H18" s="120">
        <f t="shared" si="4"/>
        <v>55.673076923076927</v>
      </c>
      <c r="I18" s="81">
        <f>VLOOKUP(B18,All_Ingredients!$A$1:$F$151,6,FALSE())</f>
        <v>1</v>
      </c>
      <c r="J18" s="119">
        <f>VLOOKUP(B18,All_Ingredients!$A$1:$J$151,10,FALSE())</f>
        <v>0.74</v>
      </c>
      <c r="K18" s="122">
        <f t="shared" si="0"/>
        <v>5.5673076923076929E-2</v>
      </c>
      <c r="L18" s="122">
        <f t="shared" si="1"/>
        <v>4.1198076923076928E-2</v>
      </c>
      <c r="M18" s="131"/>
    </row>
    <row r="19" spans="2:32" ht="14.25" customHeight="1" x14ac:dyDescent="0.25">
      <c r="B19" s="123" t="s">
        <v>104</v>
      </c>
      <c r="C19" s="334" t="s">
        <v>14</v>
      </c>
      <c r="D19" s="335">
        <v>10</v>
      </c>
      <c r="E19" s="197">
        <f t="shared" si="2"/>
        <v>3.7115384615384617</v>
      </c>
      <c r="F19" s="127">
        <v>1</v>
      </c>
      <c r="G19" s="119">
        <f t="shared" si="3"/>
        <v>37.115384615384613</v>
      </c>
      <c r="H19" s="120">
        <f t="shared" si="4"/>
        <v>37.115384615384613</v>
      </c>
      <c r="I19" s="81">
        <f>VLOOKUP(B19,All_Ingredients!$A$1:$F$151,6,FALSE())</f>
        <v>1</v>
      </c>
      <c r="J19" s="119">
        <f>VLOOKUP(B19,All_Ingredients!$A$1:$J$151,10,FALSE())</f>
        <v>47</v>
      </c>
      <c r="K19" s="122">
        <f t="shared" si="0"/>
        <v>3.7115384615384613E-2</v>
      </c>
      <c r="L19" s="122">
        <f t="shared" si="1"/>
        <v>1.7444230769230769</v>
      </c>
      <c r="M19" s="137"/>
      <c r="N19" s="131"/>
      <c r="O19" s="131"/>
    </row>
    <row r="20" spans="2:32" ht="14.25" customHeight="1" x14ac:dyDescent="0.25">
      <c r="B20" s="123" t="s">
        <v>178</v>
      </c>
      <c r="C20" s="334" t="s">
        <v>14</v>
      </c>
      <c r="D20" s="335">
        <v>100</v>
      </c>
      <c r="E20" s="197">
        <f t="shared" si="2"/>
        <v>3.7115384615384617</v>
      </c>
      <c r="F20" s="127">
        <v>1</v>
      </c>
      <c r="G20" s="119">
        <f t="shared" si="3"/>
        <v>371.15384615384619</v>
      </c>
      <c r="H20" s="120">
        <f t="shared" si="4"/>
        <v>371.15384615384619</v>
      </c>
      <c r="I20" s="81">
        <f>VLOOKUP(B20,All_Ingredients!$A$1:$F$151,6,FALSE())</f>
        <v>1</v>
      </c>
      <c r="J20" s="119">
        <f>VLOOKUP(B20,All_Ingredients!$A$1:$J$151,10,FALSE())</f>
        <v>17.934782608695652</v>
      </c>
      <c r="K20" s="122">
        <f t="shared" si="0"/>
        <v>0.37115384615384617</v>
      </c>
      <c r="L20" s="122">
        <f t="shared" si="1"/>
        <v>6.6565635451505019</v>
      </c>
      <c r="M20" s="137"/>
      <c r="N20" s="131"/>
      <c r="O20" s="131"/>
    </row>
    <row r="21" spans="2:32" ht="12.75" customHeight="1" x14ac:dyDescent="0.25">
      <c r="B21" s="123" t="s">
        <v>219</v>
      </c>
      <c r="C21" s="334" t="s">
        <v>165</v>
      </c>
      <c r="D21" s="335">
        <v>200</v>
      </c>
      <c r="E21" s="197">
        <f t="shared" si="2"/>
        <v>3.7115384615384617</v>
      </c>
      <c r="F21" s="127">
        <v>1</v>
      </c>
      <c r="G21" s="119">
        <f t="shared" si="3"/>
        <v>742.30769230769238</v>
      </c>
      <c r="H21" s="120">
        <f t="shared" si="4"/>
        <v>742.30769230769238</v>
      </c>
      <c r="I21" s="81">
        <f>VLOOKUP(B21,All_Ingredients!$A$1:$F$151,6,FALSE())</f>
        <v>1</v>
      </c>
      <c r="J21" s="119">
        <f>VLOOKUP(B21,All_Ingredients!$A$1:$J$151,10,FALSE())</f>
        <v>5</v>
      </c>
      <c r="K21" s="122">
        <f t="shared" si="0"/>
        <v>0.74230769230769234</v>
      </c>
      <c r="L21" s="122">
        <f t="shared" si="1"/>
        <v>3.7115384615384617</v>
      </c>
      <c r="M21" s="137"/>
      <c r="N21" s="131"/>
      <c r="O21" s="131"/>
    </row>
    <row r="22" spans="2:32" ht="12.75" customHeight="1" x14ac:dyDescent="0.25">
      <c r="B22" s="123" t="s">
        <v>793</v>
      </c>
      <c r="C22" s="334" t="s">
        <v>14</v>
      </c>
      <c r="D22" s="335">
        <v>50</v>
      </c>
      <c r="E22" s="197">
        <f t="shared" si="2"/>
        <v>3.7115384615384617</v>
      </c>
      <c r="F22" s="127">
        <v>1</v>
      </c>
      <c r="G22" s="119">
        <f t="shared" si="3"/>
        <v>185.57692307692309</v>
      </c>
      <c r="H22" s="120">
        <f t="shared" si="4"/>
        <v>185.57692307692309</v>
      </c>
      <c r="I22" s="81">
        <f>VLOOKUP(B22,All_Ingredients!$A$1:$F$151,6,FALSE())</f>
        <v>1</v>
      </c>
      <c r="J22" s="119">
        <f>VLOOKUP(B22,All_Ingredients!$A$1:$J$151,10,FALSE())</f>
        <v>40.74074074074074</v>
      </c>
      <c r="K22" s="122">
        <f t="shared" si="0"/>
        <v>0.18557692307692308</v>
      </c>
      <c r="L22" s="122">
        <f t="shared" si="1"/>
        <v>7.5605413105413106</v>
      </c>
      <c r="M22" s="137"/>
      <c r="N22" s="131"/>
      <c r="O22" s="131"/>
    </row>
    <row r="23" spans="2:32" ht="14" x14ac:dyDescent="0.25">
      <c r="B23" s="123" t="s">
        <v>171</v>
      </c>
      <c r="C23" s="334" t="s">
        <v>165</v>
      </c>
      <c r="D23" s="335">
        <v>1000</v>
      </c>
      <c r="E23" s="197">
        <f t="shared" si="2"/>
        <v>3.7115384615384617</v>
      </c>
      <c r="F23" s="127">
        <v>1</v>
      </c>
      <c r="G23" s="119">
        <f t="shared" si="3"/>
        <v>3711.5384615384619</v>
      </c>
      <c r="H23" s="120">
        <f t="shared" si="4"/>
        <v>3711.5384615384619</v>
      </c>
      <c r="I23" s="81">
        <f>VLOOKUP(B23,All_Ingredients!$A$1:$F$151,6,FALSE())</f>
        <v>1</v>
      </c>
      <c r="J23" s="119">
        <f>VLOOKUP(B23,All_Ingredients!$A$1:$J$151,10,FALSE())</f>
        <v>12.666666666666666</v>
      </c>
      <c r="K23" s="122">
        <f t="shared" si="0"/>
        <v>3.7115384615384617</v>
      </c>
      <c r="L23" s="122">
        <f t="shared" si="1"/>
        <v>47.012820512820511</v>
      </c>
    </row>
    <row r="24" spans="2:32" ht="14" x14ac:dyDescent="0.25">
      <c r="B24" s="123" t="s">
        <v>132</v>
      </c>
      <c r="C24" s="334" t="s">
        <v>14</v>
      </c>
      <c r="D24" s="335">
        <v>10</v>
      </c>
      <c r="E24" s="197">
        <f t="shared" si="2"/>
        <v>3.7115384615384617</v>
      </c>
      <c r="F24" s="127">
        <v>1</v>
      </c>
      <c r="G24" s="119">
        <f t="shared" si="3"/>
        <v>37.115384615384613</v>
      </c>
      <c r="H24" s="120">
        <f t="shared" si="4"/>
        <v>37.115384615384613</v>
      </c>
      <c r="I24" s="81">
        <f>VLOOKUP(B24,All_Ingredients!$A$1:$F$151,6,FALSE())</f>
        <v>1</v>
      </c>
      <c r="J24" s="119">
        <f>VLOOKUP(B24,All_Ingredients!$A$1:$J$151,10,FALSE())</f>
        <v>107</v>
      </c>
      <c r="K24" s="122">
        <f t="shared" si="0"/>
        <v>3.7115384615384613E-2</v>
      </c>
      <c r="L24" s="122">
        <f t="shared" si="1"/>
        <v>3.9713461538461536</v>
      </c>
    </row>
    <row r="25" spans="2:32" ht="14" customHeight="1" x14ac:dyDescent="0.3">
      <c r="B25" s="123" t="s">
        <v>168</v>
      </c>
      <c r="C25" s="334" t="s">
        <v>14</v>
      </c>
      <c r="D25" s="335">
        <v>200</v>
      </c>
      <c r="E25" s="197">
        <f t="shared" si="2"/>
        <v>3.7115384615384617</v>
      </c>
      <c r="F25" s="127">
        <v>1</v>
      </c>
      <c r="G25" s="119">
        <f t="shared" si="3"/>
        <v>742.30769230769238</v>
      </c>
      <c r="H25" s="120">
        <f t="shared" si="4"/>
        <v>742.30769230769238</v>
      </c>
      <c r="I25" s="81">
        <f>VLOOKUP(B25,All_Ingredients!$A$1:$F$151,6,FALSE())</f>
        <v>1</v>
      </c>
      <c r="J25" s="119">
        <f>VLOOKUP(B25,All_Ingredients!$A$1:$J$151,10,FALSE())</f>
        <v>6.6959999999999997</v>
      </c>
      <c r="K25" s="122">
        <f t="shared" si="0"/>
        <v>0.74230769230769234</v>
      </c>
      <c r="L25" s="122">
        <f t="shared" si="1"/>
        <v>4.9704923076923073</v>
      </c>
      <c r="R25" s="1430" t="s">
        <v>346</v>
      </c>
      <c r="S25" s="1388"/>
      <c r="T25" s="1388"/>
      <c r="U25" s="1388"/>
      <c r="V25" s="1206"/>
      <c r="W25" s="1206"/>
      <c r="X25" s="1206"/>
      <c r="Z25" s="141" t="s">
        <v>853</v>
      </c>
      <c r="AA25" s="142">
        <v>1</v>
      </c>
      <c r="AB25" s="141" t="s">
        <v>261</v>
      </c>
      <c r="AC25" s="143">
        <f>AF30*AA25</f>
        <v>6.5796322152968427</v>
      </c>
    </row>
    <row r="26" spans="2:32" ht="14" customHeight="1" x14ac:dyDescent="0.25">
      <c r="B26" s="123" t="s">
        <v>62</v>
      </c>
      <c r="C26" s="334" t="s">
        <v>14</v>
      </c>
      <c r="D26" s="335">
        <v>10</v>
      </c>
      <c r="E26" s="197">
        <f t="shared" si="2"/>
        <v>3.7115384615384617</v>
      </c>
      <c r="F26" s="127">
        <v>1</v>
      </c>
      <c r="G26" s="119">
        <f t="shared" si="3"/>
        <v>37.115384615384613</v>
      </c>
      <c r="H26" s="120">
        <f t="shared" si="4"/>
        <v>37.115384615384613</v>
      </c>
      <c r="I26" s="81">
        <f>VLOOKUP(B26,All_Ingredients!$A$1:$F$151,6,FALSE())</f>
        <v>0.94</v>
      </c>
      <c r="J26" s="119">
        <f>VLOOKUP(B26,All_Ingredients!$A$1:$J$151,10,FALSE())</f>
        <v>3.6363636363636367</v>
      </c>
      <c r="K26" s="122">
        <f t="shared" si="0"/>
        <v>3.9484451718494268E-2</v>
      </c>
      <c r="L26" s="122">
        <f t="shared" si="1"/>
        <v>0.14357982443088826</v>
      </c>
      <c r="R26" s="1416" t="s">
        <v>303</v>
      </c>
      <c r="S26" s="1389"/>
      <c r="T26" s="1389"/>
      <c r="U26" s="1389"/>
      <c r="V26" s="1206"/>
      <c r="W26" s="1206"/>
      <c r="X26" s="1206"/>
    </row>
    <row r="27" spans="2:32" ht="14" customHeight="1" thickBot="1" x14ac:dyDescent="0.35">
      <c r="B27" s="123" t="s">
        <v>34</v>
      </c>
      <c r="C27" s="334" t="s">
        <v>14</v>
      </c>
      <c r="D27" s="335">
        <v>35</v>
      </c>
      <c r="E27" s="197">
        <f t="shared" si="2"/>
        <v>3.7115384615384617</v>
      </c>
      <c r="F27" s="127">
        <v>1</v>
      </c>
      <c r="G27" s="119">
        <f t="shared" si="3"/>
        <v>129.90384615384616</v>
      </c>
      <c r="H27" s="120">
        <f t="shared" si="4"/>
        <v>129.90384615384616</v>
      </c>
      <c r="I27" s="81">
        <f>VLOOKUP(B27,All_Ingredients!$A$1:$F$151,6,FALSE())</f>
        <v>0.86</v>
      </c>
      <c r="J27" s="119">
        <f>VLOOKUP(B27,All_Ingredients!$A$1:$J$151,10,FALSE())</f>
        <v>14</v>
      </c>
      <c r="K27" s="122">
        <f t="shared" si="0"/>
        <v>0.15105098389982111</v>
      </c>
      <c r="L27" s="122">
        <f t="shared" si="1"/>
        <v>2.1147137745974955</v>
      </c>
      <c r="R27" s="145" t="s">
        <v>266</v>
      </c>
      <c r="S27" s="145" t="s">
        <v>371</v>
      </c>
      <c r="T27" s="145" t="s">
        <v>268</v>
      </c>
      <c r="U27" s="145" t="s">
        <v>269</v>
      </c>
      <c r="V27" s="146" t="s">
        <v>324</v>
      </c>
      <c r="W27" s="146" t="s">
        <v>854</v>
      </c>
      <c r="X27" s="146" t="s">
        <v>849</v>
      </c>
      <c r="Z27" s="141" t="s">
        <v>270</v>
      </c>
      <c r="AA27" s="1185" t="s">
        <v>324</v>
      </c>
      <c r="AB27" s="147" t="s">
        <v>271</v>
      </c>
      <c r="AC27" s="147" t="s">
        <v>272</v>
      </c>
      <c r="AD27" s="147" t="s">
        <v>852</v>
      </c>
      <c r="AE27" s="147" t="s">
        <v>849</v>
      </c>
      <c r="AF27" s="147" t="s">
        <v>274</v>
      </c>
    </row>
    <row r="28" spans="2:32" ht="14" customHeight="1" thickBot="1" x14ac:dyDescent="0.35">
      <c r="B28" s="123" t="s">
        <v>32</v>
      </c>
      <c r="C28" s="334" t="s">
        <v>14</v>
      </c>
      <c r="D28" s="335">
        <v>50</v>
      </c>
      <c r="E28" s="197">
        <f t="shared" si="2"/>
        <v>3.7115384615384617</v>
      </c>
      <c r="F28" s="127">
        <v>1</v>
      </c>
      <c r="G28" s="119">
        <f>D28*E28</f>
        <v>185.57692307692309</v>
      </c>
      <c r="H28" s="120">
        <f>F28*G28</f>
        <v>185.57692307692309</v>
      </c>
      <c r="I28" s="81">
        <f>VLOOKUP(B28,All_Ingredients!$A$1:$F$151,6,FALSE())</f>
        <v>0.96</v>
      </c>
      <c r="J28" s="119">
        <f>VLOOKUP(B28,All_Ingredients!$A$1:$J$151,10,FALSE())</f>
        <v>4</v>
      </c>
      <c r="K28" s="122">
        <f t="shared" si="0"/>
        <v>0.19330929487179488</v>
      </c>
      <c r="L28" s="122">
        <f t="shared" si="1"/>
        <v>0.77323717948717952</v>
      </c>
      <c r="M28" s="338"/>
      <c r="R28" s="145" t="s">
        <v>275</v>
      </c>
      <c r="S28" s="790">
        <f>$Z$1</f>
        <v>188</v>
      </c>
      <c r="T28" s="339"/>
      <c r="U28" s="339"/>
      <c r="V28" s="149">
        <f>SUM(H14:H28)</f>
        <v>7051.9230769230771</v>
      </c>
      <c r="W28" s="149">
        <f>K6</f>
        <v>3.3859649122807021</v>
      </c>
      <c r="X28" s="149">
        <f>Z1+AB1</f>
        <v>193</v>
      </c>
      <c r="Z28" s="151"/>
      <c r="AA28" s="1188"/>
      <c r="AB28" s="152">
        <f>AA25*$S$40</f>
        <v>1</v>
      </c>
      <c r="AC28" s="152">
        <f>AA25-AB28</f>
        <v>0</v>
      </c>
      <c r="AD28" s="1205"/>
      <c r="AE28" s="1205"/>
      <c r="AF28" s="154">
        <f>SUM(AB28:AC28)</f>
        <v>1</v>
      </c>
    </row>
    <row r="29" spans="2:32" ht="14" customHeight="1" thickBot="1" x14ac:dyDescent="0.35">
      <c r="C29"/>
      <c r="R29" s="145" t="s">
        <v>276</v>
      </c>
      <c r="S29" s="294"/>
      <c r="T29" s="339"/>
      <c r="U29" s="339">
        <f>T29</f>
        <v>0</v>
      </c>
      <c r="V29" s="149"/>
      <c r="W29" s="149"/>
      <c r="X29" s="149"/>
      <c r="Z29" s="151"/>
      <c r="AA29" s="1192"/>
      <c r="AB29" s="156">
        <f>AB28/$AF$28</f>
        <v>1</v>
      </c>
      <c r="AC29" s="156">
        <f>AC28/$AF$28</f>
        <v>0</v>
      </c>
      <c r="AD29" s="1205"/>
      <c r="AE29" s="1205"/>
      <c r="AF29" s="156">
        <f>AF28/$AF$28</f>
        <v>1</v>
      </c>
    </row>
    <row r="30" spans="2:32" ht="14" customHeight="1" thickBot="1" x14ac:dyDescent="0.35">
      <c r="R30" s="145" t="s">
        <v>277</v>
      </c>
      <c r="S30" s="789">
        <f>$AB$1</f>
        <v>5</v>
      </c>
      <c r="T30" s="339"/>
      <c r="U30" s="339"/>
      <c r="V30" s="1143"/>
      <c r="W30" s="1143"/>
      <c r="X30" s="1143"/>
      <c r="Z30" s="141" t="s">
        <v>278</v>
      </c>
      <c r="AA30" s="1196">
        <f>V35/AF1</f>
        <v>0.44786279154715919</v>
      </c>
      <c r="AB30" s="157">
        <f>S35/AD1</f>
        <v>3.9254890952689072</v>
      </c>
      <c r="AC30" s="1204">
        <f>T35/AD1</f>
        <v>0</v>
      </c>
      <c r="AD30" s="1145">
        <f>W35/AD1</f>
        <v>0.15308883911907428</v>
      </c>
      <c r="AE30" s="1145">
        <f>X35/AD1</f>
        <v>2.0531914893617023</v>
      </c>
      <c r="AF30" s="1202">
        <f>SUMPRODUCT(AB30:AC30,AB29:AC29)+AA30+AD30+AE30</f>
        <v>6.5796322152968427</v>
      </c>
    </row>
    <row r="31" spans="2:32" ht="14" customHeight="1" thickBot="1" x14ac:dyDescent="0.35">
      <c r="R31" s="145" t="s">
        <v>279</v>
      </c>
      <c r="S31" s="294" t="s">
        <v>322</v>
      </c>
      <c r="T31" s="339">
        <f>T28+T29</f>
        <v>0</v>
      </c>
      <c r="U31" s="339">
        <f>T31</f>
        <v>0</v>
      </c>
      <c r="V31" s="149"/>
      <c r="W31" s="149"/>
      <c r="X31" s="149"/>
    </row>
    <row r="32" spans="2:32" ht="14" customHeight="1" thickBot="1" x14ac:dyDescent="0.35">
      <c r="R32" s="146" t="s">
        <v>269</v>
      </c>
      <c r="S32" s="340">
        <f>S28+S30</f>
        <v>193</v>
      </c>
      <c r="T32" s="340">
        <f>SUM(T28:T30)</f>
        <v>0</v>
      </c>
      <c r="U32" s="340">
        <f>T32+S32</f>
        <v>193</v>
      </c>
      <c r="V32" s="149"/>
      <c r="W32" s="149">
        <f>SUM(W28:W30)</f>
        <v>3.3859649122807021</v>
      </c>
      <c r="X32" s="149"/>
    </row>
    <row r="33" spans="2:24" ht="14" customHeight="1" thickBot="1" x14ac:dyDescent="0.35">
      <c r="R33" s="341" t="s">
        <v>266</v>
      </c>
      <c r="S33" s="342"/>
      <c r="T33" s="342">
        <f>F40+F59</f>
        <v>0</v>
      </c>
      <c r="U33" s="343"/>
      <c r="V33" s="155"/>
      <c r="W33" s="155"/>
      <c r="X33" s="155"/>
    </row>
    <row r="34" spans="2:24" ht="14" customHeight="1" thickBot="1" x14ac:dyDescent="0.35">
      <c r="R34" s="178" t="s">
        <v>281</v>
      </c>
      <c r="S34" s="344"/>
      <c r="T34" s="345">
        <f>T33-(T28+T29)</f>
        <v>0</v>
      </c>
      <c r="U34" s="344"/>
      <c r="V34" s="155"/>
      <c r="W34" s="155"/>
      <c r="X34" s="155"/>
    </row>
    <row r="35" spans="2:24" ht="12.75" customHeight="1" thickBot="1" x14ac:dyDescent="0.35">
      <c r="R35" s="163" t="s">
        <v>261</v>
      </c>
      <c r="S35" s="1144">
        <f>$L$5</f>
        <v>737.99194991055458</v>
      </c>
      <c r="T35" s="1144">
        <f>SUM(O6:O19)</f>
        <v>0</v>
      </c>
      <c r="U35" s="1144">
        <f>S35+T35</f>
        <v>737.99194991055458</v>
      </c>
      <c r="V35" s="1144">
        <f>SUM(L14:L28)</f>
        <v>86.43751876860172</v>
      </c>
      <c r="W35" s="1203">
        <f>L6</f>
        <v>28.780701754385966</v>
      </c>
      <c r="X35" s="1203">
        <f>L7</f>
        <v>386</v>
      </c>
    </row>
    <row r="36" spans="2:24" ht="12.75" customHeight="1" x14ac:dyDescent="0.25"/>
    <row r="37" spans="2:24" ht="12.75" customHeight="1" x14ac:dyDescent="0.25"/>
    <row r="38" spans="2:24" ht="12.75" customHeight="1" x14ac:dyDescent="0.25"/>
    <row r="39" spans="2:24" ht="12.75" customHeight="1" x14ac:dyDescent="0.25">
      <c r="B39" s="100"/>
      <c r="E39" s="100"/>
      <c r="F39" s="100"/>
    </row>
    <row r="40" spans="2:24" ht="46.5" customHeight="1" x14ac:dyDescent="0.3">
      <c r="B40" s="100"/>
      <c r="C40" s="100"/>
      <c r="D40" s="346"/>
      <c r="E40" s="100"/>
      <c r="F40" s="100"/>
      <c r="G40" s="100"/>
      <c r="H40" s="100"/>
      <c r="I40" s="100"/>
      <c r="J40" s="100"/>
      <c r="R40" s="165" t="s">
        <v>282</v>
      </c>
      <c r="S40" s="166">
        <v>1</v>
      </c>
      <c r="T40" s="165" t="s">
        <v>283</v>
      </c>
      <c r="U40" s="167">
        <v>0</v>
      </c>
      <c r="V40" s="168">
        <f>S40+U40</f>
        <v>1</v>
      </c>
    </row>
    <row r="41" spans="2:24" ht="17.75" customHeight="1" x14ac:dyDescent="0.25">
      <c r="B41" s="100"/>
      <c r="C41" s="100"/>
      <c r="D41" s="100"/>
      <c r="E41" s="100"/>
      <c r="F41" s="100"/>
      <c r="G41" s="100"/>
      <c r="H41" s="100"/>
      <c r="I41" s="100"/>
      <c r="J41" s="100"/>
      <c r="U41" s="169"/>
    </row>
    <row r="42" spans="2:24" ht="17.75" customHeight="1" x14ac:dyDescent="0.25">
      <c r="B42" s="284"/>
    </row>
    <row r="43" spans="2:24" ht="12.75" customHeight="1" x14ac:dyDescent="0.3">
      <c r="B43" s="262"/>
      <c r="Q43" s="170" t="s">
        <v>284</v>
      </c>
      <c r="R43" s="170" t="s">
        <v>285</v>
      </c>
      <c r="S43" s="170" t="s">
        <v>286</v>
      </c>
      <c r="T43" s="170" t="s">
        <v>287</v>
      </c>
      <c r="U43" s="170" t="s">
        <v>288</v>
      </c>
      <c r="V43" s="170" t="s">
        <v>289</v>
      </c>
      <c r="W43" s="170" t="s">
        <v>290</v>
      </c>
    </row>
    <row r="44" spans="2:24" ht="14" customHeight="1" x14ac:dyDescent="0.3">
      <c r="B44" s="347"/>
      <c r="C44" s="348"/>
      <c r="D44" s="347"/>
      <c r="E44" s="347"/>
      <c r="F44" s="347"/>
      <c r="G44" s="347"/>
      <c r="H44" s="347"/>
      <c r="I44" s="347"/>
      <c r="J44" s="347"/>
      <c r="Q44" s="172">
        <v>18841</v>
      </c>
      <c r="R44" s="173">
        <f>E53</f>
        <v>0</v>
      </c>
      <c r="S44" s="174">
        <v>0</v>
      </c>
      <c r="T44" s="174">
        <v>0</v>
      </c>
      <c r="U44" s="242">
        <f>R44*S44</f>
        <v>0</v>
      </c>
      <c r="V44" s="176">
        <f>R44*T44</f>
        <v>0</v>
      </c>
      <c r="W44" s="176">
        <f>Q44-U44</f>
        <v>18841</v>
      </c>
    </row>
    <row r="45" spans="2:24" ht="14" customHeight="1" x14ac:dyDescent="0.25">
      <c r="B45" s="349"/>
      <c r="C45" s="349"/>
      <c r="D45" s="333"/>
      <c r="E45" s="333"/>
      <c r="F45" s="136"/>
      <c r="G45" s="137"/>
      <c r="H45" s="138"/>
      <c r="I45" s="92"/>
      <c r="J45" s="139"/>
    </row>
    <row r="46" spans="2:24" ht="14.25" customHeight="1" x14ac:dyDescent="0.25">
      <c r="B46" s="349"/>
      <c r="C46" s="349"/>
      <c r="D46" s="333"/>
      <c r="E46" s="333"/>
      <c r="F46" s="136"/>
      <c r="G46" s="137"/>
      <c r="H46" s="138"/>
      <c r="I46" s="92"/>
      <c r="J46" s="139"/>
    </row>
    <row r="47" spans="2:24" ht="14.25" customHeight="1" x14ac:dyDescent="0.25">
      <c r="B47" s="349"/>
      <c r="C47" s="349"/>
      <c r="D47" s="333"/>
      <c r="E47" s="333"/>
      <c r="F47" s="136"/>
      <c r="G47" s="137"/>
      <c r="H47" s="138"/>
      <c r="I47" s="92"/>
      <c r="J47" s="139"/>
    </row>
    <row r="48" spans="2:24" ht="14.25" customHeight="1" x14ac:dyDescent="0.25">
      <c r="B48" s="349"/>
      <c r="C48" s="349"/>
      <c r="D48" s="333"/>
      <c r="E48" s="333"/>
      <c r="F48" s="136"/>
      <c r="G48" s="137"/>
      <c r="H48" s="138"/>
      <c r="I48" s="92"/>
      <c r="J48" s="139"/>
    </row>
    <row r="49" spans="2:10" ht="14.25" customHeight="1" x14ac:dyDescent="0.25">
      <c r="B49" s="349"/>
      <c r="C49" s="349"/>
      <c r="D49" s="333"/>
      <c r="E49" s="333"/>
      <c r="F49" s="136"/>
      <c r="G49" s="137"/>
      <c r="H49" s="138"/>
      <c r="I49" s="92"/>
      <c r="J49" s="139"/>
    </row>
    <row r="50" spans="2:10" ht="14.25" customHeight="1" x14ac:dyDescent="0.25">
      <c r="B50" s="349"/>
      <c r="C50" s="349"/>
      <c r="D50" s="333"/>
      <c r="E50" s="333"/>
      <c r="F50" s="136"/>
      <c r="G50" s="100"/>
      <c r="H50" s="100"/>
      <c r="I50" s="100"/>
      <c r="J50" s="100"/>
    </row>
    <row r="51" spans="2:10" ht="14.25" customHeight="1" x14ac:dyDescent="0.25">
      <c r="B51" s="349"/>
      <c r="C51" s="349"/>
      <c r="D51" s="333"/>
      <c r="E51" s="333"/>
      <c r="F51" s="136"/>
    </row>
    <row r="52" spans="2:10" ht="14.25" customHeight="1" x14ac:dyDescent="0.3">
      <c r="B52" s="179"/>
      <c r="C52" s="179"/>
      <c r="D52" s="179"/>
      <c r="E52" s="100"/>
      <c r="F52" s="100"/>
    </row>
    <row r="53" spans="2:10" ht="14.25" customHeight="1" x14ac:dyDescent="0.3">
      <c r="B53" s="179"/>
      <c r="C53" s="899"/>
      <c r="D53" s="929">
        <f>(C53*$K$1)*$C$1</f>
        <v>0</v>
      </c>
      <c r="E53" s="183"/>
      <c r="F53" s="100"/>
      <c r="G53" s="347"/>
      <c r="H53" s="347"/>
      <c r="I53" s="347"/>
      <c r="J53" s="347"/>
    </row>
    <row r="54" spans="2:10" ht="14.25" customHeight="1" x14ac:dyDescent="0.3">
      <c r="B54" s="11"/>
      <c r="C54" s="336"/>
      <c r="D54" s="481">
        <f>(C54*$K$1)*$C$1</f>
        <v>0</v>
      </c>
      <c r="E54" s="100"/>
      <c r="F54" s="100"/>
      <c r="G54" s="137"/>
      <c r="H54" s="138"/>
      <c r="I54" s="92"/>
      <c r="J54" s="139"/>
    </row>
    <row r="55" spans="2:10" ht="14.25" customHeight="1" x14ac:dyDescent="0.3">
      <c r="B55" s="11"/>
      <c r="C55" s="336"/>
      <c r="D55" s="481">
        <f>(C55*$K$1)*$C$1</f>
        <v>0</v>
      </c>
      <c r="E55" s="100"/>
      <c r="F55" s="100"/>
      <c r="G55" s="137"/>
      <c r="H55" s="138"/>
      <c r="I55" s="92"/>
      <c r="J55" s="139"/>
    </row>
    <row r="56" spans="2:10" ht="14.25" customHeight="1" x14ac:dyDescent="0.3">
      <c r="B56" s="11"/>
      <c r="C56" s="336"/>
      <c r="D56" s="337"/>
      <c r="E56" s="100"/>
      <c r="F56" s="100"/>
      <c r="G56" s="137"/>
      <c r="H56" s="138"/>
      <c r="I56" s="92"/>
      <c r="J56" s="139"/>
    </row>
    <row r="57" spans="2:10" ht="17.75" customHeight="1" x14ac:dyDescent="0.3">
      <c r="B57" s="11"/>
      <c r="C57" s="336"/>
      <c r="D57" s="337"/>
      <c r="E57" s="100"/>
      <c r="F57" s="100"/>
      <c r="G57" s="137"/>
      <c r="H57" s="138"/>
      <c r="I57" s="92"/>
      <c r="J57" s="139"/>
    </row>
    <row r="58" spans="2:10" ht="12.75" customHeight="1" x14ac:dyDescent="0.25">
      <c r="B58" s="262"/>
    </row>
    <row r="59" spans="2:10" ht="14.25" customHeight="1" x14ac:dyDescent="0.25">
      <c r="B59" s="347"/>
      <c r="C59" s="348"/>
      <c r="D59" s="347"/>
      <c r="E59" s="347"/>
      <c r="F59" s="347"/>
      <c r="G59" s="347"/>
      <c r="H59" s="347"/>
      <c r="I59" s="347"/>
      <c r="J59" s="347"/>
    </row>
    <row r="60" spans="2:10" ht="14.25" customHeight="1" x14ac:dyDescent="0.25">
      <c r="B60" s="349"/>
      <c r="C60" s="349"/>
      <c r="D60" s="349"/>
      <c r="E60" s="333"/>
      <c r="F60" s="136"/>
      <c r="G60" s="137"/>
      <c r="H60" s="138"/>
      <c r="I60" s="92"/>
      <c r="J60" s="139"/>
    </row>
    <row r="61" spans="2:10" ht="14.25" customHeight="1" x14ac:dyDescent="0.25">
      <c r="B61" s="349"/>
      <c r="C61" s="349"/>
      <c r="D61" s="349"/>
      <c r="E61" s="333"/>
      <c r="F61" s="136"/>
      <c r="G61" s="137"/>
      <c r="H61" s="138"/>
      <c r="I61" s="92"/>
      <c r="J61" s="139"/>
    </row>
    <row r="62" spans="2:10" ht="12.75" customHeight="1" x14ac:dyDescent="0.25">
      <c r="B62" s="349"/>
      <c r="C62" s="349"/>
      <c r="D62" s="349"/>
      <c r="E62" s="333"/>
      <c r="F62" s="136"/>
      <c r="G62" s="137"/>
      <c r="H62" s="138"/>
      <c r="I62" s="92"/>
      <c r="J62" s="139"/>
    </row>
    <row r="63" spans="2:10" ht="18" customHeight="1" x14ac:dyDescent="0.25">
      <c r="B63" s="1428"/>
      <c r="C63" s="1428"/>
      <c r="D63" s="1428"/>
      <c r="E63" s="1428"/>
      <c r="F63" s="1428"/>
      <c r="G63" s="1428"/>
      <c r="H63" s="1428"/>
    </row>
    <row r="64" spans="2:10" ht="36" customHeight="1" x14ac:dyDescent="0.25">
      <c r="B64" s="1428"/>
      <c r="C64" s="1428"/>
      <c r="D64" s="1428"/>
      <c r="E64" s="1428"/>
      <c r="F64" s="1428"/>
      <c r="G64" s="1428"/>
      <c r="H64" s="1428"/>
    </row>
    <row r="65" spans="1:12" ht="14" customHeight="1" x14ac:dyDescent="0.25">
      <c r="A65" s="371"/>
      <c r="B65" s="347"/>
      <c r="C65" s="348"/>
      <c r="D65" s="347"/>
      <c r="E65" s="347"/>
      <c r="F65" s="347"/>
      <c r="G65" s="347"/>
      <c r="H65" s="347"/>
    </row>
    <row r="66" spans="1:12" ht="14.25" customHeight="1" x14ac:dyDescent="0.25">
      <c r="B66" s="349"/>
      <c r="C66" s="349"/>
      <c r="D66" s="898"/>
      <c r="E66" s="296"/>
      <c r="F66" s="136"/>
      <c r="G66" s="140"/>
      <c r="H66" s="138"/>
      <c r="I66" s="92"/>
      <c r="J66" s="137"/>
      <c r="K66" s="92"/>
      <c r="L66" s="137"/>
    </row>
    <row r="67" spans="1:12" ht="14.25" customHeight="1" x14ac:dyDescent="0.25">
      <c r="B67" s="349"/>
      <c r="C67" s="349"/>
      <c r="D67" s="349"/>
      <c r="E67" s="483"/>
      <c r="F67" s="136"/>
      <c r="G67" s="137"/>
      <c r="H67" s="138"/>
    </row>
    <row r="68" spans="1:12" ht="14.25" customHeight="1" x14ac:dyDescent="0.25">
      <c r="B68" s="349"/>
      <c r="C68" s="349"/>
      <c r="D68" s="349"/>
      <c r="E68" s="483"/>
      <c r="F68" s="136"/>
      <c r="G68" s="137"/>
      <c r="H68" s="138"/>
    </row>
    <row r="69" spans="1:12" ht="14.25" customHeight="1" x14ac:dyDescent="0.25">
      <c r="B69" s="349"/>
      <c r="C69" s="349"/>
      <c r="D69" s="349"/>
      <c r="E69" s="483"/>
      <c r="F69" s="136"/>
      <c r="G69" s="137"/>
      <c r="H69" s="138"/>
    </row>
    <row r="70" spans="1:12" ht="14.25" customHeight="1" x14ac:dyDescent="0.25">
      <c r="B70" s="349"/>
      <c r="C70" s="349"/>
      <c r="D70" s="349"/>
      <c r="E70" s="483"/>
      <c r="F70" s="136"/>
      <c r="G70" s="137"/>
      <c r="H70" s="138"/>
    </row>
    <row r="71" spans="1:12" ht="14.25" customHeight="1" x14ac:dyDescent="0.25">
      <c r="B71" s="349"/>
      <c r="C71" s="349"/>
      <c r="D71" s="349"/>
      <c r="E71" s="483"/>
      <c r="F71" s="136"/>
      <c r="G71" s="137"/>
      <c r="H71" s="138"/>
    </row>
    <row r="72" spans="1:12" ht="14.25" customHeight="1" x14ac:dyDescent="0.25">
      <c r="B72" s="349"/>
      <c r="C72" s="349"/>
      <c r="D72" s="349"/>
      <c r="E72" s="483"/>
      <c r="F72" s="136"/>
      <c r="G72" s="137"/>
      <c r="H72" s="138"/>
    </row>
    <row r="73" spans="1:12" ht="14.25" customHeight="1" x14ac:dyDescent="0.25">
      <c r="B73" s="349"/>
      <c r="C73" s="349"/>
      <c r="D73" s="349"/>
      <c r="E73" s="483"/>
      <c r="F73" s="136"/>
      <c r="G73" s="137"/>
      <c r="H73" s="138"/>
    </row>
    <row r="74" spans="1:12" ht="14.25" customHeight="1" x14ac:dyDescent="0.25">
      <c r="B74" s="349"/>
      <c r="C74" s="349"/>
      <c r="D74" s="349"/>
      <c r="E74" s="483"/>
      <c r="F74" s="136"/>
      <c r="G74" s="137"/>
      <c r="H74" s="138"/>
    </row>
    <row r="75" spans="1:12" ht="14.25" customHeight="1" x14ac:dyDescent="0.25">
      <c r="B75" s="349"/>
      <c r="C75" s="349"/>
      <c r="D75" s="349"/>
      <c r="E75" s="483"/>
      <c r="F75" s="136"/>
      <c r="G75" s="137"/>
      <c r="H75" s="138"/>
    </row>
    <row r="76" spans="1:12" ht="20.25" customHeight="1" x14ac:dyDescent="0.25">
      <c r="B76" s="349"/>
      <c r="C76" s="349"/>
      <c r="D76" s="349"/>
      <c r="E76" s="483"/>
      <c r="F76" s="136"/>
      <c r="G76" s="137"/>
      <c r="H76" s="138"/>
    </row>
    <row r="77" spans="1:12" ht="20" x14ac:dyDescent="0.4">
      <c r="B77" s="204"/>
      <c r="C77" s="484"/>
      <c r="D77" s="485"/>
      <c r="E77" s="486"/>
      <c r="F77" s="485"/>
      <c r="G77" s="487"/>
    </row>
    <row r="78" spans="1:12" ht="12.75" customHeight="1" x14ac:dyDescent="0.25"/>
    <row r="79" spans="1:12" ht="12.75" customHeight="1" x14ac:dyDescent="0.25">
      <c r="E79" s="100"/>
      <c r="F79" s="100"/>
    </row>
    <row r="80" spans="1:12" ht="12.75" customHeight="1" x14ac:dyDescent="0.25">
      <c r="E80" s="100"/>
      <c r="F80" s="100"/>
    </row>
    <row r="81" spans="2:6" ht="12.75" customHeight="1" x14ac:dyDescent="0.25">
      <c r="B81" s="100"/>
      <c r="E81" s="100"/>
      <c r="F81" s="100"/>
    </row>
    <row r="82" spans="2:6" ht="12.75" customHeight="1" x14ac:dyDescent="0.25">
      <c r="B82" s="100"/>
      <c r="E82" s="100"/>
      <c r="F82" s="100"/>
    </row>
    <row r="83" spans="2:6" ht="12.75" customHeight="1" x14ac:dyDescent="0.25">
      <c r="B83" s="100"/>
      <c r="E83" s="100"/>
      <c r="F83" s="100"/>
    </row>
    <row r="84" spans="2:6" ht="12.75" customHeight="1" x14ac:dyDescent="0.25">
      <c r="B84" s="100"/>
      <c r="E84" s="100"/>
      <c r="F84" s="100"/>
    </row>
    <row r="85" spans="2:6" ht="12.75" customHeight="1" x14ac:dyDescent="0.25">
      <c r="B85" s="100"/>
      <c r="E85" s="100"/>
      <c r="F85" s="100"/>
    </row>
    <row r="86" spans="2:6" ht="12.75" customHeight="1" x14ac:dyDescent="0.25">
      <c r="B86" s="100"/>
      <c r="E86" s="100"/>
      <c r="F86" s="100"/>
    </row>
    <row r="87" spans="2:6" ht="12.75" customHeight="1" x14ac:dyDescent="0.25">
      <c r="B87" s="100"/>
      <c r="E87" s="100"/>
      <c r="F87" s="100"/>
    </row>
    <row r="88" spans="2:6" ht="12.75" customHeight="1" x14ac:dyDescent="0.25">
      <c r="B88" s="100"/>
      <c r="E88" s="100"/>
      <c r="F88" s="100"/>
    </row>
    <row r="89" spans="2:6" ht="12.75" customHeight="1" x14ac:dyDescent="0.25">
      <c r="B89" s="100"/>
      <c r="E89" s="100"/>
      <c r="F89" s="100"/>
    </row>
    <row r="90" spans="2:6" ht="12.75" customHeight="1" x14ac:dyDescent="0.25">
      <c r="B90" s="100"/>
      <c r="E90" s="100"/>
      <c r="F90" s="100"/>
    </row>
    <row r="91" spans="2:6" ht="12.75" customHeight="1" x14ac:dyDescent="0.25">
      <c r="B91" s="100"/>
      <c r="E91" s="100"/>
      <c r="F91" s="100"/>
    </row>
    <row r="92" spans="2:6" ht="12.75" customHeight="1" x14ac:dyDescent="0.25">
      <c r="B92" s="100"/>
      <c r="E92" s="100"/>
      <c r="F92" s="100"/>
    </row>
    <row r="93" spans="2:6" ht="12.75" customHeight="1" x14ac:dyDescent="0.25">
      <c r="B93" s="100"/>
      <c r="E93" s="100"/>
      <c r="F93" s="100"/>
    </row>
    <row r="94" spans="2:6" ht="12.75" customHeight="1" x14ac:dyDescent="0.25">
      <c r="B94" s="100"/>
      <c r="E94" s="100"/>
      <c r="F94" s="100"/>
    </row>
    <row r="95" spans="2:6" ht="12.75" customHeight="1" x14ac:dyDescent="0.25">
      <c r="B95" s="100"/>
      <c r="E95" s="100"/>
      <c r="F95" s="100"/>
    </row>
    <row r="96" spans="2:6" ht="12.75" customHeight="1" x14ac:dyDescent="0.25">
      <c r="B96" s="100"/>
      <c r="E96" s="100"/>
      <c r="F96" s="100"/>
    </row>
    <row r="97" spans="2:6" ht="12.75" customHeight="1" x14ac:dyDescent="0.25">
      <c r="B97" s="100"/>
      <c r="E97" s="100"/>
      <c r="F97" s="100"/>
    </row>
    <row r="98" spans="2:6" ht="12.75" customHeight="1" x14ac:dyDescent="0.25">
      <c r="B98" s="100"/>
      <c r="E98" s="100"/>
      <c r="F98" s="100"/>
    </row>
    <row r="99" spans="2:6" ht="12.75" customHeight="1" x14ac:dyDescent="0.25">
      <c r="B99" s="100"/>
      <c r="E99" s="100"/>
      <c r="F99" s="100"/>
    </row>
    <row r="100" spans="2:6" ht="12.75" customHeight="1" x14ac:dyDescent="0.25">
      <c r="B100" s="100"/>
      <c r="E100" s="100"/>
      <c r="F100" s="100"/>
    </row>
    <row r="101" spans="2:6" ht="12.75" customHeight="1" x14ac:dyDescent="0.25">
      <c r="B101" s="100"/>
      <c r="E101" s="100"/>
      <c r="F101" s="100"/>
    </row>
    <row r="102" spans="2:6" ht="12.75" customHeight="1" x14ac:dyDescent="0.25">
      <c r="B102" s="100"/>
      <c r="E102" s="100"/>
      <c r="F102" s="100"/>
    </row>
    <row r="103" spans="2:6" ht="12.75" customHeight="1" x14ac:dyDescent="0.25">
      <c r="B103" s="100"/>
      <c r="E103" s="100"/>
      <c r="F103" s="100"/>
    </row>
    <row r="104" spans="2:6" ht="12.75" customHeight="1" x14ac:dyDescent="0.25">
      <c r="B104" s="100"/>
      <c r="E104" s="100"/>
      <c r="F104" s="100"/>
    </row>
    <row r="105" spans="2:6" ht="12.75" customHeight="1" x14ac:dyDescent="0.25">
      <c r="B105" s="100"/>
      <c r="E105" s="100"/>
      <c r="F105" s="100"/>
    </row>
    <row r="106" spans="2:6" ht="12.75" customHeight="1" x14ac:dyDescent="0.25">
      <c r="B106" s="100"/>
      <c r="E106" s="100"/>
      <c r="F106" s="100"/>
    </row>
    <row r="107" spans="2:6" ht="12.75" customHeight="1" x14ac:dyDescent="0.25">
      <c r="B107" s="100"/>
      <c r="E107" s="100"/>
      <c r="F107" s="100"/>
    </row>
    <row r="108" spans="2:6" ht="12.75" customHeight="1" x14ac:dyDescent="0.25">
      <c r="B108" s="100"/>
      <c r="E108" s="100"/>
      <c r="F108" s="100"/>
    </row>
    <row r="109" spans="2:6" ht="12.75" customHeight="1" x14ac:dyDescent="0.25">
      <c r="B109" s="100"/>
      <c r="E109" s="100"/>
      <c r="F109" s="100"/>
    </row>
    <row r="110" spans="2:6" ht="12.75" customHeight="1" x14ac:dyDescent="0.25">
      <c r="B110" s="100"/>
      <c r="E110" s="100"/>
      <c r="F110" s="100"/>
    </row>
    <row r="111" spans="2:6" ht="12.75" customHeight="1" x14ac:dyDescent="0.25">
      <c r="B111" s="100"/>
      <c r="E111" s="100"/>
      <c r="F111" s="100"/>
    </row>
    <row r="112" spans="2:6" ht="12.75" customHeight="1" x14ac:dyDescent="0.25">
      <c r="B112" s="100"/>
      <c r="E112" s="100"/>
      <c r="F112" s="100"/>
    </row>
    <row r="113" spans="2:6" ht="12.75" customHeight="1" x14ac:dyDescent="0.25">
      <c r="B113" s="100"/>
      <c r="E113" s="100"/>
      <c r="F113" s="100"/>
    </row>
    <row r="114" spans="2:6" ht="12.75" customHeight="1" x14ac:dyDescent="0.25">
      <c r="B114" s="100"/>
      <c r="E114" s="100"/>
      <c r="F114" s="100"/>
    </row>
    <row r="115" spans="2:6" ht="12.75" customHeight="1" x14ac:dyDescent="0.25">
      <c r="B115" s="100"/>
      <c r="E115" s="100"/>
      <c r="F115" s="100"/>
    </row>
    <row r="116" spans="2:6" ht="12.75" customHeight="1" x14ac:dyDescent="0.25">
      <c r="B116" s="100"/>
      <c r="E116" s="100"/>
      <c r="F116" s="100"/>
    </row>
    <row r="117" spans="2:6" ht="12.75" customHeight="1" x14ac:dyDescent="0.25">
      <c r="B117" s="100"/>
      <c r="E117" s="100"/>
      <c r="F117" s="100"/>
    </row>
    <row r="118" spans="2:6" ht="12.75" customHeight="1" x14ac:dyDescent="0.25">
      <c r="B118" s="100"/>
      <c r="E118" s="100"/>
      <c r="F118" s="100"/>
    </row>
    <row r="119" spans="2:6" ht="12.75" customHeight="1" x14ac:dyDescent="0.25">
      <c r="B119" s="100"/>
      <c r="E119" s="100"/>
      <c r="F119" s="100"/>
    </row>
    <row r="120" spans="2:6" ht="12.75" customHeight="1" x14ac:dyDescent="0.25">
      <c r="B120" s="100"/>
      <c r="E120" s="100"/>
      <c r="F120" s="100"/>
    </row>
    <row r="121" spans="2:6" ht="12.75" customHeight="1" x14ac:dyDescent="0.25">
      <c r="B121" s="100"/>
      <c r="E121" s="100"/>
      <c r="F121" s="100"/>
    </row>
    <row r="122" spans="2:6" ht="12.75" customHeight="1" x14ac:dyDescent="0.25">
      <c r="B122" s="100"/>
      <c r="E122" s="100"/>
      <c r="F122" s="100"/>
    </row>
    <row r="123" spans="2:6" ht="12.75" customHeight="1" x14ac:dyDescent="0.25">
      <c r="B123" s="100"/>
      <c r="E123" s="100"/>
      <c r="F123" s="100"/>
    </row>
    <row r="124" spans="2:6" ht="12.75" customHeight="1" x14ac:dyDescent="0.25">
      <c r="B124" s="100"/>
      <c r="E124" s="100"/>
      <c r="F124" s="100"/>
    </row>
    <row r="125" spans="2:6" ht="12.75" customHeight="1" x14ac:dyDescent="0.25">
      <c r="B125" s="100"/>
      <c r="E125" s="100"/>
      <c r="F125" s="100"/>
    </row>
    <row r="126" spans="2:6" ht="12.75" customHeight="1" x14ac:dyDescent="0.25">
      <c r="B126" s="100"/>
      <c r="E126" s="100"/>
      <c r="F126" s="100"/>
    </row>
    <row r="127" spans="2:6" ht="12.75" customHeight="1" x14ac:dyDescent="0.25">
      <c r="B127" s="100"/>
      <c r="E127" s="100"/>
      <c r="F127" s="100"/>
    </row>
    <row r="128" spans="2:6" ht="12.75" customHeight="1" x14ac:dyDescent="0.25">
      <c r="B128" s="100"/>
      <c r="E128" s="100"/>
      <c r="F128" s="100"/>
    </row>
    <row r="129" spans="2:6" ht="12.75" customHeight="1" x14ac:dyDescent="0.25">
      <c r="B129" s="100"/>
      <c r="E129" s="100"/>
      <c r="F129" s="100"/>
    </row>
    <row r="130" spans="2:6" ht="12.75" customHeight="1" x14ac:dyDescent="0.25">
      <c r="B130" s="100"/>
      <c r="E130" s="100"/>
      <c r="F130" s="100"/>
    </row>
    <row r="131" spans="2:6" ht="12.75" customHeight="1" x14ac:dyDescent="0.25">
      <c r="B131" s="100"/>
      <c r="E131" s="100"/>
      <c r="F131" s="100"/>
    </row>
    <row r="132" spans="2:6" ht="12.75" customHeight="1" x14ac:dyDescent="0.25">
      <c r="B132" s="100"/>
      <c r="E132" s="100"/>
      <c r="F132" s="100"/>
    </row>
    <row r="133" spans="2:6" ht="12.75" customHeight="1" x14ac:dyDescent="0.25">
      <c r="B133" s="100"/>
      <c r="E133" s="100"/>
      <c r="F133" s="100"/>
    </row>
    <row r="134" spans="2:6" ht="12.75" customHeight="1" x14ac:dyDescent="0.25">
      <c r="B134" s="100"/>
      <c r="E134" s="100"/>
      <c r="F134" s="100"/>
    </row>
    <row r="135" spans="2:6" ht="12.75" customHeight="1" x14ac:dyDescent="0.25">
      <c r="B135" s="100"/>
      <c r="E135" s="100"/>
      <c r="F135" s="100"/>
    </row>
    <row r="136" spans="2:6" ht="12.75" customHeight="1" x14ac:dyDescent="0.25">
      <c r="B136" s="100"/>
      <c r="E136" s="100"/>
      <c r="F136" s="100"/>
    </row>
    <row r="137" spans="2:6" ht="12.75" customHeight="1" x14ac:dyDescent="0.25">
      <c r="B137" s="100"/>
      <c r="E137" s="100"/>
      <c r="F137" s="100"/>
    </row>
    <row r="138" spans="2:6" ht="12.75" customHeight="1" x14ac:dyDescent="0.25">
      <c r="B138" s="100"/>
      <c r="E138" s="100"/>
      <c r="F138" s="100"/>
    </row>
    <row r="139" spans="2:6" ht="12.75" customHeight="1" x14ac:dyDescent="0.25">
      <c r="B139" s="100"/>
      <c r="E139" s="100"/>
      <c r="F139" s="100"/>
    </row>
    <row r="140" spans="2:6" ht="12.75" customHeight="1" x14ac:dyDescent="0.25">
      <c r="B140" s="100"/>
      <c r="E140" s="100"/>
      <c r="F140" s="100"/>
    </row>
    <row r="141" spans="2:6" ht="12.75" customHeight="1" x14ac:dyDescent="0.25">
      <c r="B141" s="100"/>
      <c r="E141" s="100"/>
      <c r="F141" s="100"/>
    </row>
    <row r="142" spans="2:6" ht="12.75" customHeight="1" x14ac:dyDescent="0.25">
      <c r="B142" s="100"/>
      <c r="E142" s="100"/>
      <c r="F142" s="100"/>
    </row>
    <row r="143" spans="2:6" ht="12.75" customHeight="1" x14ac:dyDescent="0.25">
      <c r="B143" s="100"/>
      <c r="E143" s="100"/>
      <c r="F143" s="100"/>
    </row>
    <row r="144" spans="2:6" ht="12.75" customHeight="1" x14ac:dyDescent="0.25">
      <c r="B144" s="100"/>
      <c r="E144" s="100"/>
      <c r="F144" s="100"/>
    </row>
    <row r="145" spans="2:6" ht="12.75" customHeight="1" x14ac:dyDescent="0.25">
      <c r="B145" s="100"/>
      <c r="E145" s="100"/>
      <c r="F145" s="100"/>
    </row>
    <row r="146" spans="2:6" ht="12.75" customHeight="1" x14ac:dyDescent="0.25">
      <c r="B146" s="100"/>
      <c r="E146" s="100"/>
      <c r="F146" s="100"/>
    </row>
    <row r="147" spans="2:6" ht="12.75" customHeight="1" x14ac:dyDescent="0.25">
      <c r="B147" s="100"/>
      <c r="E147" s="100"/>
      <c r="F147" s="100"/>
    </row>
    <row r="148" spans="2:6" ht="12.75" customHeight="1" x14ac:dyDescent="0.25">
      <c r="B148" s="100"/>
      <c r="E148" s="100"/>
      <c r="F148" s="100"/>
    </row>
    <row r="149" spans="2:6" ht="12.75" customHeight="1" x14ac:dyDescent="0.25">
      <c r="B149" s="100"/>
      <c r="E149" s="100"/>
      <c r="F149" s="100"/>
    </row>
    <row r="150" spans="2:6" ht="12.75" customHeight="1" x14ac:dyDescent="0.25">
      <c r="B150" s="100"/>
      <c r="E150" s="100"/>
      <c r="F150" s="100"/>
    </row>
    <row r="151" spans="2:6" ht="12.75" customHeight="1" x14ac:dyDescent="0.25">
      <c r="B151" s="100"/>
      <c r="E151" s="100"/>
      <c r="F151" s="100"/>
    </row>
    <row r="152" spans="2:6" ht="12.75" customHeight="1" x14ac:dyDescent="0.25">
      <c r="B152" s="100"/>
      <c r="E152" s="100"/>
      <c r="F152" s="100"/>
    </row>
    <row r="153" spans="2:6" ht="12.75" customHeight="1" x14ac:dyDescent="0.25">
      <c r="B153" s="100"/>
      <c r="E153" s="100"/>
      <c r="F153" s="100"/>
    </row>
    <row r="154" spans="2:6" ht="12.75" customHeight="1" x14ac:dyDescent="0.25">
      <c r="B154" s="100"/>
      <c r="E154" s="100"/>
      <c r="F154" s="100"/>
    </row>
    <row r="155" spans="2:6" ht="12.75" customHeight="1" x14ac:dyDescent="0.25">
      <c r="B155" s="100"/>
      <c r="E155" s="100"/>
      <c r="F155" s="100"/>
    </row>
    <row r="156" spans="2:6" ht="12.75" customHeight="1" x14ac:dyDescent="0.25">
      <c r="B156" s="100"/>
      <c r="E156" s="100"/>
      <c r="F156" s="100"/>
    </row>
    <row r="157" spans="2:6" ht="12.75" customHeight="1" x14ac:dyDescent="0.25">
      <c r="B157" s="100"/>
      <c r="E157" s="100"/>
      <c r="F157" s="100"/>
    </row>
    <row r="158" spans="2:6" ht="12.75" customHeight="1" x14ac:dyDescent="0.25">
      <c r="B158" s="100"/>
      <c r="E158" s="100"/>
      <c r="F158" s="100"/>
    </row>
    <row r="159" spans="2:6" ht="12.75" customHeight="1" x14ac:dyDescent="0.25">
      <c r="B159" s="100"/>
      <c r="E159" s="100"/>
      <c r="F159" s="100"/>
    </row>
    <row r="160" spans="2:6" ht="12.75" customHeight="1" x14ac:dyDescent="0.25">
      <c r="B160" s="100"/>
      <c r="E160" s="100"/>
      <c r="F160" s="100"/>
    </row>
    <row r="161" spans="2:6" ht="12.75" customHeight="1" x14ac:dyDescent="0.25">
      <c r="B161" s="100"/>
      <c r="E161" s="100"/>
      <c r="F161" s="100"/>
    </row>
    <row r="162" spans="2:6" ht="12.75" customHeight="1" x14ac:dyDescent="0.25">
      <c r="B162" s="100"/>
      <c r="E162" s="100"/>
      <c r="F162" s="100"/>
    </row>
    <row r="163" spans="2:6" ht="12.75" customHeight="1" x14ac:dyDescent="0.25">
      <c r="B163" s="100"/>
      <c r="E163" s="100"/>
      <c r="F163" s="100"/>
    </row>
    <row r="164" spans="2:6" ht="12.75" customHeight="1" x14ac:dyDescent="0.25">
      <c r="B164" s="100"/>
      <c r="E164" s="100"/>
      <c r="F164" s="100"/>
    </row>
    <row r="165" spans="2:6" ht="12.75" customHeight="1" x14ac:dyDescent="0.25">
      <c r="B165" s="100"/>
      <c r="E165" s="100"/>
      <c r="F165" s="100"/>
    </row>
    <row r="166" spans="2:6" ht="12.75" customHeight="1" x14ac:dyDescent="0.25">
      <c r="B166" s="100"/>
      <c r="E166" s="100"/>
      <c r="F166" s="100"/>
    </row>
    <row r="167" spans="2:6" ht="12.75" customHeight="1" x14ac:dyDescent="0.25">
      <c r="B167" s="100"/>
      <c r="E167" s="100"/>
      <c r="F167" s="100"/>
    </row>
    <row r="168" spans="2:6" ht="12.75" customHeight="1" x14ac:dyDescent="0.25">
      <c r="B168" s="100"/>
      <c r="E168" s="100"/>
      <c r="F168" s="100"/>
    </row>
    <row r="169" spans="2:6" ht="12.75" customHeight="1" x14ac:dyDescent="0.25">
      <c r="B169" s="100"/>
      <c r="E169" s="100"/>
      <c r="F169" s="100"/>
    </row>
    <row r="170" spans="2:6" ht="12.75" customHeight="1" x14ac:dyDescent="0.25">
      <c r="B170" s="100"/>
      <c r="E170" s="100"/>
      <c r="F170" s="100"/>
    </row>
    <row r="171" spans="2:6" ht="12.75" customHeight="1" x14ac:dyDescent="0.25">
      <c r="B171" s="100"/>
      <c r="E171" s="100"/>
      <c r="F171" s="100"/>
    </row>
    <row r="172" spans="2:6" ht="12.75" customHeight="1" x14ac:dyDescent="0.25">
      <c r="B172" s="100"/>
      <c r="E172" s="100"/>
      <c r="F172" s="100"/>
    </row>
    <row r="173" spans="2:6" ht="12.75" customHeight="1" x14ac:dyDescent="0.25">
      <c r="B173" s="100"/>
      <c r="E173" s="100"/>
      <c r="F173" s="100"/>
    </row>
    <row r="174" spans="2:6" ht="12.75" customHeight="1" x14ac:dyDescent="0.25">
      <c r="B174" s="100"/>
      <c r="E174" s="100"/>
      <c r="F174" s="100"/>
    </row>
    <row r="175" spans="2:6" ht="12.75" customHeight="1" x14ac:dyDescent="0.25">
      <c r="B175" s="100"/>
      <c r="E175" s="100"/>
      <c r="F175" s="100"/>
    </row>
    <row r="176" spans="2:6" ht="12.75" customHeight="1" x14ac:dyDescent="0.25">
      <c r="B176" s="100"/>
      <c r="E176" s="100"/>
      <c r="F176" s="100"/>
    </row>
    <row r="177" spans="2:6" ht="12.75" customHeight="1" x14ac:dyDescent="0.25">
      <c r="B177" s="100"/>
      <c r="E177" s="100"/>
      <c r="F177" s="100"/>
    </row>
    <row r="178" spans="2:6" ht="12.75" customHeight="1" x14ac:dyDescent="0.25">
      <c r="B178" s="100"/>
      <c r="E178" s="100"/>
      <c r="F178" s="100"/>
    </row>
    <row r="179" spans="2:6" ht="12.75" customHeight="1" x14ac:dyDescent="0.25">
      <c r="B179" s="100"/>
      <c r="E179" s="100"/>
      <c r="F179" s="100"/>
    </row>
    <row r="180" spans="2:6" ht="12.75" customHeight="1" x14ac:dyDescent="0.25">
      <c r="B180" s="100"/>
      <c r="E180" s="100"/>
      <c r="F180" s="100"/>
    </row>
    <row r="181" spans="2:6" ht="12.75" customHeight="1" x14ac:dyDescent="0.25">
      <c r="B181" s="100"/>
      <c r="E181" s="100"/>
      <c r="F181" s="100"/>
    </row>
    <row r="182" spans="2:6" ht="12.75" customHeight="1" x14ac:dyDescent="0.25">
      <c r="B182" s="100"/>
      <c r="E182" s="100"/>
      <c r="F182" s="100"/>
    </row>
    <row r="183" spans="2:6" ht="12.75" customHeight="1" x14ac:dyDescent="0.25">
      <c r="B183" s="100"/>
      <c r="E183" s="100"/>
      <c r="F183" s="100"/>
    </row>
    <row r="184" spans="2:6" ht="12.75" customHeight="1" x14ac:dyDescent="0.25">
      <c r="B184" s="100"/>
      <c r="E184" s="100"/>
      <c r="F184" s="100"/>
    </row>
    <row r="185" spans="2:6" ht="12.75" customHeight="1" x14ac:dyDescent="0.25">
      <c r="B185" s="100"/>
      <c r="E185" s="100"/>
      <c r="F185" s="100"/>
    </row>
    <row r="186" spans="2:6" ht="12.75" customHeight="1" x14ac:dyDescent="0.25">
      <c r="B186" s="100"/>
      <c r="E186" s="100"/>
      <c r="F186" s="100"/>
    </row>
    <row r="187" spans="2:6" ht="12.75" customHeight="1" x14ac:dyDescent="0.25">
      <c r="B187" s="100"/>
      <c r="E187" s="100"/>
      <c r="F187" s="100"/>
    </row>
    <row r="188" spans="2:6" ht="12.75" customHeight="1" x14ac:dyDescent="0.25">
      <c r="B188" s="100"/>
      <c r="E188" s="100"/>
      <c r="F188" s="100"/>
    </row>
    <row r="189" spans="2:6" ht="12.75" customHeight="1" x14ac:dyDescent="0.25">
      <c r="B189" s="100"/>
      <c r="E189" s="100"/>
      <c r="F189" s="100"/>
    </row>
    <row r="190" spans="2:6" ht="12.75" customHeight="1" x14ac:dyDescent="0.25">
      <c r="B190" s="100"/>
      <c r="E190" s="100"/>
      <c r="F190" s="100"/>
    </row>
    <row r="191" spans="2:6" ht="12.75" customHeight="1" x14ac:dyDescent="0.25">
      <c r="B191" s="100"/>
      <c r="E191" s="100"/>
      <c r="F191" s="100"/>
    </row>
    <row r="192" spans="2:6" ht="12.75" customHeight="1" x14ac:dyDescent="0.25">
      <c r="B192" s="100"/>
      <c r="E192" s="100"/>
      <c r="F192" s="100"/>
    </row>
    <row r="193" spans="2:6" ht="12.75" customHeight="1" x14ac:dyDescent="0.25">
      <c r="B193" s="100"/>
      <c r="E193" s="100"/>
      <c r="F193" s="100"/>
    </row>
    <row r="194" spans="2:6" ht="12.75" customHeight="1" x14ac:dyDescent="0.25">
      <c r="B194" s="100"/>
      <c r="E194" s="100"/>
      <c r="F194" s="100"/>
    </row>
    <row r="195" spans="2:6" ht="12.75" customHeight="1" x14ac:dyDescent="0.25">
      <c r="B195" s="100"/>
      <c r="E195" s="100"/>
      <c r="F195" s="100"/>
    </row>
    <row r="196" spans="2:6" ht="12.75" customHeight="1" x14ac:dyDescent="0.25">
      <c r="B196" s="100"/>
      <c r="E196" s="100"/>
      <c r="F196" s="100"/>
    </row>
    <row r="197" spans="2:6" ht="12.75" customHeight="1" x14ac:dyDescent="0.25">
      <c r="B197" s="100"/>
      <c r="E197" s="100"/>
      <c r="F197" s="100"/>
    </row>
    <row r="198" spans="2:6" ht="12.75" customHeight="1" x14ac:dyDescent="0.25">
      <c r="B198" s="100"/>
      <c r="E198" s="100"/>
      <c r="F198" s="100"/>
    </row>
    <row r="199" spans="2:6" ht="12.75" customHeight="1" x14ac:dyDescent="0.25">
      <c r="B199" s="100"/>
      <c r="E199" s="100"/>
      <c r="F199" s="100"/>
    </row>
    <row r="200" spans="2:6" ht="12.75" customHeight="1" x14ac:dyDescent="0.25">
      <c r="B200" s="100"/>
      <c r="E200" s="100"/>
      <c r="F200" s="100"/>
    </row>
    <row r="201" spans="2:6" ht="12.75" customHeight="1" x14ac:dyDescent="0.25">
      <c r="B201" s="100"/>
      <c r="E201" s="100"/>
      <c r="F201" s="100"/>
    </row>
    <row r="202" spans="2:6" ht="12.75" customHeight="1" x14ac:dyDescent="0.25">
      <c r="B202" s="100"/>
      <c r="E202" s="100"/>
      <c r="F202" s="100"/>
    </row>
    <row r="203" spans="2:6" ht="12.75" customHeight="1" x14ac:dyDescent="0.25">
      <c r="B203" s="100"/>
      <c r="E203" s="100"/>
      <c r="F203" s="100"/>
    </row>
    <row r="204" spans="2:6" ht="12.75" customHeight="1" x14ac:dyDescent="0.25">
      <c r="B204" s="100"/>
      <c r="E204" s="100"/>
      <c r="F204" s="100"/>
    </row>
    <row r="205" spans="2:6" ht="12.75" customHeight="1" x14ac:dyDescent="0.25">
      <c r="B205" s="100"/>
      <c r="E205" s="100"/>
      <c r="F205" s="100"/>
    </row>
    <row r="206" spans="2:6" ht="12.75" customHeight="1" x14ac:dyDescent="0.25">
      <c r="B206" s="100"/>
      <c r="E206" s="100"/>
      <c r="F206" s="100"/>
    </row>
    <row r="207" spans="2:6" ht="12.75" customHeight="1" x14ac:dyDescent="0.25">
      <c r="B207" s="100"/>
      <c r="E207" s="100"/>
      <c r="F207" s="100"/>
    </row>
    <row r="208" spans="2:6" ht="12.75" customHeight="1" x14ac:dyDescent="0.25">
      <c r="B208" s="100"/>
      <c r="E208" s="100"/>
      <c r="F208" s="100"/>
    </row>
    <row r="209" spans="2:6" ht="12.75" customHeight="1" x14ac:dyDescent="0.25">
      <c r="B209" s="100"/>
      <c r="E209" s="100"/>
      <c r="F209" s="100"/>
    </row>
    <row r="210" spans="2:6" ht="12.75" customHeight="1" x14ac:dyDescent="0.25">
      <c r="B210" s="100"/>
      <c r="E210" s="100"/>
      <c r="F210" s="100"/>
    </row>
    <row r="211" spans="2:6" ht="12.75" customHeight="1" x14ac:dyDescent="0.25">
      <c r="B211" s="100"/>
      <c r="E211" s="100"/>
      <c r="F211" s="100"/>
    </row>
    <row r="212" spans="2:6" ht="12.75" customHeight="1" x14ac:dyDescent="0.25">
      <c r="B212" s="100"/>
      <c r="E212" s="100"/>
      <c r="F212" s="100"/>
    </row>
    <row r="213" spans="2:6" ht="12.75" customHeight="1" x14ac:dyDescent="0.25">
      <c r="B213" s="100"/>
      <c r="E213" s="100"/>
      <c r="F213" s="100"/>
    </row>
    <row r="214" spans="2:6" ht="12.75" customHeight="1" x14ac:dyDescent="0.25">
      <c r="B214" s="100"/>
      <c r="E214" s="100"/>
      <c r="F214" s="100"/>
    </row>
    <row r="215" spans="2:6" ht="12.75" customHeight="1" x14ac:dyDescent="0.25">
      <c r="B215" s="100"/>
      <c r="E215" s="100"/>
      <c r="F215" s="100"/>
    </row>
    <row r="216" spans="2:6" ht="12.75" customHeight="1" x14ac:dyDescent="0.25">
      <c r="B216" s="100"/>
      <c r="E216" s="100"/>
      <c r="F216" s="100"/>
    </row>
    <row r="217" spans="2:6" ht="12.75" customHeight="1" x14ac:dyDescent="0.25">
      <c r="B217" s="100"/>
      <c r="E217" s="100"/>
      <c r="F217" s="100"/>
    </row>
    <row r="218" spans="2:6" ht="12.75" customHeight="1" x14ac:dyDescent="0.25">
      <c r="B218" s="100"/>
      <c r="E218" s="100"/>
      <c r="F218" s="100"/>
    </row>
    <row r="219" spans="2:6" ht="12.75" customHeight="1" x14ac:dyDescent="0.25">
      <c r="B219" s="100"/>
      <c r="E219" s="100"/>
      <c r="F219" s="100"/>
    </row>
    <row r="220" spans="2:6" ht="12.75" customHeight="1" x14ac:dyDescent="0.25">
      <c r="B220" s="100"/>
      <c r="E220" s="100"/>
      <c r="F220" s="100"/>
    </row>
    <row r="221" spans="2:6" ht="12.75" customHeight="1" x14ac:dyDescent="0.25">
      <c r="B221" s="100"/>
      <c r="E221" s="100"/>
      <c r="F221" s="100"/>
    </row>
    <row r="222" spans="2:6" ht="12.75" customHeight="1" x14ac:dyDescent="0.25">
      <c r="B222" s="100"/>
      <c r="E222" s="100"/>
      <c r="F222" s="100"/>
    </row>
    <row r="223" spans="2:6" ht="12.75" customHeight="1" x14ac:dyDescent="0.25">
      <c r="B223" s="100"/>
      <c r="E223" s="100"/>
      <c r="F223" s="100"/>
    </row>
    <row r="224" spans="2:6" ht="12.75" customHeight="1" x14ac:dyDescent="0.25">
      <c r="B224" s="100"/>
      <c r="E224" s="100"/>
      <c r="F224" s="100"/>
    </row>
    <row r="225" spans="2:6" ht="12.75" customHeight="1" x14ac:dyDescent="0.25">
      <c r="B225" s="100"/>
      <c r="E225" s="100"/>
      <c r="F225" s="100"/>
    </row>
    <row r="226" spans="2:6" ht="12.75" customHeight="1" x14ac:dyDescent="0.25">
      <c r="B226" s="100"/>
      <c r="E226" s="100"/>
      <c r="F226" s="100"/>
    </row>
    <row r="227" spans="2:6" ht="12.75" customHeight="1" x14ac:dyDescent="0.25">
      <c r="B227" s="100"/>
      <c r="E227" s="100"/>
      <c r="F227" s="100"/>
    </row>
    <row r="228" spans="2:6" ht="12.75" customHeight="1" x14ac:dyDescent="0.25">
      <c r="B228" s="100"/>
      <c r="E228" s="100"/>
      <c r="F228" s="100"/>
    </row>
    <row r="229" spans="2:6" ht="12.75" customHeight="1" x14ac:dyDescent="0.25">
      <c r="B229" s="100"/>
      <c r="E229" s="100"/>
      <c r="F229" s="100"/>
    </row>
    <row r="230" spans="2:6" ht="12.75" customHeight="1" x14ac:dyDescent="0.25">
      <c r="B230" s="100"/>
      <c r="E230" s="100"/>
      <c r="F230" s="100"/>
    </row>
    <row r="231" spans="2:6" ht="12.75" customHeight="1" x14ac:dyDescent="0.25">
      <c r="B231" s="100"/>
      <c r="E231" s="100"/>
      <c r="F231" s="100"/>
    </row>
    <row r="232" spans="2:6" ht="12.75" customHeight="1" x14ac:dyDescent="0.25">
      <c r="B232" s="100"/>
      <c r="E232" s="100"/>
      <c r="F232" s="100"/>
    </row>
    <row r="233" spans="2:6" ht="12.75" customHeight="1" x14ac:dyDescent="0.25">
      <c r="B233" s="100"/>
      <c r="E233" s="100"/>
      <c r="F233" s="100"/>
    </row>
    <row r="234" spans="2:6" ht="12.75" customHeight="1" x14ac:dyDescent="0.25">
      <c r="B234" s="100"/>
      <c r="E234" s="100"/>
      <c r="F234" s="100"/>
    </row>
    <row r="235" spans="2:6" ht="12.75" customHeight="1" x14ac:dyDescent="0.25">
      <c r="B235" s="100"/>
      <c r="E235" s="100"/>
      <c r="F235" s="100"/>
    </row>
    <row r="236" spans="2:6" ht="12.75" customHeight="1" x14ac:dyDescent="0.25">
      <c r="B236" s="100"/>
      <c r="E236" s="100"/>
      <c r="F236" s="100"/>
    </row>
    <row r="237" spans="2:6" ht="12.75" customHeight="1" x14ac:dyDescent="0.25">
      <c r="B237" s="100"/>
      <c r="E237" s="100"/>
      <c r="F237" s="100"/>
    </row>
    <row r="238" spans="2:6" ht="12.75" customHeight="1" x14ac:dyDescent="0.25">
      <c r="B238" s="100"/>
      <c r="E238" s="100"/>
      <c r="F238" s="100"/>
    </row>
    <row r="239" spans="2:6" ht="12.75" customHeight="1" x14ac:dyDescent="0.25">
      <c r="B239" s="100"/>
      <c r="E239" s="100"/>
      <c r="F239" s="100"/>
    </row>
    <row r="240" spans="2:6" ht="12.75" customHeight="1" x14ac:dyDescent="0.25">
      <c r="B240" s="100"/>
      <c r="E240" s="100"/>
      <c r="F240" s="100"/>
    </row>
    <row r="241" spans="2:6" ht="12.75" customHeight="1" x14ac:dyDescent="0.25">
      <c r="B241" s="100"/>
      <c r="E241" s="100"/>
      <c r="F241" s="100"/>
    </row>
    <row r="242" spans="2:6" ht="12.75" customHeight="1" x14ac:dyDescent="0.25">
      <c r="B242" s="100"/>
      <c r="E242" s="100"/>
      <c r="F242" s="100"/>
    </row>
    <row r="243" spans="2:6" ht="12.75" customHeight="1" x14ac:dyDescent="0.25">
      <c r="B243" s="100"/>
      <c r="E243" s="100"/>
      <c r="F243" s="100"/>
    </row>
    <row r="244" spans="2:6" ht="12.75" customHeight="1" x14ac:dyDescent="0.25">
      <c r="B244" s="100"/>
      <c r="E244" s="100"/>
      <c r="F244" s="100"/>
    </row>
    <row r="245" spans="2:6" ht="12.75" customHeight="1" x14ac:dyDescent="0.25">
      <c r="B245" s="100"/>
      <c r="E245" s="100"/>
      <c r="F245" s="100"/>
    </row>
    <row r="246" spans="2:6" ht="12.75" customHeight="1" x14ac:dyDescent="0.25">
      <c r="B246" s="100"/>
      <c r="E246" s="100"/>
      <c r="F246" s="100"/>
    </row>
    <row r="247" spans="2:6" ht="12.75" customHeight="1" x14ac:dyDescent="0.25">
      <c r="B247" s="100"/>
      <c r="E247" s="100"/>
      <c r="F247" s="100"/>
    </row>
    <row r="248" spans="2:6" ht="12.75" customHeight="1" x14ac:dyDescent="0.25">
      <c r="B248" s="100"/>
      <c r="E248" s="100"/>
      <c r="F248" s="100"/>
    </row>
    <row r="249" spans="2:6" ht="12.75" customHeight="1" x14ac:dyDescent="0.25">
      <c r="B249" s="100"/>
      <c r="E249" s="100"/>
      <c r="F249" s="100"/>
    </row>
    <row r="250" spans="2:6" ht="12.75" customHeight="1" x14ac:dyDescent="0.25">
      <c r="B250" s="100"/>
      <c r="E250" s="100"/>
      <c r="F250" s="100"/>
    </row>
    <row r="251" spans="2:6" ht="12.75" customHeight="1" x14ac:dyDescent="0.25">
      <c r="B251" s="100"/>
      <c r="E251" s="100"/>
      <c r="F251" s="100"/>
    </row>
    <row r="252" spans="2:6" ht="12.75" customHeight="1" x14ac:dyDescent="0.25">
      <c r="B252" s="100"/>
      <c r="E252" s="100"/>
      <c r="F252" s="100"/>
    </row>
    <row r="253" spans="2:6" ht="12.75" customHeight="1" x14ac:dyDescent="0.25">
      <c r="B253" s="100"/>
      <c r="E253" s="100"/>
      <c r="F253" s="100"/>
    </row>
    <row r="254" spans="2:6" ht="12.75" customHeight="1" x14ac:dyDescent="0.25">
      <c r="B254" s="100"/>
      <c r="E254" s="100"/>
      <c r="F254" s="100"/>
    </row>
    <row r="255" spans="2:6" ht="12.75" customHeight="1" x14ac:dyDescent="0.25">
      <c r="B255" s="100"/>
      <c r="E255" s="100"/>
      <c r="F255" s="100"/>
    </row>
    <row r="256" spans="2:6" ht="12.75" customHeight="1" x14ac:dyDescent="0.25">
      <c r="B256" s="100"/>
      <c r="E256" s="100"/>
      <c r="F256" s="100"/>
    </row>
    <row r="257" spans="2:6" ht="12.75" customHeight="1" x14ac:dyDescent="0.25">
      <c r="B257" s="100"/>
      <c r="E257" s="100"/>
      <c r="F257" s="100"/>
    </row>
    <row r="258" spans="2:6" ht="12.75" customHeight="1" x14ac:dyDescent="0.25">
      <c r="B258" s="100"/>
      <c r="E258" s="100"/>
      <c r="F258" s="100"/>
    </row>
    <row r="259" spans="2:6" ht="12.75" customHeight="1" x14ac:dyDescent="0.25">
      <c r="B259" s="100"/>
      <c r="E259" s="100"/>
      <c r="F259" s="100"/>
    </row>
    <row r="260" spans="2:6" ht="12.75" customHeight="1" x14ac:dyDescent="0.25">
      <c r="B260" s="100"/>
      <c r="E260" s="100"/>
      <c r="F260" s="100"/>
    </row>
    <row r="261" spans="2:6" ht="12.75" customHeight="1" x14ac:dyDescent="0.25">
      <c r="B261" s="100"/>
      <c r="E261" s="100"/>
      <c r="F261" s="100"/>
    </row>
    <row r="262" spans="2:6" ht="12.75" customHeight="1" x14ac:dyDescent="0.25">
      <c r="B262" s="100"/>
      <c r="E262" s="100"/>
      <c r="F262" s="100"/>
    </row>
    <row r="263" spans="2:6" ht="12.75" customHeight="1" x14ac:dyDescent="0.25">
      <c r="B263" s="100"/>
      <c r="E263" s="100"/>
      <c r="F263" s="100"/>
    </row>
    <row r="264" spans="2:6" ht="12.75" customHeight="1" x14ac:dyDescent="0.25">
      <c r="B264" s="100"/>
      <c r="E264" s="100"/>
      <c r="F264" s="100"/>
    </row>
    <row r="265" spans="2:6" ht="12.75" customHeight="1" x14ac:dyDescent="0.25">
      <c r="B265" s="100"/>
      <c r="E265" s="100"/>
      <c r="F265" s="100"/>
    </row>
    <row r="266" spans="2:6" ht="12.75" customHeight="1" x14ac:dyDescent="0.25">
      <c r="B266" s="100"/>
      <c r="E266" s="100"/>
      <c r="F266" s="100"/>
    </row>
    <row r="267" spans="2:6" ht="12.75" customHeight="1" x14ac:dyDescent="0.25">
      <c r="B267" s="100"/>
      <c r="E267" s="100"/>
      <c r="F267" s="100"/>
    </row>
    <row r="268" spans="2:6" ht="12.75" customHeight="1" x14ac:dyDescent="0.25">
      <c r="B268" s="100"/>
      <c r="E268" s="100"/>
      <c r="F268" s="100"/>
    </row>
    <row r="269" spans="2:6" ht="12.75" customHeight="1" x14ac:dyDescent="0.25">
      <c r="B269" s="100"/>
      <c r="E269" s="100"/>
      <c r="F269" s="100"/>
    </row>
    <row r="270" spans="2:6" ht="12.75" customHeight="1" x14ac:dyDescent="0.25">
      <c r="B270" s="100"/>
      <c r="E270" s="100"/>
      <c r="F270" s="100"/>
    </row>
    <row r="271" spans="2:6" ht="12.75" customHeight="1" x14ac:dyDescent="0.25">
      <c r="B271" s="100"/>
      <c r="E271" s="100"/>
      <c r="F271" s="100"/>
    </row>
    <row r="272" spans="2:6" ht="12.75" customHeight="1" x14ac:dyDescent="0.25">
      <c r="B272" s="100"/>
      <c r="E272" s="100"/>
      <c r="F272" s="100"/>
    </row>
    <row r="273" spans="2:6" ht="12.75" customHeight="1" x14ac:dyDescent="0.25">
      <c r="B273" s="100"/>
      <c r="E273" s="100"/>
      <c r="F273" s="100"/>
    </row>
    <row r="274" spans="2:6" ht="12.75" customHeight="1" x14ac:dyDescent="0.25">
      <c r="B274" s="100"/>
      <c r="E274" s="100"/>
      <c r="F274" s="100"/>
    </row>
    <row r="275" spans="2:6" ht="12.75" customHeight="1" x14ac:dyDescent="0.25">
      <c r="B275" s="100"/>
      <c r="E275" s="100"/>
      <c r="F275" s="100"/>
    </row>
    <row r="276" spans="2:6" ht="12.75" customHeight="1" x14ac:dyDescent="0.25">
      <c r="B276" s="100"/>
      <c r="E276" s="100"/>
      <c r="F276" s="100"/>
    </row>
    <row r="277" spans="2:6" ht="12.75" customHeight="1" x14ac:dyDescent="0.25">
      <c r="B277" s="100"/>
      <c r="E277" s="100"/>
      <c r="F277" s="100"/>
    </row>
    <row r="278" spans="2:6" ht="12.75" customHeight="1" x14ac:dyDescent="0.25">
      <c r="B278" s="100"/>
      <c r="E278" s="100"/>
      <c r="F278" s="100"/>
    </row>
    <row r="279" spans="2:6" ht="12.75" customHeight="1" x14ac:dyDescent="0.25">
      <c r="B279" s="100"/>
      <c r="E279" s="100"/>
      <c r="F279" s="100"/>
    </row>
    <row r="280" spans="2:6" ht="12.75" customHeight="1" x14ac:dyDescent="0.25">
      <c r="B280" s="100"/>
      <c r="E280" s="100"/>
      <c r="F280" s="100"/>
    </row>
    <row r="281" spans="2:6" ht="12.75" customHeight="1" x14ac:dyDescent="0.25">
      <c r="B281" s="100"/>
      <c r="E281" s="100"/>
      <c r="F281" s="100"/>
    </row>
    <row r="282" spans="2:6" ht="12.75" customHeight="1" x14ac:dyDescent="0.25">
      <c r="B282" s="100"/>
      <c r="E282" s="100"/>
      <c r="F282" s="100"/>
    </row>
    <row r="283" spans="2:6" ht="12.75" customHeight="1" x14ac:dyDescent="0.25">
      <c r="B283" s="100"/>
      <c r="E283" s="100"/>
      <c r="F283" s="100"/>
    </row>
    <row r="284" spans="2:6" ht="12.75" customHeight="1" x14ac:dyDescent="0.25">
      <c r="B284" s="100"/>
      <c r="E284" s="100"/>
      <c r="F284" s="100"/>
    </row>
    <row r="285" spans="2:6" ht="12.75" customHeight="1" x14ac:dyDescent="0.25">
      <c r="B285" s="100"/>
      <c r="E285" s="100"/>
      <c r="F285" s="100"/>
    </row>
    <row r="286" spans="2:6" ht="12.75" customHeight="1" x14ac:dyDescent="0.25">
      <c r="B286" s="100"/>
      <c r="E286" s="100"/>
      <c r="F286" s="100"/>
    </row>
    <row r="287" spans="2:6" ht="12.75" customHeight="1" x14ac:dyDescent="0.25">
      <c r="B287" s="100"/>
      <c r="E287" s="100"/>
      <c r="F287" s="100"/>
    </row>
    <row r="288" spans="2:6" ht="12.75" customHeight="1" x14ac:dyDescent="0.25">
      <c r="B288" s="100"/>
      <c r="E288" s="100"/>
      <c r="F288" s="100"/>
    </row>
    <row r="289" spans="2:6" ht="12.75" customHeight="1" x14ac:dyDescent="0.25">
      <c r="B289" s="100"/>
      <c r="E289" s="100"/>
      <c r="F289" s="100"/>
    </row>
    <row r="290" spans="2:6" ht="12.75" customHeight="1" x14ac:dyDescent="0.25">
      <c r="B290" s="100"/>
      <c r="E290" s="100"/>
      <c r="F290" s="100"/>
    </row>
    <row r="291" spans="2:6" ht="12.75" customHeight="1" x14ac:dyDescent="0.25">
      <c r="B291" s="100"/>
      <c r="E291" s="100"/>
      <c r="F291" s="100"/>
    </row>
    <row r="292" spans="2:6" ht="12.75" customHeight="1" x14ac:dyDescent="0.25">
      <c r="B292" s="100"/>
      <c r="E292" s="100"/>
      <c r="F292" s="100"/>
    </row>
    <row r="293" spans="2:6" ht="12.75" customHeight="1" x14ac:dyDescent="0.25">
      <c r="B293" s="100"/>
      <c r="E293" s="100"/>
      <c r="F293" s="100"/>
    </row>
    <row r="294" spans="2:6" ht="12.75" customHeight="1" x14ac:dyDescent="0.25">
      <c r="B294" s="100"/>
      <c r="E294" s="100"/>
      <c r="F294" s="100"/>
    </row>
    <row r="295" spans="2:6" ht="12.75" customHeight="1" x14ac:dyDescent="0.25">
      <c r="B295" s="100"/>
      <c r="E295" s="100"/>
      <c r="F295" s="100"/>
    </row>
    <row r="296" spans="2:6" ht="12.75" customHeight="1" x14ac:dyDescent="0.25">
      <c r="B296" s="100"/>
      <c r="E296" s="100"/>
      <c r="F296" s="100"/>
    </row>
    <row r="297" spans="2:6" ht="12.75" customHeight="1" x14ac:dyDescent="0.25">
      <c r="B297" s="100"/>
      <c r="E297" s="100"/>
      <c r="F297" s="100"/>
    </row>
    <row r="298" spans="2:6" ht="12.75" customHeight="1" x14ac:dyDescent="0.25">
      <c r="B298" s="100"/>
      <c r="E298" s="100"/>
      <c r="F298" s="100"/>
    </row>
    <row r="299" spans="2:6" ht="12.75" customHeight="1" x14ac:dyDescent="0.25">
      <c r="B299" s="100"/>
      <c r="E299" s="100"/>
      <c r="F299" s="100"/>
    </row>
    <row r="300" spans="2:6" ht="12.75" customHeight="1" x14ac:dyDescent="0.25">
      <c r="B300" s="100"/>
      <c r="E300" s="100"/>
      <c r="F300" s="100"/>
    </row>
    <row r="301" spans="2:6" ht="12.75" customHeight="1" x14ac:dyDescent="0.25">
      <c r="B301" s="100"/>
      <c r="E301" s="100"/>
      <c r="F301" s="100"/>
    </row>
    <row r="302" spans="2:6" ht="12.75" customHeight="1" x14ac:dyDescent="0.25">
      <c r="B302" s="100"/>
      <c r="E302" s="100"/>
      <c r="F302" s="100"/>
    </row>
    <row r="303" spans="2:6" ht="12.75" customHeight="1" x14ac:dyDescent="0.25">
      <c r="B303" s="100"/>
      <c r="E303" s="100"/>
      <c r="F303" s="100"/>
    </row>
    <row r="304" spans="2:6" ht="12.75" customHeight="1" x14ac:dyDescent="0.25">
      <c r="B304" s="100"/>
      <c r="E304" s="100"/>
      <c r="F304" s="100"/>
    </row>
    <row r="305" spans="2:6" ht="12.75" customHeight="1" x14ac:dyDescent="0.25">
      <c r="B305" s="100"/>
      <c r="E305" s="100"/>
      <c r="F305" s="100"/>
    </row>
    <row r="306" spans="2:6" ht="12.75" customHeight="1" x14ac:dyDescent="0.25">
      <c r="B306" s="100"/>
      <c r="E306" s="100"/>
      <c r="F306" s="100"/>
    </row>
    <row r="307" spans="2:6" ht="12.75" customHeight="1" x14ac:dyDescent="0.25">
      <c r="B307" s="100"/>
      <c r="E307" s="100"/>
      <c r="F307" s="100"/>
    </row>
    <row r="308" spans="2:6" ht="12.75" customHeight="1" x14ac:dyDescent="0.25">
      <c r="B308" s="100"/>
      <c r="E308" s="100"/>
      <c r="F308" s="100"/>
    </row>
    <row r="309" spans="2:6" ht="12.75" customHeight="1" x14ac:dyDescent="0.25">
      <c r="B309" s="100"/>
      <c r="E309" s="100"/>
      <c r="F309" s="100"/>
    </row>
    <row r="310" spans="2:6" ht="12.75" customHeight="1" x14ac:dyDescent="0.25">
      <c r="B310" s="100"/>
      <c r="E310" s="100"/>
      <c r="F310" s="100"/>
    </row>
    <row r="311" spans="2:6" ht="12.75" customHeight="1" x14ac:dyDescent="0.25">
      <c r="B311" s="100"/>
      <c r="E311" s="100"/>
      <c r="F311" s="100"/>
    </row>
    <row r="312" spans="2:6" ht="12.75" customHeight="1" x14ac:dyDescent="0.25">
      <c r="B312" s="100"/>
      <c r="E312" s="100"/>
      <c r="F312" s="100"/>
    </row>
    <row r="313" spans="2:6" ht="12.75" customHeight="1" x14ac:dyDescent="0.25">
      <c r="B313" s="100"/>
      <c r="E313" s="100"/>
      <c r="F313" s="100"/>
    </row>
    <row r="314" spans="2:6" ht="12.75" customHeight="1" x14ac:dyDescent="0.25">
      <c r="B314" s="100"/>
      <c r="E314" s="100"/>
      <c r="F314" s="100"/>
    </row>
    <row r="315" spans="2:6" ht="12.75" customHeight="1" x14ac:dyDescent="0.25">
      <c r="B315" s="100"/>
      <c r="E315" s="100"/>
      <c r="F315" s="100"/>
    </row>
    <row r="316" spans="2:6" ht="12.75" customHeight="1" x14ac:dyDescent="0.25">
      <c r="B316" s="100"/>
      <c r="E316" s="100"/>
      <c r="F316" s="100"/>
    </row>
    <row r="317" spans="2:6" ht="12.75" customHeight="1" x14ac:dyDescent="0.25">
      <c r="B317" s="100"/>
      <c r="E317" s="100"/>
      <c r="F317" s="100"/>
    </row>
    <row r="318" spans="2:6" ht="12.75" customHeight="1" x14ac:dyDescent="0.25">
      <c r="B318" s="100"/>
      <c r="E318" s="100"/>
      <c r="F318" s="100"/>
    </row>
    <row r="319" spans="2:6" ht="12.75" customHeight="1" x14ac:dyDescent="0.25">
      <c r="B319" s="100"/>
      <c r="E319" s="100"/>
      <c r="F319" s="100"/>
    </row>
    <row r="320" spans="2:6" ht="12.75" customHeight="1" x14ac:dyDescent="0.25">
      <c r="B320" s="100"/>
      <c r="E320" s="100"/>
      <c r="F320" s="100"/>
    </row>
    <row r="321" spans="2:6" ht="12.75" customHeight="1" x14ac:dyDescent="0.25">
      <c r="B321" s="100"/>
      <c r="E321" s="100"/>
      <c r="F321" s="100"/>
    </row>
    <row r="322" spans="2:6" ht="12.75" customHeight="1" x14ac:dyDescent="0.25">
      <c r="B322" s="100"/>
      <c r="E322" s="100"/>
      <c r="F322" s="100"/>
    </row>
    <row r="323" spans="2:6" ht="12.75" customHeight="1" x14ac:dyDescent="0.25">
      <c r="B323" s="100"/>
      <c r="E323" s="100"/>
      <c r="F323" s="100"/>
    </row>
    <row r="324" spans="2:6" ht="12.75" customHeight="1" x14ac:dyDescent="0.25">
      <c r="B324" s="100"/>
      <c r="E324" s="100"/>
      <c r="F324" s="100"/>
    </row>
    <row r="325" spans="2:6" ht="12.75" customHeight="1" x14ac:dyDescent="0.25">
      <c r="B325" s="100"/>
      <c r="E325" s="100"/>
      <c r="F325" s="100"/>
    </row>
    <row r="326" spans="2:6" ht="12.75" customHeight="1" x14ac:dyDescent="0.25">
      <c r="B326" s="100"/>
      <c r="E326" s="100"/>
      <c r="F326" s="100"/>
    </row>
    <row r="327" spans="2:6" ht="12.75" customHeight="1" x14ac:dyDescent="0.25">
      <c r="B327" s="100"/>
      <c r="E327" s="100"/>
      <c r="F327" s="100"/>
    </row>
    <row r="328" spans="2:6" ht="12.75" customHeight="1" x14ac:dyDescent="0.25">
      <c r="B328" s="100"/>
      <c r="E328" s="100"/>
      <c r="F328" s="100"/>
    </row>
    <row r="329" spans="2:6" ht="12.75" customHeight="1" x14ac:dyDescent="0.25">
      <c r="B329" s="100"/>
      <c r="E329" s="100"/>
      <c r="F329" s="100"/>
    </row>
    <row r="330" spans="2:6" ht="12.75" customHeight="1" x14ac:dyDescent="0.25">
      <c r="B330" s="100"/>
      <c r="E330" s="100"/>
      <c r="F330" s="100"/>
    </row>
    <row r="331" spans="2:6" ht="12.75" customHeight="1" x14ac:dyDescent="0.25">
      <c r="B331" s="100"/>
      <c r="E331" s="100"/>
      <c r="F331" s="100"/>
    </row>
    <row r="332" spans="2:6" ht="12.75" customHeight="1" x14ac:dyDescent="0.25">
      <c r="B332" s="100"/>
      <c r="E332" s="100"/>
      <c r="F332" s="100"/>
    </row>
    <row r="333" spans="2:6" ht="12.75" customHeight="1" x14ac:dyDescent="0.25">
      <c r="B333" s="100"/>
      <c r="E333" s="100"/>
      <c r="F333" s="100"/>
    </row>
    <row r="334" spans="2:6" ht="12.75" customHeight="1" x14ac:dyDescent="0.25">
      <c r="B334" s="100"/>
      <c r="E334" s="100"/>
      <c r="F334" s="100"/>
    </row>
    <row r="335" spans="2:6" ht="12.75" customHeight="1" x14ac:dyDescent="0.25">
      <c r="B335" s="100"/>
      <c r="E335" s="100"/>
      <c r="F335" s="100"/>
    </row>
    <row r="336" spans="2:6" ht="12.75" customHeight="1" x14ac:dyDescent="0.25">
      <c r="B336" s="100"/>
      <c r="E336" s="100"/>
      <c r="F336" s="100"/>
    </row>
    <row r="337" spans="2:6" ht="12.75" customHeight="1" x14ac:dyDescent="0.25">
      <c r="B337" s="100"/>
      <c r="E337" s="100"/>
      <c r="F337" s="100"/>
    </row>
    <row r="338" spans="2:6" ht="12.75" customHeight="1" x14ac:dyDescent="0.25">
      <c r="B338" s="100"/>
      <c r="E338" s="100"/>
      <c r="F338" s="100"/>
    </row>
    <row r="339" spans="2:6" ht="12.75" customHeight="1" x14ac:dyDescent="0.25">
      <c r="B339" s="100"/>
      <c r="E339" s="100"/>
      <c r="F339" s="100"/>
    </row>
    <row r="340" spans="2:6" ht="12.75" customHeight="1" x14ac:dyDescent="0.25">
      <c r="B340" s="100"/>
      <c r="E340" s="100"/>
      <c r="F340" s="100"/>
    </row>
    <row r="341" spans="2:6" ht="12.75" customHeight="1" x14ac:dyDescent="0.25">
      <c r="B341" s="100"/>
      <c r="E341" s="100"/>
      <c r="F341" s="100"/>
    </row>
    <row r="342" spans="2:6" ht="12.75" customHeight="1" x14ac:dyDescent="0.25">
      <c r="B342" s="100"/>
      <c r="E342" s="100"/>
      <c r="F342" s="100"/>
    </row>
    <row r="343" spans="2:6" ht="12.75" customHeight="1" x14ac:dyDescent="0.25">
      <c r="B343" s="100"/>
      <c r="E343" s="100"/>
      <c r="F343" s="100"/>
    </row>
    <row r="344" spans="2:6" ht="12.75" customHeight="1" x14ac:dyDescent="0.25">
      <c r="B344" s="100"/>
      <c r="E344" s="100"/>
      <c r="F344" s="100"/>
    </row>
    <row r="345" spans="2:6" ht="12.75" customHeight="1" x14ac:dyDescent="0.25">
      <c r="B345" s="100"/>
      <c r="E345" s="100"/>
      <c r="F345" s="100"/>
    </row>
    <row r="346" spans="2:6" ht="12.75" customHeight="1" x14ac:dyDescent="0.25">
      <c r="B346" s="100"/>
      <c r="E346" s="100"/>
      <c r="F346" s="100"/>
    </row>
    <row r="347" spans="2:6" ht="12.75" customHeight="1" x14ac:dyDescent="0.25">
      <c r="B347" s="100"/>
      <c r="E347" s="100"/>
      <c r="F347" s="100"/>
    </row>
    <row r="348" spans="2:6" ht="12.75" customHeight="1" x14ac:dyDescent="0.25">
      <c r="B348" s="100"/>
      <c r="E348" s="100"/>
      <c r="F348" s="100"/>
    </row>
    <row r="349" spans="2:6" ht="12.75" customHeight="1" x14ac:dyDescent="0.25">
      <c r="B349" s="100"/>
      <c r="E349" s="100"/>
      <c r="F349" s="100"/>
    </row>
    <row r="350" spans="2:6" ht="12.75" customHeight="1" x14ac:dyDescent="0.25">
      <c r="B350" s="100"/>
      <c r="E350" s="100"/>
      <c r="F350" s="100"/>
    </row>
    <row r="351" spans="2:6" ht="12.75" customHeight="1" x14ac:dyDescent="0.25">
      <c r="B351" s="100"/>
      <c r="E351" s="100"/>
      <c r="F351" s="100"/>
    </row>
    <row r="352" spans="2:6" ht="12.75" customHeight="1" x14ac:dyDescent="0.25">
      <c r="B352" s="100"/>
      <c r="E352" s="100"/>
      <c r="F352" s="100"/>
    </row>
    <row r="353" spans="2:6" ht="12.75" customHeight="1" x14ac:dyDescent="0.25">
      <c r="B353" s="100"/>
      <c r="E353" s="100"/>
      <c r="F353" s="100"/>
    </row>
    <row r="354" spans="2:6" ht="12.75" customHeight="1" x14ac:dyDescent="0.25">
      <c r="B354" s="100"/>
      <c r="E354" s="100"/>
      <c r="F354" s="100"/>
    </row>
    <row r="355" spans="2:6" ht="12.75" customHeight="1" x14ac:dyDescent="0.25">
      <c r="B355" s="100"/>
      <c r="E355" s="100"/>
      <c r="F355" s="100"/>
    </row>
    <row r="356" spans="2:6" ht="12.75" customHeight="1" x14ac:dyDescent="0.25">
      <c r="B356" s="100"/>
      <c r="E356" s="100"/>
      <c r="F356" s="100"/>
    </row>
    <row r="357" spans="2:6" ht="12.75" customHeight="1" x14ac:dyDescent="0.25">
      <c r="B357" s="100"/>
      <c r="E357" s="100"/>
      <c r="F357" s="100"/>
    </row>
    <row r="358" spans="2:6" ht="12.75" customHeight="1" x14ac:dyDescent="0.25">
      <c r="B358" s="100"/>
      <c r="E358" s="100"/>
      <c r="F358" s="100"/>
    </row>
    <row r="359" spans="2:6" ht="12.75" customHeight="1" x14ac:dyDescent="0.25">
      <c r="B359" s="100"/>
      <c r="E359" s="100"/>
      <c r="F359" s="100"/>
    </row>
    <row r="360" spans="2:6" ht="12.75" customHeight="1" x14ac:dyDescent="0.25">
      <c r="B360" s="100"/>
      <c r="E360" s="100"/>
      <c r="F360" s="100"/>
    </row>
    <row r="361" spans="2:6" ht="12.75" customHeight="1" x14ac:dyDescent="0.25">
      <c r="B361" s="100"/>
      <c r="E361" s="100"/>
      <c r="F361" s="100"/>
    </row>
    <row r="362" spans="2:6" ht="12.75" customHeight="1" x14ac:dyDescent="0.25">
      <c r="B362" s="100"/>
      <c r="E362" s="100"/>
      <c r="F362" s="100"/>
    </row>
    <row r="363" spans="2:6" ht="12.75" customHeight="1" x14ac:dyDescent="0.25">
      <c r="B363" s="100"/>
      <c r="E363" s="100"/>
      <c r="F363" s="100"/>
    </row>
    <row r="364" spans="2:6" ht="12.75" customHeight="1" x14ac:dyDescent="0.25">
      <c r="B364" s="100"/>
      <c r="E364" s="100"/>
      <c r="F364" s="100"/>
    </row>
    <row r="365" spans="2:6" ht="12.75" customHeight="1" x14ac:dyDescent="0.25">
      <c r="B365" s="100"/>
      <c r="E365" s="100"/>
      <c r="F365" s="100"/>
    </row>
    <row r="366" spans="2:6" ht="12.75" customHeight="1" x14ac:dyDescent="0.25">
      <c r="B366" s="100"/>
      <c r="E366" s="100"/>
      <c r="F366" s="100"/>
    </row>
    <row r="367" spans="2:6" ht="12.75" customHeight="1" x14ac:dyDescent="0.25">
      <c r="B367" s="100"/>
      <c r="E367" s="100"/>
      <c r="F367" s="100"/>
    </row>
    <row r="368" spans="2:6" ht="12.75" customHeight="1" x14ac:dyDescent="0.25">
      <c r="B368" s="100"/>
      <c r="E368" s="100"/>
      <c r="F368" s="100"/>
    </row>
    <row r="369" spans="2:6" ht="12.75" customHeight="1" x14ac:dyDescent="0.25">
      <c r="B369" s="100"/>
      <c r="E369" s="100"/>
      <c r="F369" s="100"/>
    </row>
    <row r="370" spans="2:6" ht="12.75" customHeight="1" x14ac:dyDescent="0.25">
      <c r="B370" s="100"/>
      <c r="E370" s="100"/>
      <c r="F370" s="100"/>
    </row>
    <row r="371" spans="2:6" ht="12.75" customHeight="1" x14ac:dyDescent="0.25">
      <c r="B371" s="100"/>
      <c r="E371" s="100"/>
      <c r="F371" s="100"/>
    </row>
    <row r="372" spans="2:6" ht="12.75" customHeight="1" x14ac:dyDescent="0.25">
      <c r="B372" s="100"/>
      <c r="E372" s="100"/>
      <c r="F372" s="100"/>
    </row>
    <row r="373" spans="2:6" ht="12.75" customHeight="1" x14ac:dyDescent="0.25">
      <c r="B373" s="100"/>
      <c r="E373" s="100"/>
      <c r="F373" s="100"/>
    </row>
    <row r="374" spans="2:6" ht="12.75" customHeight="1" x14ac:dyDescent="0.25">
      <c r="B374" s="100"/>
      <c r="E374" s="100"/>
      <c r="F374" s="100"/>
    </row>
    <row r="375" spans="2:6" ht="12.75" customHeight="1" x14ac:dyDescent="0.25">
      <c r="B375" s="100"/>
      <c r="E375" s="100"/>
      <c r="F375" s="100"/>
    </row>
    <row r="376" spans="2:6" ht="12.75" customHeight="1" x14ac:dyDescent="0.25">
      <c r="B376" s="100"/>
      <c r="E376" s="100"/>
      <c r="F376" s="100"/>
    </row>
    <row r="377" spans="2:6" ht="12.75" customHeight="1" x14ac:dyDescent="0.25">
      <c r="B377" s="100"/>
      <c r="E377" s="100"/>
      <c r="F377" s="100"/>
    </row>
    <row r="378" spans="2:6" ht="12.75" customHeight="1" x14ac:dyDescent="0.25">
      <c r="B378" s="100"/>
      <c r="E378" s="100"/>
      <c r="F378" s="100"/>
    </row>
    <row r="379" spans="2:6" ht="12.75" customHeight="1" x14ac:dyDescent="0.25">
      <c r="B379" s="100"/>
      <c r="E379" s="100"/>
      <c r="F379" s="100"/>
    </row>
    <row r="380" spans="2:6" ht="12.75" customHeight="1" x14ac:dyDescent="0.25">
      <c r="B380" s="100"/>
      <c r="E380" s="100"/>
      <c r="F380" s="100"/>
    </row>
    <row r="381" spans="2:6" ht="12.75" customHeight="1" x14ac:dyDescent="0.25">
      <c r="B381" s="100"/>
      <c r="E381" s="100"/>
      <c r="F381" s="100"/>
    </row>
    <row r="382" spans="2:6" ht="12.75" customHeight="1" x14ac:dyDescent="0.25">
      <c r="B382" s="100"/>
      <c r="E382" s="100"/>
      <c r="F382" s="100"/>
    </row>
    <row r="383" spans="2:6" ht="12.75" customHeight="1" x14ac:dyDescent="0.25">
      <c r="B383" s="100"/>
      <c r="E383" s="100"/>
      <c r="F383" s="100"/>
    </row>
    <row r="384" spans="2:6" ht="12.75" customHeight="1" x14ac:dyDescent="0.25">
      <c r="B384" s="100"/>
      <c r="E384" s="100"/>
      <c r="F384" s="100"/>
    </row>
    <row r="385" spans="2:6" ht="12.75" customHeight="1" x14ac:dyDescent="0.25">
      <c r="B385" s="100"/>
      <c r="E385" s="100"/>
      <c r="F385" s="100"/>
    </row>
    <row r="386" spans="2:6" ht="12.75" customHeight="1" x14ac:dyDescent="0.25">
      <c r="B386" s="100"/>
      <c r="E386" s="100"/>
      <c r="F386" s="100"/>
    </row>
    <row r="387" spans="2:6" ht="12.75" customHeight="1" x14ac:dyDescent="0.25">
      <c r="B387" s="100"/>
      <c r="E387" s="100"/>
      <c r="F387" s="100"/>
    </row>
    <row r="388" spans="2:6" ht="12.75" customHeight="1" x14ac:dyDescent="0.25">
      <c r="B388" s="100"/>
      <c r="E388" s="100"/>
      <c r="F388" s="100"/>
    </row>
    <row r="389" spans="2:6" ht="12.75" customHeight="1" x14ac:dyDescent="0.25">
      <c r="B389" s="100"/>
      <c r="E389" s="100"/>
      <c r="F389" s="100"/>
    </row>
    <row r="390" spans="2:6" ht="12.75" customHeight="1" x14ac:dyDescent="0.25">
      <c r="B390" s="100"/>
      <c r="E390" s="100"/>
      <c r="F390" s="100"/>
    </row>
    <row r="391" spans="2:6" ht="12.75" customHeight="1" x14ac:dyDescent="0.25">
      <c r="B391" s="100"/>
      <c r="E391" s="100"/>
      <c r="F391" s="100"/>
    </row>
    <row r="392" spans="2:6" ht="12.75" customHeight="1" x14ac:dyDescent="0.25">
      <c r="B392" s="100"/>
      <c r="E392" s="100"/>
      <c r="F392" s="100"/>
    </row>
    <row r="393" spans="2:6" ht="12.75" customHeight="1" x14ac:dyDescent="0.25">
      <c r="B393" s="100"/>
      <c r="E393" s="100"/>
      <c r="F393" s="100"/>
    </row>
    <row r="394" spans="2:6" ht="12.75" customHeight="1" x14ac:dyDescent="0.25">
      <c r="B394" s="100"/>
      <c r="E394" s="100"/>
      <c r="F394" s="100"/>
    </row>
    <row r="395" spans="2:6" ht="12.75" customHeight="1" x14ac:dyDescent="0.25">
      <c r="B395" s="100"/>
      <c r="E395" s="100"/>
      <c r="F395" s="100"/>
    </row>
    <row r="396" spans="2:6" ht="12.75" customHeight="1" x14ac:dyDescent="0.25">
      <c r="B396" s="100"/>
      <c r="E396" s="100"/>
      <c r="F396" s="100"/>
    </row>
    <row r="397" spans="2:6" ht="12.75" customHeight="1" x14ac:dyDescent="0.25">
      <c r="B397" s="100"/>
      <c r="E397" s="100"/>
      <c r="F397" s="100"/>
    </row>
    <row r="398" spans="2:6" ht="12.75" customHeight="1" x14ac:dyDescent="0.25">
      <c r="B398" s="100"/>
      <c r="E398" s="100"/>
      <c r="F398" s="100"/>
    </row>
    <row r="399" spans="2:6" ht="12.75" customHeight="1" x14ac:dyDescent="0.25">
      <c r="B399" s="100"/>
      <c r="E399" s="100"/>
      <c r="F399" s="100"/>
    </row>
    <row r="400" spans="2:6" ht="12.75" customHeight="1" x14ac:dyDescent="0.25">
      <c r="B400" s="100"/>
      <c r="E400" s="100"/>
      <c r="F400" s="100"/>
    </row>
    <row r="401" spans="2:6" ht="12.75" customHeight="1" x14ac:dyDescent="0.25">
      <c r="B401" s="100"/>
      <c r="E401" s="100"/>
      <c r="F401" s="100"/>
    </row>
    <row r="402" spans="2:6" ht="12.75" customHeight="1" x14ac:dyDescent="0.25">
      <c r="B402" s="100"/>
      <c r="E402" s="100"/>
      <c r="F402" s="100"/>
    </row>
    <row r="403" spans="2:6" ht="12.75" customHeight="1" x14ac:dyDescent="0.25">
      <c r="B403" s="100"/>
      <c r="E403" s="100"/>
      <c r="F403" s="100"/>
    </row>
    <row r="404" spans="2:6" ht="12.75" customHeight="1" x14ac:dyDescent="0.25">
      <c r="B404" s="100"/>
      <c r="E404" s="100"/>
      <c r="F404" s="100"/>
    </row>
    <row r="405" spans="2:6" ht="12.75" customHeight="1" x14ac:dyDescent="0.25">
      <c r="B405" s="100"/>
      <c r="E405" s="100"/>
      <c r="F405" s="100"/>
    </row>
    <row r="406" spans="2:6" ht="12.75" customHeight="1" x14ac:dyDescent="0.25">
      <c r="B406" s="100"/>
      <c r="E406" s="100"/>
      <c r="F406" s="100"/>
    </row>
    <row r="407" spans="2:6" ht="12.75" customHeight="1" x14ac:dyDescent="0.25">
      <c r="B407" s="100"/>
      <c r="E407" s="100"/>
      <c r="F407" s="100"/>
    </row>
    <row r="408" spans="2:6" ht="12.75" customHeight="1" x14ac:dyDescent="0.25">
      <c r="B408" s="100"/>
      <c r="E408" s="100"/>
      <c r="F408" s="100"/>
    </row>
    <row r="409" spans="2:6" ht="12.75" customHeight="1" x14ac:dyDescent="0.25">
      <c r="B409" s="100"/>
      <c r="E409" s="100"/>
      <c r="F409" s="100"/>
    </row>
    <row r="410" spans="2:6" ht="12.75" customHeight="1" x14ac:dyDescent="0.25">
      <c r="B410" s="100"/>
      <c r="E410" s="100"/>
      <c r="F410" s="100"/>
    </row>
    <row r="411" spans="2:6" ht="12.75" customHeight="1" x14ac:dyDescent="0.25">
      <c r="B411" s="100"/>
      <c r="E411" s="100"/>
      <c r="F411" s="100"/>
    </row>
    <row r="412" spans="2:6" ht="12.75" customHeight="1" x14ac:dyDescent="0.25">
      <c r="B412" s="100"/>
      <c r="E412" s="100"/>
      <c r="F412" s="100"/>
    </row>
    <row r="413" spans="2:6" ht="12.75" customHeight="1" x14ac:dyDescent="0.25">
      <c r="B413" s="100"/>
      <c r="E413" s="100"/>
      <c r="F413" s="100"/>
    </row>
    <row r="414" spans="2:6" ht="12.75" customHeight="1" x14ac:dyDescent="0.25">
      <c r="B414" s="100"/>
      <c r="E414" s="100"/>
      <c r="F414" s="100"/>
    </row>
    <row r="415" spans="2:6" ht="12.75" customHeight="1" x14ac:dyDescent="0.25">
      <c r="B415" s="100"/>
      <c r="E415" s="100"/>
      <c r="F415" s="100"/>
    </row>
    <row r="416" spans="2:6" ht="12.75" customHeight="1" x14ac:dyDescent="0.25">
      <c r="B416" s="100"/>
      <c r="E416" s="100"/>
      <c r="F416" s="100"/>
    </row>
    <row r="417" spans="2:6" ht="12.75" customHeight="1" x14ac:dyDescent="0.25">
      <c r="B417" s="100"/>
      <c r="E417" s="100"/>
      <c r="F417" s="100"/>
    </row>
    <row r="418" spans="2:6" ht="12.75" customHeight="1" x14ac:dyDescent="0.25">
      <c r="B418" s="100"/>
      <c r="E418" s="100"/>
      <c r="F418" s="100"/>
    </row>
    <row r="419" spans="2:6" ht="12.75" customHeight="1" x14ac:dyDescent="0.25">
      <c r="B419" s="100"/>
      <c r="E419" s="100"/>
      <c r="F419" s="100"/>
    </row>
    <row r="420" spans="2:6" ht="12.75" customHeight="1" x14ac:dyDescent="0.25">
      <c r="B420" s="100"/>
      <c r="E420" s="100"/>
      <c r="F420" s="100"/>
    </row>
    <row r="421" spans="2:6" ht="12.75" customHeight="1" x14ac:dyDescent="0.25">
      <c r="B421" s="100"/>
      <c r="E421" s="100"/>
      <c r="F421" s="100"/>
    </row>
    <row r="422" spans="2:6" ht="12.75" customHeight="1" x14ac:dyDescent="0.25">
      <c r="B422" s="100"/>
      <c r="E422" s="100"/>
      <c r="F422" s="100"/>
    </row>
    <row r="423" spans="2:6" ht="12.75" customHeight="1" x14ac:dyDescent="0.25">
      <c r="B423" s="100"/>
      <c r="E423" s="100"/>
      <c r="F423" s="100"/>
    </row>
    <row r="424" spans="2:6" ht="12.75" customHeight="1" x14ac:dyDescent="0.25">
      <c r="B424" s="100"/>
      <c r="E424" s="100"/>
      <c r="F424" s="100"/>
    </row>
    <row r="425" spans="2:6" ht="12.75" customHeight="1" x14ac:dyDescent="0.25">
      <c r="B425" s="100"/>
      <c r="E425" s="100"/>
      <c r="F425" s="100"/>
    </row>
    <row r="426" spans="2:6" ht="12.75" customHeight="1" x14ac:dyDescent="0.25">
      <c r="B426" s="100"/>
      <c r="E426" s="100"/>
      <c r="F426" s="100"/>
    </row>
    <row r="427" spans="2:6" ht="12.75" customHeight="1" x14ac:dyDescent="0.25">
      <c r="B427" s="100"/>
      <c r="E427" s="100"/>
      <c r="F427" s="100"/>
    </row>
    <row r="428" spans="2:6" ht="12.75" customHeight="1" x14ac:dyDescent="0.25">
      <c r="B428" s="100"/>
      <c r="E428" s="100"/>
      <c r="F428" s="100"/>
    </row>
    <row r="429" spans="2:6" ht="12.75" customHeight="1" x14ac:dyDescent="0.25">
      <c r="B429" s="100"/>
      <c r="E429" s="100"/>
      <c r="F429" s="100"/>
    </row>
    <row r="430" spans="2:6" ht="12.75" customHeight="1" x14ac:dyDescent="0.25">
      <c r="B430" s="100"/>
      <c r="E430" s="100"/>
      <c r="F430" s="100"/>
    </row>
    <row r="431" spans="2:6" ht="12.75" customHeight="1" x14ac:dyDescent="0.25">
      <c r="B431" s="100"/>
      <c r="E431" s="100"/>
      <c r="F431" s="100"/>
    </row>
    <row r="432" spans="2:6" ht="12.75" customHeight="1" x14ac:dyDescent="0.25">
      <c r="B432" s="100"/>
      <c r="E432" s="100"/>
      <c r="F432" s="100"/>
    </row>
    <row r="433" spans="2:6" ht="12.75" customHeight="1" x14ac:dyDescent="0.25">
      <c r="B433" s="100"/>
      <c r="E433" s="100"/>
      <c r="F433" s="100"/>
    </row>
    <row r="434" spans="2:6" ht="12.75" customHeight="1" x14ac:dyDescent="0.25">
      <c r="B434" s="100"/>
      <c r="E434" s="100"/>
      <c r="F434" s="100"/>
    </row>
    <row r="435" spans="2:6" ht="12.75" customHeight="1" x14ac:dyDescent="0.25">
      <c r="B435" s="100"/>
      <c r="E435" s="100"/>
      <c r="F435" s="100"/>
    </row>
    <row r="436" spans="2:6" ht="12.75" customHeight="1" x14ac:dyDescent="0.25">
      <c r="B436" s="100"/>
      <c r="E436" s="100"/>
      <c r="F436" s="100"/>
    </row>
    <row r="437" spans="2:6" ht="12.75" customHeight="1" x14ac:dyDescent="0.25">
      <c r="B437" s="100"/>
      <c r="E437" s="100"/>
      <c r="F437" s="100"/>
    </row>
    <row r="438" spans="2:6" ht="12.75" customHeight="1" x14ac:dyDescent="0.25">
      <c r="B438" s="100"/>
      <c r="E438" s="100"/>
      <c r="F438" s="100"/>
    </row>
    <row r="439" spans="2:6" ht="12.75" customHeight="1" x14ac:dyDescent="0.25">
      <c r="B439" s="100"/>
      <c r="E439" s="100"/>
      <c r="F439" s="100"/>
    </row>
    <row r="440" spans="2:6" ht="12.75" customHeight="1" x14ac:dyDescent="0.25">
      <c r="B440" s="100"/>
      <c r="E440" s="100"/>
      <c r="F440" s="100"/>
    </row>
    <row r="441" spans="2:6" ht="12.75" customHeight="1" x14ac:dyDescent="0.25">
      <c r="B441" s="100"/>
      <c r="E441" s="100"/>
      <c r="F441" s="100"/>
    </row>
    <row r="442" spans="2:6" ht="12.75" customHeight="1" x14ac:dyDescent="0.25">
      <c r="B442" s="100"/>
      <c r="E442" s="100"/>
      <c r="F442" s="100"/>
    </row>
    <row r="443" spans="2:6" ht="12.75" customHeight="1" x14ac:dyDescent="0.25">
      <c r="B443" s="100"/>
      <c r="E443" s="100"/>
      <c r="F443" s="100"/>
    </row>
    <row r="444" spans="2:6" ht="12.75" customHeight="1" x14ac:dyDescent="0.25">
      <c r="B444" s="100"/>
      <c r="E444" s="100"/>
      <c r="F444" s="100"/>
    </row>
    <row r="445" spans="2:6" ht="12.75" customHeight="1" x14ac:dyDescent="0.25">
      <c r="B445" s="100"/>
      <c r="E445" s="100"/>
      <c r="F445" s="100"/>
    </row>
    <row r="446" spans="2:6" ht="12.75" customHeight="1" x14ac:dyDescent="0.25">
      <c r="B446" s="100"/>
      <c r="E446" s="100"/>
      <c r="F446" s="100"/>
    </row>
    <row r="447" spans="2:6" ht="12.75" customHeight="1" x14ac:dyDescent="0.25">
      <c r="B447" s="100"/>
      <c r="E447" s="100"/>
      <c r="F447" s="100"/>
    </row>
    <row r="448" spans="2:6" ht="12.75" customHeight="1" x14ac:dyDescent="0.25">
      <c r="B448" s="100"/>
      <c r="E448" s="100"/>
      <c r="F448" s="100"/>
    </row>
    <row r="449" spans="2:6" ht="12.75" customHeight="1" x14ac:dyDescent="0.25">
      <c r="B449" s="100"/>
      <c r="E449" s="100"/>
      <c r="F449" s="100"/>
    </row>
    <row r="450" spans="2:6" ht="12.75" customHeight="1" x14ac:dyDescent="0.25">
      <c r="B450" s="100"/>
      <c r="E450" s="100"/>
      <c r="F450" s="100"/>
    </row>
    <row r="451" spans="2:6" ht="12.75" customHeight="1" x14ac:dyDescent="0.25">
      <c r="B451" s="100"/>
      <c r="E451" s="100"/>
      <c r="F451" s="100"/>
    </row>
    <row r="452" spans="2:6" ht="12.75" customHeight="1" x14ac:dyDescent="0.25">
      <c r="B452" s="100"/>
      <c r="E452" s="100"/>
      <c r="F452" s="100"/>
    </row>
    <row r="453" spans="2:6" ht="12.75" customHeight="1" x14ac:dyDescent="0.25">
      <c r="B453" s="100"/>
      <c r="E453" s="100"/>
      <c r="F453" s="100"/>
    </row>
    <row r="454" spans="2:6" ht="12.75" customHeight="1" x14ac:dyDescent="0.25">
      <c r="B454" s="100"/>
      <c r="E454" s="100"/>
      <c r="F454" s="100"/>
    </row>
    <row r="455" spans="2:6" ht="12.75" customHeight="1" x14ac:dyDescent="0.25">
      <c r="B455" s="100"/>
      <c r="E455" s="100"/>
      <c r="F455" s="100"/>
    </row>
    <row r="456" spans="2:6" ht="12.75" customHeight="1" x14ac:dyDescent="0.25">
      <c r="B456" s="100"/>
      <c r="E456" s="100"/>
      <c r="F456" s="100"/>
    </row>
    <row r="457" spans="2:6" ht="12.75" customHeight="1" x14ac:dyDescent="0.25">
      <c r="B457" s="100"/>
      <c r="E457" s="100"/>
      <c r="F457" s="100"/>
    </row>
    <row r="458" spans="2:6" ht="12.75" customHeight="1" x14ac:dyDescent="0.25">
      <c r="B458" s="100"/>
      <c r="E458" s="100"/>
      <c r="F458" s="100"/>
    </row>
    <row r="459" spans="2:6" ht="12.75" customHeight="1" x14ac:dyDescent="0.25">
      <c r="B459" s="100"/>
      <c r="E459" s="100"/>
      <c r="F459" s="100"/>
    </row>
    <row r="460" spans="2:6" ht="12.75" customHeight="1" x14ac:dyDescent="0.25">
      <c r="B460" s="100"/>
      <c r="E460" s="100"/>
      <c r="F460" s="100"/>
    </row>
    <row r="461" spans="2:6" ht="12.75" customHeight="1" x14ac:dyDescent="0.25">
      <c r="B461" s="100"/>
      <c r="E461" s="100"/>
      <c r="F461" s="100"/>
    </row>
    <row r="462" spans="2:6" ht="12.75" customHeight="1" x14ac:dyDescent="0.25">
      <c r="B462" s="100"/>
      <c r="E462" s="100"/>
      <c r="F462" s="100"/>
    </row>
    <row r="463" spans="2:6" ht="12.75" customHeight="1" x14ac:dyDescent="0.25">
      <c r="B463" s="100"/>
      <c r="E463" s="100"/>
      <c r="F463" s="100"/>
    </row>
    <row r="464" spans="2:6" ht="12.75" customHeight="1" x14ac:dyDescent="0.25">
      <c r="B464" s="100"/>
      <c r="E464" s="100"/>
      <c r="F464" s="100"/>
    </row>
    <row r="465" spans="2:6" ht="12.75" customHeight="1" x14ac:dyDescent="0.25">
      <c r="B465" s="100"/>
      <c r="E465" s="100"/>
      <c r="F465" s="100"/>
    </row>
    <row r="466" spans="2:6" ht="12.75" customHeight="1" x14ac:dyDescent="0.25">
      <c r="B466" s="100"/>
      <c r="E466" s="100"/>
      <c r="F466" s="100"/>
    </row>
    <row r="467" spans="2:6" ht="12.75" customHeight="1" x14ac:dyDescent="0.25">
      <c r="B467" s="100"/>
      <c r="E467" s="100"/>
      <c r="F467" s="100"/>
    </row>
    <row r="468" spans="2:6" ht="12.75" customHeight="1" x14ac:dyDescent="0.25">
      <c r="B468" s="100"/>
      <c r="E468" s="100"/>
      <c r="F468" s="100"/>
    </row>
    <row r="469" spans="2:6" ht="12.75" customHeight="1" x14ac:dyDescent="0.25">
      <c r="B469" s="100"/>
      <c r="E469" s="100"/>
      <c r="F469" s="100"/>
    </row>
    <row r="470" spans="2:6" ht="12.75" customHeight="1" x14ac:dyDescent="0.25">
      <c r="B470" s="100"/>
      <c r="E470" s="100"/>
      <c r="F470" s="100"/>
    </row>
    <row r="471" spans="2:6" ht="12.75" customHeight="1" x14ac:dyDescent="0.25">
      <c r="B471" s="100"/>
      <c r="E471" s="100"/>
      <c r="F471" s="100"/>
    </row>
    <row r="472" spans="2:6" ht="12.75" customHeight="1" x14ac:dyDescent="0.25">
      <c r="B472" s="100"/>
      <c r="E472" s="100"/>
      <c r="F472" s="100"/>
    </row>
    <row r="473" spans="2:6" ht="12.75" customHeight="1" x14ac:dyDescent="0.25">
      <c r="B473" s="100"/>
      <c r="E473" s="100"/>
      <c r="F473" s="100"/>
    </row>
    <row r="474" spans="2:6" ht="12.75" customHeight="1" x14ac:dyDescent="0.25">
      <c r="B474" s="100"/>
      <c r="E474" s="100"/>
      <c r="F474" s="100"/>
    </row>
    <row r="475" spans="2:6" ht="12.75" customHeight="1" x14ac:dyDescent="0.25">
      <c r="B475" s="100"/>
      <c r="E475" s="100"/>
      <c r="F475" s="100"/>
    </row>
    <row r="476" spans="2:6" ht="12.75" customHeight="1" x14ac:dyDescent="0.25">
      <c r="B476" s="100"/>
      <c r="E476" s="100"/>
      <c r="F476" s="100"/>
    </row>
    <row r="477" spans="2:6" ht="12.75" customHeight="1" x14ac:dyDescent="0.25">
      <c r="B477" s="100"/>
      <c r="E477" s="100"/>
      <c r="F477" s="100"/>
    </row>
    <row r="478" spans="2:6" ht="12.75" customHeight="1" x14ac:dyDescent="0.25">
      <c r="B478" s="100"/>
      <c r="E478" s="100"/>
      <c r="F478" s="100"/>
    </row>
    <row r="479" spans="2:6" ht="12.75" customHeight="1" x14ac:dyDescent="0.25">
      <c r="B479" s="100"/>
      <c r="E479" s="100"/>
      <c r="F479" s="100"/>
    </row>
    <row r="480" spans="2:6" ht="12.75" customHeight="1" x14ac:dyDescent="0.25">
      <c r="B480" s="100"/>
      <c r="E480" s="100"/>
      <c r="F480" s="100"/>
    </row>
    <row r="481" spans="2:6" ht="12.75" customHeight="1" x14ac:dyDescent="0.25">
      <c r="B481" s="100"/>
      <c r="E481" s="100"/>
      <c r="F481" s="100"/>
    </row>
    <row r="482" spans="2:6" ht="12.75" customHeight="1" x14ac:dyDescent="0.25">
      <c r="B482" s="100"/>
      <c r="E482" s="100"/>
      <c r="F482" s="100"/>
    </row>
    <row r="483" spans="2:6" ht="12.75" customHeight="1" x14ac:dyDescent="0.25">
      <c r="B483" s="100"/>
      <c r="E483" s="100"/>
      <c r="F483" s="100"/>
    </row>
    <row r="484" spans="2:6" ht="12.75" customHeight="1" x14ac:dyDescent="0.25">
      <c r="B484" s="100"/>
      <c r="E484" s="100"/>
      <c r="F484" s="100"/>
    </row>
    <row r="485" spans="2:6" ht="12.75" customHeight="1" x14ac:dyDescent="0.25">
      <c r="B485" s="100"/>
      <c r="E485" s="100"/>
      <c r="F485" s="100"/>
    </row>
    <row r="486" spans="2:6" ht="12.75" customHeight="1" x14ac:dyDescent="0.25">
      <c r="B486" s="100"/>
      <c r="E486" s="100"/>
      <c r="F486" s="100"/>
    </row>
    <row r="487" spans="2:6" ht="12.75" customHeight="1" x14ac:dyDescent="0.25">
      <c r="B487" s="100"/>
      <c r="E487" s="100"/>
      <c r="F487" s="100"/>
    </row>
    <row r="488" spans="2:6" ht="12.75" customHeight="1" x14ac:dyDescent="0.25">
      <c r="B488" s="100"/>
      <c r="E488" s="100"/>
      <c r="F488" s="100"/>
    </row>
    <row r="489" spans="2:6" ht="12.75" customHeight="1" x14ac:dyDescent="0.25">
      <c r="B489" s="100"/>
      <c r="E489" s="100"/>
      <c r="F489" s="100"/>
    </row>
    <row r="490" spans="2:6" ht="12.75" customHeight="1" x14ac:dyDescent="0.25">
      <c r="B490" s="100"/>
      <c r="E490" s="100"/>
      <c r="F490" s="100"/>
    </row>
    <row r="491" spans="2:6" ht="12.75" customHeight="1" x14ac:dyDescent="0.25">
      <c r="B491" s="100"/>
      <c r="E491" s="100"/>
      <c r="F491" s="100"/>
    </row>
    <row r="492" spans="2:6" ht="12.75" customHeight="1" x14ac:dyDescent="0.25">
      <c r="B492" s="100"/>
      <c r="E492" s="100"/>
      <c r="F492" s="100"/>
    </row>
    <row r="493" spans="2:6" ht="12.75" customHeight="1" x14ac:dyDescent="0.25">
      <c r="B493" s="100"/>
      <c r="E493" s="100"/>
      <c r="F493" s="100"/>
    </row>
    <row r="494" spans="2:6" ht="12.75" customHeight="1" x14ac:dyDescent="0.25">
      <c r="B494" s="100"/>
      <c r="E494" s="100"/>
      <c r="F494" s="100"/>
    </row>
    <row r="495" spans="2:6" ht="12.75" customHeight="1" x14ac:dyDescent="0.25">
      <c r="B495" s="100"/>
      <c r="E495" s="100"/>
      <c r="F495" s="100"/>
    </row>
    <row r="496" spans="2:6" ht="12.75" customHeight="1" x14ac:dyDescent="0.25">
      <c r="B496" s="100"/>
      <c r="E496" s="100"/>
      <c r="F496" s="100"/>
    </row>
    <row r="497" spans="2:6" ht="12.75" customHeight="1" x14ac:dyDescent="0.25">
      <c r="B497" s="100"/>
      <c r="E497" s="100"/>
      <c r="F497" s="100"/>
    </row>
    <row r="498" spans="2:6" ht="12.75" customHeight="1" x14ac:dyDescent="0.25">
      <c r="B498" s="100"/>
      <c r="E498" s="100"/>
      <c r="F498" s="100"/>
    </row>
    <row r="499" spans="2:6" ht="12.75" customHeight="1" x14ac:dyDescent="0.25">
      <c r="B499" s="100"/>
      <c r="E499" s="100"/>
      <c r="F499" s="100"/>
    </row>
    <row r="500" spans="2:6" ht="12.75" customHeight="1" x14ac:dyDescent="0.25">
      <c r="B500" s="100"/>
      <c r="E500" s="100"/>
      <c r="F500" s="100"/>
    </row>
    <row r="501" spans="2:6" ht="12.75" customHeight="1" x14ac:dyDescent="0.25">
      <c r="B501" s="100"/>
      <c r="E501" s="100"/>
      <c r="F501" s="100"/>
    </row>
    <row r="502" spans="2:6" ht="12.75" customHeight="1" x14ac:dyDescent="0.25">
      <c r="B502" s="100"/>
      <c r="E502" s="100"/>
      <c r="F502" s="100"/>
    </row>
    <row r="503" spans="2:6" ht="12.75" customHeight="1" x14ac:dyDescent="0.25">
      <c r="B503" s="100"/>
      <c r="E503" s="100"/>
      <c r="F503" s="100"/>
    </row>
    <row r="504" spans="2:6" ht="12.75" customHeight="1" x14ac:dyDescent="0.25">
      <c r="B504" s="100"/>
      <c r="E504" s="100"/>
      <c r="F504" s="100"/>
    </row>
    <row r="505" spans="2:6" ht="12.75" customHeight="1" x14ac:dyDescent="0.25">
      <c r="B505" s="100"/>
      <c r="E505" s="100"/>
      <c r="F505" s="100"/>
    </row>
    <row r="506" spans="2:6" ht="12.75" customHeight="1" x14ac:dyDescent="0.25">
      <c r="B506" s="100"/>
      <c r="E506" s="100"/>
      <c r="F506" s="100"/>
    </row>
    <row r="507" spans="2:6" ht="12.75" customHeight="1" x14ac:dyDescent="0.25">
      <c r="B507" s="100"/>
      <c r="E507" s="100"/>
      <c r="F507" s="100"/>
    </row>
    <row r="508" spans="2:6" ht="12.75" customHeight="1" x14ac:dyDescent="0.25">
      <c r="B508" s="100"/>
      <c r="E508" s="100"/>
      <c r="F508" s="100"/>
    </row>
    <row r="509" spans="2:6" ht="12.75" customHeight="1" x14ac:dyDescent="0.25">
      <c r="B509" s="100"/>
      <c r="E509" s="100"/>
      <c r="F509" s="100"/>
    </row>
    <row r="510" spans="2:6" ht="12.75" customHeight="1" x14ac:dyDescent="0.25">
      <c r="B510" s="100"/>
      <c r="E510" s="100"/>
      <c r="F510" s="100"/>
    </row>
    <row r="511" spans="2:6" ht="12.75" customHeight="1" x14ac:dyDescent="0.25">
      <c r="B511" s="100"/>
      <c r="E511" s="100"/>
      <c r="F511" s="100"/>
    </row>
    <row r="512" spans="2:6" ht="12.75" customHeight="1" x14ac:dyDescent="0.25">
      <c r="B512" s="100"/>
      <c r="E512" s="100"/>
      <c r="F512" s="100"/>
    </row>
    <row r="513" spans="2:6" ht="12.75" customHeight="1" x14ac:dyDescent="0.25">
      <c r="B513" s="100"/>
      <c r="E513" s="100"/>
      <c r="F513" s="100"/>
    </row>
    <row r="514" spans="2:6" ht="12.75" customHeight="1" x14ac:dyDescent="0.25">
      <c r="B514" s="100"/>
      <c r="E514" s="100"/>
      <c r="F514" s="100"/>
    </row>
    <row r="515" spans="2:6" ht="12.75" customHeight="1" x14ac:dyDescent="0.25">
      <c r="B515" s="100"/>
      <c r="E515" s="100"/>
      <c r="F515" s="100"/>
    </row>
    <row r="516" spans="2:6" ht="12.75" customHeight="1" x14ac:dyDescent="0.25">
      <c r="B516" s="100"/>
      <c r="E516" s="100"/>
      <c r="F516" s="100"/>
    </row>
    <row r="517" spans="2:6" ht="12.75" customHeight="1" x14ac:dyDescent="0.25">
      <c r="B517" s="100"/>
      <c r="E517" s="100"/>
      <c r="F517" s="100"/>
    </row>
    <row r="518" spans="2:6" ht="12.75" customHeight="1" x14ac:dyDescent="0.25">
      <c r="B518" s="100"/>
      <c r="E518" s="100"/>
      <c r="F518" s="100"/>
    </row>
    <row r="519" spans="2:6" ht="12.75" customHeight="1" x14ac:dyDescent="0.25">
      <c r="B519" s="100"/>
      <c r="E519" s="100"/>
      <c r="F519" s="100"/>
    </row>
    <row r="520" spans="2:6" ht="12.75" customHeight="1" x14ac:dyDescent="0.25">
      <c r="B520" s="100"/>
      <c r="E520" s="100"/>
      <c r="F520" s="100"/>
    </row>
    <row r="521" spans="2:6" ht="12.75" customHeight="1" x14ac:dyDescent="0.25">
      <c r="B521" s="100"/>
      <c r="E521" s="100"/>
      <c r="F521" s="100"/>
    </row>
    <row r="522" spans="2:6" ht="12.75" customHeight="1" x14ac:dyDescent="0.25">
      <c r="B522" s="100"/>
      <c r="E522" s="100"/>
      <c r="F522" s="100"/>
    </row>
    <row r="523" spans="2:6" ht="12.75" customHeight="1" x14ac:dyDescent="0.25">
      <c r="B523" s="100"/>
      <c r="E523" s="100"/>
      <c r="F523" s="100"/>
    </row>
    <row r="524" spans="2:6" ht="12.75" customHeight="1" x14ac:dyDescent="0.25">
      <c r="B524" s="100"/>
      <c r="E524" s="100"/>
      <c r="F524" s="100"/>
    </row>
    <row r="525" spans="2:6" ht="12.75" customHeight="1" x14ac:dyDescent="0.25">
      <c r="B525" s="100"/>
      <c r="E525" s="100"/>
      <c r="F525" s="100"/>
    </row>
    <row r="526" spans="2:6" ht="12.75" customHeight="1" x14ac:dyDescent="0.25">
      <c r="B526" s="100"/>
      <c r="E526" s="100"/>
      <c r="F526" s="100"/>
    </row>
    <row r="527" spans="2:6" ht="12.75" customHeight="1" x14ac:dyDescent="0.25">
      <c r="B527" s="100"/>
      <c r="E527" s="100"/>
      <c r="F527" s="100"/>
    </row>
    <row r="528" spans="2:6" ht="12.75" customHeight="1" x14ac:dyDescent="0.25">
      <c r="B528" s="100"/>
      <c r="E528" s="100"/>
      <c r="F528" s="100"/>
    </row>
    <row r="529" spans="2:6" ht="12.75" customHeight="1" x14ac:dyDescent="0.25">
      <c r="B529" s="100"/>
      <c r="E529" s="100"/>
      <c r="F529" s="100"/>
    </row>
    <row r="530" spans="2:6" ht="12.75" customHeight="1" x14ac:dyDescent="0.25">
      <c r="B530" s="100"/>
      <c r="E530" s="100"/>
      <c r="F530" s="100"/>
    </row>
    <row r="531" spans="2:6" ht="12.75" customHeight="1" x14ac:dyDescent="0.25">
      <c r="B531" s="100"/>
      <c r="E531" s="100"/>
      <c r="F531" s="100"/>
    </row>
    <row r="532" spans="2:6" ht="12.75" customHeight="1" x14ac:dyDescent="0.25">
      <c r="B532" s="100"/>
      <c r="E532" s="100"/>
      <c r="F532" s="100"/>
    </row>
    <row r="533" spans="2:6" ht="12.75" customHeight="1" x14ac:dyDescent="0.25">
      <c r="B533" s="100"/>
      <c r="E533" s="100"/>
      <c r="F533" s="100"/>
    </row>
    <row r="534" spans="2:6" ht="12.75" customHeight="1" x14ac:dyDescent="0.25">
      <c r="B534" s="100"/>
      <c r="E534" s="100"/>
      <c r="F534" s="100"/>
    </row>
    <row r="535" spans="2:6" ht="12.75" customHeight="1" x14ac:dyDescent="0.25">
      <c r="B535" s="100"/>
      <c r="E535" s="100"/>
      <c r="F535" s="100"/>
    </row>
    <row r="536" spans="2:6" ht="12.75" customHeight="1" x14ac:dyDescent="0.25">
      <c r="B536" s="100"/>
      <c r="E536" s="100"/>
      <c r="F536" s="100"/>
    </row>
    <row r="537" spans="2:6" ht="12.75" customHeight="1" x14ac:dyDescent="0.25">
      <c r="B537" s="100"/>
      <c r="E537" s="100"/>
      <c r="F537" s="100"/>
    </row>
    <row r="538" spans="2:6" ht="12.75" customHeight="1" x14ac:dyDescent="0.25">
      <c r="B538" s="100"/>
      <c r="E538" s="100"/>
      <c r="F538" s="100"/>
    </row>
    <row r="539" spans="2:6" ht="12.75" customHeight="1" x14ac:dyDescent="0.25">
      <c r="B539" s="100"/>
      <c r="E539" s="100"/>
      <c r="F539" s="100"/>
    </row>
    <row r="540" spans="2:6" ht="12.75" customHeight="1" x14ac:dyDescent="0.25">
      <c r="B540" s="100"/>
      <c r="E540" s="100"/>
      <c r="F540" s="100"/>
    </row>
    <row r="541" spans="2:6" ht="12.75" customHeight="1" x14ac:dyDescent="0.25">
      <c r="B541" s="100"/>
      <c r="E541" s="100"/>
      <c r="F541" s="100"/>
    </row>
    <row r="542" spans="2:6" ht="12.75" customHeight="1" x14ac:dyDescent="0.25">
      <c r="B542" s="100"/>
      <c r="E542" s="100"/>
      <c r="F542" s="100"/>
    </row>
    <row r="543" spans="2:6" ht="12.75" customHeight="1" x14ac:dyDescent="0.25">
      <c r="B543" s="100"/>
      <c r="E543" s="100"/>
      <c r="F543" s="100"/>
    </row>
    <row r="544" spans="2:6" ht="12.75" customHeight="1" x14ac:dyDescent="0.25">
      <c r="B544" s="100"/>
      <c r="E544" s="100"/>
      <c r="F544" s="100"/>
    </row>
    <row r="545" spans="2:6" ht="12.75" customHeight="1" x14ac:dyDescent="0.25">
      <c r="B545" s="100"/>
      <c r="E545" s="100"/>
      <c r="F545" s="100"/>
    </row>
    <row r="546" spans="2:6" ht="12.75" customHeight="1" x14ac:dyDescent="0.25">
      <c r="B546" s="100"/>
      <c r="E546" s="100"/>
      <c r="F546" s="100"/>
    </row>
    <row r="547" spans="2:6" ht="12.75" customHeight="1" x14ac:dyDescent="0.25">
      <c r="B547" s="100"/>
      <c r="E547" s="100"/>
      <c r="F547" s="100"/>
    </row>
    <row r="548" spans="2:6" ht="12.75" customHeight="1" x14ac:dyDescent="0.25">
      <c r="B548" s="100"/>
      <c r="E548" s="100"/>
      <c r="F548" s="100"/>
    </row>
    <row r="549" spans="2:6" ht="12.75" customHeight="1" x14ac:dyDescent="0.25">
      <c r="B549" s="100"/>
      <c r="E549" s="100"/>
      <c r="F549" s="100"/>
    </row>
    <row r="550" spans="2:6" ht="12.75" customHeight="1" x14ac:dyDescent="0.25">
      <c r="B550" s="100"/>
      <c r="E550" s="100"/>
      <c r="F550" s="100"/>
    </row>
    <row r="551" spans="2:6" ht="12.75" customHeight="1" x14ac:dyDescent="0.25">
      <c r="B551" s="100"/>
      <c r="E551" s="100"/>
      <c r="F551" s="100"/>
    </row>
    <row r="552" spans="2:6" ht="12.75" customHeight="1" x14ac:dyDescent="0.25">
      <c r="B552" s="100"/>
      <c r="E552" s="100"/>
      <c r="F552" s="100"/>
    </row>
    <row r="553" spans="2:6" ht="12.75" customHeight="1" x14ac:dyDescent="0.25">
      <c r="B553" s="100"/>
      <c r="E553" s="100"/>
      <c r="F553" s="100"/>
    </row>
    <row r="554" spans="2:6" ht="12.75" customHeight="1" x14ac:dyDescent="0.25">
      <c r="B554" s="100"/>
      <c r="E554" s="100"/>
      <c r="F554" s="100"/>
    </row>
    <row r="555" spans="2:6" ht="12.75" customHeight="1" x14ac:dyDescent="0.25">
      <c r="B555" s="100"/>
      <c r="E555" s="100"/>
      <c r="F555" s="100"/>
    </row>
    <row r="556" spans="2:6" ht="12.75" customHeight="1" x14ac:dyDescent="0.25">
      <c r="B556" s="100"/>
      <c r="E556" s="100"/>
      <c r="F556" s="100"/>
    </row>
    <row r="557" spans="2:6" ht="12.75" customHeight="1" x14ac:dyDescent="0.25">
      <c r="B557" s="100"/>
      <c r="E557" s="100"/>
      <c r="F557" s="100"/>
    </row>
    <row r="558" spans="2:6" ht="12.75" customHeight="1" x14ac:dyDescent="0.25">
      <c r="B558" s="100"/>
      <c r="E558" s="100"/>
      <c r="F558" s="100"/>
    </row>
    <row r="559" spans="2:6" ht="12.75" customHeight="1" x14ac:dyDescent="0.25">
      <c r="B559" s="100"/>
      <c r="E559" s="100"/>
      <c r="F559" s="100"/>
    </row>
    <row r="560" spans="2:6" ht="12.75" customHeight="1" x14ac:dyDescent="0.25">
      <c r="B560" s="100"/>
      <c r="E560" s="100"/>
      <c r="F560" s="100"/>
    </row>
    <row r="561" spans="2:6" ht="12.75" customHeight="1" x14ac:dyDescent="0.25">
      <c r="B561" s="100"/>
      <c r="E561" s="100"/>
      <c r="F561" s="100"/>
    </row>
    <row r="562" spans="2:6" ht="12.75" customHeight="1" x14ac:dyDescent="0.25">
      <c r="B562" s="100"/>
      <c r="E562" s="100"/>
      <c r="F562" s="100"/>
    </row>
    <row r="563" spans="2:6" ht="12.75" customHeight="1" x14ac:dyDescent="0.25">
      <c r="B563" s="100"/>
      <c r="E563" s="100"/>
      <c r="F563" s="100"/>
    </row>
    <row r="564" spans="2:6" ht="12.75" customHeight="1" x14ac:dyDescent="0.25">
      <c r="B564" s="100"/>
      <c r="E564" s="100"/>
      <c r="F564" s="100"/>
    </row>
    <row r="565" spans="2:6" ht="12.75" customHeight="1" x14ac:dyDescent="0.25">
      <c r="B565" s="100"/>
      <c r="E565" s="100"/>
      <c r="F565" s="100"/>
    </row>
    <row r="566" spans="2:6" ht="12.75" customHeight="1" x14ac:dyDescent="0.25">
      <c r="B566" s="100"/>
      <c r="E566" s="100"/>
      <c r="F566" s="100"/>
    </row>
    <row r="567" spans="2:6" ht="12.75" customHeight="1" x14ac:dyDescent="0.25">
      <c r="B567" s="100"/>
      <c r="E567" s="100"/>
      <c r="F567" s="100"/>
    </row>
    <row r="568" spans="2:6" ht="12.75" customHeight="1" x14ac:dyDescent="0.25">
      <c r="B568" s="100"/>
      <c r="E568" s="100"/>
      <c r="F568" s="100"/>
    </row>
    <row r="569" spans="2:6" ht="12.75" customHeight="1" x14ac:dyDescent="0.25">
      <c r="B569" s="100"/>
      <c r="E569" s="100"/>
      <c r="F569" s="100"/>
    </row>
    <row r="570" spans="2:6" ht="12.75" customHeight="1" x14ac:dyDescent="0.25">
      <c r="B570" s="100"/>
      <c r="E570" s="100"/>
      <c r="F570" s="100"/>
    </row>
    <row r="571" spans="2:6" ht="12.75" customHeight="1" x14ac:dyDescent="0.25">
      <c r="B571" s="100"/>
      <c r="E571" s="100"/>
      <c r="F571" s="100"/>
    </row>
    <row r="572" spans="2:6" ht="12.75" customHeight="1" x14ac:dyDescent="0.25">
      <c r="B572" s="100"/>
      <c r="E572" s="100"/>
      <c r="F572" s="100"/>
    </row>
    <row r="573" spans="2:6" ht="12.75" customHeight="1" x14ac:dyDescent="0.25">
      <c r="B573" s="100"/>
      <c r="E573" s="100"/>
      <c r="F573" s="100"/>
    </row>
    <row r="574" spans="2:6" ht="12.75" customHeight="1" x14ac:dyDescent="0.25">
      <c r="B574" s="100"/>
      <c r="E574" s="100"/>
      <c r="F574" s="100"/>
    </row>
    <row r="575" spans="2:6" ht="12.75" customHeight="1" x14ac:dyDescent="0.25">
      <c r="B575" s="100"/>
      <c r="E575" s="100"/>
      <c r="F575" s="100"/>
    </row>
    <row r="576" spans="2:6" ht="12.75" customHeight="1" x14ac:dyDescent="0.25">
      <c r="B576" s="100"/>
      <c r="E576" s="100"/>
      <c r="F576" s="100"/>
    </row>
    <row r="577" spans="2:6" ht="12.75" customHeight="1" x14ac:dyDescent="0.25">
      <c r="B577" s="100"/>
      <c r="E577" s="100"/>
      <c r="F577" s="100"/>
    </row>
    <row r="578" spans="2:6" ht="12.75" customHeight="1" x14ac:dyDescent="0.25">
      <c r="B578" s="100"/>
      <c r="E578" s="100"/>
      <c r="F578" s="100"/>
    </row>
    <row r="579" spans="2:6" ht="12.75" customHeight="1" x14ac:dyDescent="0.25">
      <c r="B579" s="100"/>
      <c r="E579" s="100"/>
      <c r="F579" s="100"/>
    </row>
    <row r="580" spans="2:6" ht="12.75" customHeight="1" x14ac:dyDescent="0.25">
      <c r="B580" s="100"/>
      <c r="E580" s="100"/>
      <c r="F580" s="100"/>
    </row>
    <row r="581" spans="2:6" ht="12.75" customHeight="1" x14ac:dyDescent="0.25">
      <c r="B581" s="100"/>
      <c r="E581" s="100"/>
      <c r="F581" s="100"/>
    </row>
    <row r="582" spans="2:6" ht="12.75" customHeight="1" x14ac:dyDescent="0.25">
      <c r="B582" s="100"/>
      <c r="E582" s="100"/>
      <c r="F582" s="100"/>
    </row>
    <row r="583" spans="2:6" ht="12.75" customHeight="1" x14ac:dyDescent="0.25">
      <c r="B583" s="100"/>
      <c r="E583" s="100"/>
      <c r="F583" s="100"/>
    </row>
    <row r="584" spans="2:6" ht="12.75" customHeight="1" x14ac:dyDescent="0.25">
      <c r="B584" s="100"/>
      <c r="E584" s="100"/>
      <c r="F584" s="100"/>
    </row>
    <row r="585" spans="2:6" ht="12.75" customHeight="1" x14ac:dyDescent="0.25">
      <c r="B585" s="100"/>
      <c r="E585" s="100"/>
      <c r="F585" s="100"/>
    </row>
    <row r="586" spans="2:6" ht="12.75" customHeight="1" x14ac:dyDescent="0.25">
      <c r="B586" s="100"/>
      <c r="E586" s="100"/>
      <c r="F586" s="100"/>
    </row>
    <row r="587" spans="2:6" ht="12.75" customHeight="1" x14ac:dyDescent="0.25">
      <c r="B587" s="100"/>
      <c r="E587" s="100"/>
      <c r="F587" s="100"/>
    </row>
    <row r="588" spans="2:6" ht="12.75" customHeight="1" x14ac:dyDescent="0.25">
      <c r="B588" s="100"/>
      <c r="E588" s="100"/>
      <c r="F588" s="100"/>
    </row>
    <row r="589" spans="2:6" ht="12.75" customHeight="1" x14ac:dyDescent="0.25">
      <c r="B589" s="100"/>
      <c r="E589" s="100"/>
      <c r="F589" s="100"/>
    </row>
    <row r="590" spans="2:6" ht="12.75" customHeight="1" x14ac:dyDescent="0.25">
      <c r="B590" s="100"/>
      <c r="E590" s="100"/>
      <c r="F590" s="100"/>
    </row>
    <row r="591" spans="2:6" ht="12.75" customHeight="1" x14ac:dyDescent="0.25">
      <c r="B591" s="100"/>
      <c r="E591" s="100"/>
      <c r="F591" s="100"/>
    </row>
    <row r="592" spans="2:6" ht="12.75" customHeight="1" x14ac:dyDescent="0.25">
      <c r="B592" s="100"/>
      <c r="E592" s="100"/>
      <c r="F592" s="100"/>
    </row>
    <row r="593" spans="2:6" ht="12.75" customHeight="1" x14ac:dyDescent="0.25">
      <c r="B593" s="100"/>
      <c r="E593" s="100"/>
      <c r="F593" s="100"/>
    </row>
    <row r="594" spans="2:6" ht="12.75" customHeight="1" x14ac:dyDescent="0.25">
      <c r="B594" s="100"/>
      <c r="E594" s="100"/>
      <c r="F594" s="100"/>
    </row>
    <row r="595" spans="2:6" ht="12.75" customHeight="1" x14ac:dyDescent="0.25">
      <c r="B595" s="100"/>
      <c r="E595" s="100"/>
      <c r="F595" s="100"/>
    </row>
    <row r="596" spans="2:6" ht="12.75" customHeight="1" x14ac:dyDescent="0.25">
      <c r="B596" s="100"/>
      <c r="E596" s="100"/>
      <c r="F596" s="100"/>
    </row>
    <row r="597" spans="2:6" ht="12.75" customHeight="1" x14ac:dyDescent="0.25">
      <c r="B597" s="100"/>
      <c r="E597" s="100"/>
      <c r="F597" s="100"/>
    </row>
    <row r="598" spans="2:6" ht="12.75" customHeight="1" x14ac:dyDescent="0.25">
      <c r="B598" s="100"/>
      <c r="E598" s="100"/>
      <c r="F598" s="100"/>
    </row>
    <row r="599" spans="2:6" ht="12.75" customHeight="1" x14ac:dyDescent="0.25">
      <c r="B599" s="100"/>
      <c r="E599" s="100"/>
      <c r="F599" s="100"/>
    </row>
    <row r="600" spans="2:6" ht="12.75" customHeight="1" x14ac:dyDescent="0.25">
      <c r="B600" s="100"/>
      <c r="E600" s="100"/>
      <c r="F600" s="100"/>
    </row>
    <row r="601" spans="2:6" ht="12.75" customHeight="1" x14ac:dyDescent="0.25">
      <c r="B601" s="100"/>
      <c r="E601" s="100"/>
      <c r="F601" s="100"/>
    </row>
    <row r="602" spans="2:6" ht="12.75" customHeight="1" x14ac:dyDescent="0.25">
      <c r="B602" s="100"/>
      <c r="E602" s="100"/>
      <c r="F602" s="100"/>
    </row>
    <row r="603" spans="2:6" ht="12.75" customHeight="1" x14ac:dyDescent="0.25">
      <c r="B603" s="100"/>
      <c r="E603" s="100"/>
      <c r="F603" s="100"/>
    </row>
    <row r="604" spans="2:6" ht="12.75" customHeight="1" x14ac:dyDescent="0.25">
      <c r="B604" s="100"/>
      <c r="E604" s="100"/>
      <c r="F604" s="100"/>
    </row>
    <row r="605" spans="2:6" ht="12.75" customHeight="1" x14ac:dyDescent="0.25">
      <c r="B605" s="100"/>
      <c r="E605" s="100"/>
      <c r="F605" s="100"/>
    </row>
    <row r="606" spans="2:6" ht="12.75" customHeight="1" x14ac:dyDescent="0.25">
      <c r="B606" s="100"/>
      <c r="E606" s="100"/>
      <c r="F606" s="100"/>
    </row>
    <row r="607" spans="2:6" ht="12.75" customHeight="1" x14ac:dyDescent="0.25">
      <c r="B607" s="100"/>
      <c r="E607" s="100"/>
      <c r="F607" s="100"/>
    </row>
    <row r="608" spans="2:6" ht="12.75" customHeight="1" x14ac:dyDescent="0.25">
      <c r="B608" s="100"/>
      <c r="E608" s="100"/>
      <c r="F608" s="100"/>
    </row>
    <row r="609" spans="2:6" ht="12.75" customHeight="1" x14ac:dyDescent="0.25">
      <c r="B609" s="100"/>
      <c r="E609" s="100"/>
      <c r="F609" s="100"/>
    </row>
    <row r="610" spans="2:6" ht="12.75" customHeight="1" x14ac:dyDescent="0.25">
      <c r="B610" s="100"/>
      <c r="E610" s="100"/>
      <c r="F610" s="100"/>
    </row>
    <row r="611" spans="2:6" ht="12.75" customHeight="1" x14ac:dyDescent="0.25">
      <c r="B611" s="100"/>
      <c r="E611" s="100"/>
      <c r="F611" s="100"/>
    </row>
    <row r="612" spans="2:6" ht="12.75" customHeight="1" x14ac:dyDescent="0.25">
      <c r="B612" s="100"/>
      <c r="E612" s="100"/>
      <c r="F612" s="100"/>
    </row>
    <row r="613" spans="2:6" ht="12.75" customHeight="1" x14ac:dyDescent="0.25">
      <c r="B613" s="100"/>
      <c r="E613" s="100"/>
      <c r="F613" s="100"/>
    </row>
    <row r="614" spans="2:6" ht="12.75" customHeight="1" x14ac:dyDescent="0.25">
      <c r="B614" s="100"/>
      <c r="E614" s="100"/>
      <c r="F614" s="100"/>
    </row>
    <row r="615" spans="2:6" ht="12.75" customHeight="1" x14ac:dyDescent="0.25">
      <c r="B615" s="100"/>
      <c r="E615" s="100"/>
      <c r="F615" s="100"/>
    </row>
    <row r="616" spans="2:6" ht="12.75" customHeight="1" x14ac:dyDescent="0.25">
      <c r="B616" s="100"/>
      <c r="E616" s="100"/>
      <c r="F616" s="100"/>
    </row>
    <row r="617" spans="2:6" ht="12.75" customHeight="1" x14ac:dyDescent="0.25">
      <c r="B617" s="100"/>
      <c r="E617" s="100"/>
      <c r="F617" s="100"/>
    </row>
    <row r="618" spans="2:6" ht="12.75" customHeight="1" x14ac:dyDescent="0.25">
      <c r="B618" s="100"/>
      <c r="E618" s="100"/>
      <c r="F618" s="100"/>
    </row>
    <row r="619" spans="2:6" ht="12.75" customHeight="1" x14ac:dyDescent="0.25">
      <c r="B619" s="100"/>
      <c r="E619" s="100"/>
      <c r="F619" s="100"/>
    </row>
    <row r="620" spans="2:6" ht="12.75" customHeight="1" x14ac:dyDescent="0.25">
      <c r="B620" s="100"/>
      <c r="E620" s="100"/>
      <c r="F620" s="100"/>
    </row>
    <row r="621" spans="2:6" ht="12.75" customHeight="1" x14ac:dyDescent="0.25">
      <c r="B621" s="100"/>
      <c r="E621" s="100"/>
      <c r="F621" s="100"/>
    </row>
    <row r="622" spans="2:6" ht="12.75" customHeight="1" x14ac:dyDescent="0.25">
      <c r="B622" s="100"/>
      <c r="E622" s="100"/>
      <c r="F622" s="100"/>
    </row>
    <row r="623" spans="2:6" ht="12.75" customHeight="1" x14ac:dyDescent="0.25">
      <c r="B623" s="100"/>
      <c r="E623" s="100"/>
      <c r="F623" s="100"/>
    </row>
    <row r="624" spans="2:6" ht="12.75" customHeight="1" x14ac:dyDescent="0.25">
      <c r="B624" s="100"/>
      <c r="E624" s="100"/>
      <c r="F624" s="100"/>
    </row>
    <row r="625" spans="2:6" ht="12.75" customHeight="1" x14ac:dyDescent="0.25">
      <c r="B625" s="100"/>
      <c r="E625" s="100"/>
      <c r="F625" s="100"/>
    </row>
    <row r="626" spans="2:6" ht="12.75" customHeight="1" x14ac:dyDescent="0.25">
      <c r="B626" s="100"/>
      <c r="E626" s="100"/>
      <c r="F626" s="100"/>
    </row>
    <row r="627" spans="2:6" ht="12.75" customHeight="1" x14ac:dyDescent="0.25">
      <c r="B627" s="100"/>
      <c r="E627" s="100"/>
      <c r="F627" s="100"/>
    </row>
    <row r="628" spans="2:6" ht="12.75" customHeight="1" x14ac:dyDescent="0.25">
      <c r="B628" s="100"/>
      <c r="E628" s="100"/>
      <c r="F628" s="100"/>
    </row>
    <row r="629" spans="2:6" ht="12.75" customHeight="1" x14ac:dyDescent="0.25">
      <c r="B629" s="100"/>
      <c r="E629" s="100"/>
      <c r="F629" s="100"/>
    </row>
    <row r="630" spans="2:6" ht="12.75" customHeight="1" x14ac:dyDescent="0.25">
      <c r="B630" s="100"/>
      <c r="E630" s="100"/>
      <c r="F630" s="100"/>
    </row>
    <row r="631" spans="2:6" ht="12.75" customHeight="1" x14ac:dyDescent="0.25">
      <c r="B631" s="100"/>
      <c r="E631" s="100"/>
      <c r="F631" s="100"/>
    </row>
    <row r="632" spans="2:6" ht="12.75" customHeight="1" x14ac:dyDescent="0.25">
      <c r="B632" s="100"/>
      <c r="E632" s="100"/>
      <c r="F632" s="100"/>
    </row>
    <row r="633" spans="2:6" ht="12.75" customHeight="1" x14ac:dyDescent="0.25">
      <c r="B633" s="100"/>
      <c r="E633" s="100"/>
      <c r="F633" s="100"/>
    </row>
    <row r="634" spans="2:6" ht="12.75" customHeight="1" x14ac:dyDescent="0.25">
      <c r="B634" s="100"/>
      <c r="E634" s="100"/>
      <c r="F634" s="100"/>
    </row>
    <row r="635" spans="2:6" ht="12.75" customHeight="1" x14ac:dyDescent="0.25">
      <c r="B635" s="100"/>
      <c r="E635" s="100"/>
      <c r="F635" s="100"/>
    </row>
    <row r="636" spans="2:6" ht="12.75" customHeight="1" x14ac:dyDescent="0.25">
      <c r="B636" s="100"/>
      <c r="E636" s="100"/>
      <c r="F636" s="100"/>
    </row>
    <row r="637" spans="2:6" ht="12.75" customHeight="1" x14ac:dyDescent="0.25">
      <c r="B637" s="100"/>
      <c r="E637" s="100"/>
      <c r="F637" s="100"/>
    </row>
    <row r="638" spans="2:6" ht="12.75" customHeight="1" x14ac:dyDescent="0.25">
      <c r="B638" s="100"/>
      <c r="E638" s="100"/>
      <c r="F638" s="100"/>
    </row>
    <row r="639" spans="2:6" ht="12.75" customHeight="1" x14ac:dyDescent="0.25">
      <c r="B639" s="100"/>
      <c r="E639" s="100"/>
      <c r="F639" s="100"/>
    </row>
    <row r="640" spans="2:6" ht="12.75" customHeight="1" x14ac:dyDescent="0.25">
      <c r="B640" s="100"/>
      <c r="E640" s="100"/>
      <c r="F640" s="100"/>
    </row>
    <row r="641" spans="2:6" ht="12.75" customHeight="1" x14ac:dyDescent="0.25">
      <c r="B641" s="100"/>
      <c r="E641" s="100"/>
      <c r="F641" s="100"/>
    </row>
    <row r="642" spans="2:6" ht="12.75" customHeight="1" x14ac:dyDescent="0.25">
      <c r="B642" s="100"/>
      <c r="E642" s="100"/>
      <c r="F642" s="100"/>
    </row>
    <row r="643" spans="2:6" ht="12.75" customHeight="1" x14ac:dyDescent="0.25">
      <c r="B643" s="100"/>
      <c r="E643" s="100"/>
      <c r="F643" s="100"/>
    </row>
    <row r="644" spans="2:6" ht="12.75" customHeight="1" x14ac:dyDescent="0.25">
      <c r="B644" s="100"/>
      <c r="E644" s="100"/>
      <c r="F644" s="100"/>
    </row>
    <row r="645" spans="2:6" ht="12.75" customHeight="1" x14ac:dyDescent="0.25">
      <c r="B645" s="100"/>
      <c r="E645" s="100"/>
      <c r="F645" s="100"/>
    </row>
    <row r="646" spans="2:6" ht="12.75" customHeight="1" x14ac:dyDescent="0.25">
      <c r="B646" s="100"/>
      <c r="E646" s="100"/>
      <c r="F646" s="100"/>
    </row>
    <row r="647" spans="2:6" ht="12.75" customHeight="1" x14ac:dyDescent="0.25">
      <c r="B647" s="100"/>
      <c r="E647" s="100"/>
      <c r="F647" s="100"/>
    </row>
    <row r="648" spans="2:6" ht="12.75" customHeight="1" x14ac:dyDescent="0.25">
      <c r="B648" s="100"/>
      <c r="E648" s="100"/>
      <c r="F648" s="100"/>
    </row>
    <row r="649" spans="2:6" ht="12.75" customHeight="1" x14ac:dyDescent="0.25">
      <c r="B649" s="100"/>
      <c r="E649" s="100"/>
      <c r="F649" s="100"/>
    </row>
    <row r="650" spans="2:6" ht="12.75" customHeight="1" x14ac:dyDescent="0.25">
      <c r="B650" s="100"/>
      <c r="E650" s="100"/>
      <c r="F650" s="100"/>
    </row>
    <row r="651" spans="2:6" ht="12.75" customHeight="1" x14ac:dyDescent="0.25">
      <c r="B651" s="100"/>
      <c r="E651" s="100"/>
      <c r="F651" s="100"/>
    </row>
    <row r="652" spans="2:6" ht="12.75" customHeight="1" x14ac:dyDescent="0.25">
      <c r="B652" s="100"/>
      <c r="E652" s="100"/>
      <c r="F652" s="100"/>
    </row>
    <row r="653" spans="2:6" ht="12.75" customHeight="1" x14ac:dyDescent="0.25">
      <c r="B653" s="100"/>
      <c r="E653" s="100"/>
      <c r="F653" s="100"/>
    </row>
    <row r="654" spans="2:6" ht="12.75" customHeight="1" x14ac:dyDescent="0.25">
      <c r="B654" s="100"/>
      <c r="E654" s="100"/>
      <c r="F654" s="100"/>
    </row>
    <row r="655" spans="2:6" ht="12.75" customHeight="1" x14ac:dyDescent="0.25">
      <c r="B655" s="100"/>
      <c r="E655" s="100"/>
      <c r="F655" s="100"/>
    </row>
    <row r="656" spans="2:6" ht="12.75" customHeight="1" x14ac:dyDescent="0.25">
      <c r="B656" s="100"/>
      <c r="E656" s="100"/>
      <c r="F656" s="100"/>
    </row>
    <row r="657" spans="2:6" ht="12.75" customHeight="1" x14ac:dyDescent="0.25">
      <c r="B657" s="100"/>
      <c r="E657" s="100"/>
      <c r="F657" s="100"/>
    </row>
    <row r="658" spans="2:6" ht="12.75" customHeight="1" x14ac:dyDescent="0.25">
      <c r="B658" s="100"/>
      <c r="E658" s="100"/>
      <c r="F658" s="100"/>
    </row>
    <row r="659" spans="2:6" ht="12.75" customHeight="1" x14ac:dyDescent="0.25">
      <c r="B659" s="100"/>
      <c r="E659" s="100"/>
      <c r="F659" s="100"/>
    </row>
    <row r="660" spans="2:6" ht="12.75" customHeight="1" x14ac:dyDescent="0.25">
      <c r="B660" s="100"/>
      <c r="E660" s="100"/>
      <c r="F660" s="100"/>
    </row>
    <row r="661" spans="2:6" ht="12.75" customHeight="1" x14ac:dyDescent="0.25">
      <c r="B661" s="100"/>
      <c r="E661" s="100"/>
      <c r="F661" s="100"/>
    </row>
    <row r="662" spans="2:6" ht="12.75" customHeight="1" x14ac:dyDescent="0.25">
      <c r="B662" s="100"/>
      <c r="E662" s="100"/>
      <c r="F662" s="100"/>
    </row>
    <row r="663" spans="2:6" ht="12.75" customHeight="1" x14ac:dyDescent="0.25">
      <c r="B663" s="100"/>
      <c r="E663" s="100"/>
      <c r="F663" s="100"/>
    </row>
    <row r="664" spans="2:6" ht="12.75" customHeight="1" x14ac:dyDescent="0.25">
      <c r="B664" s="100"/>
      <c r="E664" s="100"/>
      <c r="F664" s="100"/>
    </row>
    <row r="665" spans="2:6" ht="12.75" customHeight="1" x14ac:dyDescent="0.25">
      <c r="B665" s="100"/>
      <c r="E665" s="100"/>
      <c r="F665" s="100"/>
    </row>
    <row r="666" spans="2:6" ht="12.75" customHeight="1" x14ac:dyDescent="0.25">
      <c r="B666" s="100"/>
      <c r="E666" s="100"/>
      <c r="F666" s="100"/>
    </row>
    <row r="667" spans="2:6" ht="12.75" customHeight="1" x14ac:dyDescent="0.25">
      <c r="B667" s="100"/>
      <c r="E667" s="100"/>
      <c r="F667" s="100"/>
    </row>
    <row r="668" spans="2:6" ht="12.75" customHeight="1" x14ac:dyDescent="0.25">
      <c r="B668" s="100"/>
      <c r="E668" s="100"/>
      <c r="F668" s="100"/>
    </row>
    <row r="669" spans="2:6" ht="12.75" customHeight="1" x14ac:dyDescent="0.25">
      <c r="B669" s="100"/>
      <c r="E669" s="100"/>
      <c r="F669" s="100"/>
    </row>
    <row r="670" spans="2:6" ht="12.75" customHeight="1" x14ac:dyDescent="0.25">
      <c r="B670" s="100"/>
      <c r="E670" s="100"/>
      <c r="F670" s="100"/>
    </row>
    <row r="671" spans="2:6" ht="12.75" customHeight="1" x14ac:dyDescent="0.25">
      <c r="B671" s="100"/>
      <c r="E671" s="100"/>
      <c r="F671" s="100"/>
    </row>
    <row r="672" spans="2:6" ht="12.75" customHeight="1" x14ac:dyDescent="0.25">
      <c r="B672" s="100"/>
      <c r="E672" s="100"/>
      <c r="F672" s="100"/>
    </row>
    <row r="673" spans="2:6" ht="12.75" customHeight="1" x14ac:dyDescent="0.25">
      <c r="B673" s="100"/>
      <c r="E673" s="100"/>
      <c r="F673" s="100"/>
    </row>
    <row r="674" spans="2:6" ht="12.75" customHeight="1" x14ac:dyDescent="0.25">
      <c r="B674" s="100"/>
      <c r="E674" s="100"/>
      <c r="F674" s="100"/>
    </row>
    <row r="675" spans="2:6" ht="12.75" customHeight="1" x14ac:dyDescent="0.25">
      <c r="B675" s="100"/>
      <c r="E675" s="100"/>
      <c r="F675" s="100"/>
    </row>
    <row r="676" spans="2:6" ht="12.75" customHeight="1" x14ac:dyDescent="0.25">
      <c r="B676" s="100"/>
      <c r="E676" s="100"/>
      <c r="F676" s="100"/>
    </row>
    <row r="677" spans="2:6" ht="12.75" customHeight="1" x14ac:dyDescent="0.25">
      <c r="B677" s="100"/>
      <c r="E677" s="100"/>
      <c r="F677" s="100"/>
    </row>
    <row r="678" spans="2:6" ht="12.75" customHeight="1" x14ac:dyDescent="0.25">
      <c r="B678" s="100"/>
      <c r="E678" s="100"/>
      <c r="F678" s="100"/>
    </row>
    <row r="679" spans="2:6" ht="12.75" customHeight="1" x14ac:dyDescent="0.25">
      <c r="B679" s="100"/>
      <c r="E679" s="100"/>
      <c r="F679" s="100"/>
    </row>
    <row r="680" spans="2:6" ht="12.75" customHeight="1" x14ac:dyDescent="0.25">
      <c r="B680" s="100"/>
      <c r="E680" s="100"/>
      <c r="F680" s="100"/>
    </row>
    <row r="681" spans="2:6" ht="12.75" customHeight="1" x14ac:dyDescent="0.25">
      <c r="B681" s="100"/>
      <c r="E681" s="100"/>
      <c r="F681" s="100"/>
    </row>
    <row r="682" spans="2:6" ht="12.75" customHeight="1" x14ac:dyDescent="0.25">
      <c r="B682" s="100"/>
      <c r="E682" s="100"/>
      <c r="F682" s="100"/>
    </row>
    <row r="683" spans="2:6" ht="12.75" customHeight="1" x14ac:dyDescent="0.25">
      <c r="B683" s="100"/>
      <c r="E683" s="100"/>
      <c r="F683" s="100"/>
    </row>
    <row r="684" spans="2:6" ht="12.75" customHeight="1" x14ac:dyDescent="0.25">
      <c r="B684" s="100"/>
      <c r="E684" s="100"/>
      <c r="F684" s="100"/>
    </row>
    <row r="685" spans="2:6" ht="12.75" customHeight="1" x14ac:dyDescent="0.25">
      <c r="B685" s="100"/>
      <c r="E685" s="100"/>
      <c r="F685" s="100"/>
    </row>
    <row r="686" spans="2:6" ht="12.75" customHeight="1" x14ac:dyDescent="0.25">
      <c r="B686" s="100"/>
      <c r="E686" s="100"/>
      <c r="F686" s="100"/>
    </row>
    <row r="687" spans="2:6" ht="12.75" customHeight="1" x14ac:dyDescent="0.25">
      <c r="B687" s="100"/>
      <c r="E687" s="100"/>
      <c r="F687" s="100"/>
    </row>
    <row r="688" spans="2:6" ht="12.75" customHeight="1" x14ac:dyDescent="0.25">
      <c r="B688" s="100"/>
      <c r="E688" s="100"/>
      <c r="F688" s="100"/>
    </row>
    <row r="689" spans="2:6" ht="12.75" customHeight="1" x14ac:dyDescent="0.25">
      <c r="B689" s="100"/>
      <c r="E689" s="100"/>
      <c r="F689" s="100"/>
    </row>
    <row r="690" spans="2:6" ht="12.75" customHeight="1" x14ac:dyDescent="0.25">
      <c r="B690" s="100"/>
      <c r="E690" s="100"/>
      <c r="F690" s="100"/>
    </row>
    <row r="691" spans="2:6" ht="12.75" customHeight="1" x14ac:dyDescent="0.25">
      <c r="B691" s="100"/>
      <c r="E691" s="100"/>
      <c r="F691" s="100"/>
    </row>
    <row r="692" spans="2:6" ht="12.75" customHeight="1" x14ac:dyDescent="0.25">
      <c r="B692" s="100"/>
      <c r="E692" s="100"/>
      <c r="F692" s="100"/>
    </row>
    <row r="693" spans="2:6" ht="12.75" customHeight="1" x14ac:dyDescent="0.25">
      <c r="B693" s="100"/>
      <c r="E693" s="100"/>
      <c r="F693" s="100"/>
    </row>
    <row r="694" spans="2:6" ht="12.75" customHeight="1" x14ac:dyDescent="0.25">
      <c r="B694" s="100"/>
      <c r="E694" s="100"/>
      <c r="F694" s="100"/>
    </row>
    <row r="695" spans="2:6" ht="12.75" customHeight="1" x14ac:dyDescent="0.25">
      <c r="B695" s="100"/>
      <c r="E695" s="100"/>
      <c r="F695" s="100"/>
    </row>
    <row r="696" spans="2:6" ht="12.75" customHeight="1" x14ac:dyDescent="0.25">
      <c r="B696" s="100"/>
      <c r="E696" s="100"/>
      <c r="F696" s="100"/>
    </row>
    <row r="697" spans="2:6" ht="12.75" customHeight="1" x14ac:dyDescent="0.25">
      <c r="B697" s="100"/>
      <c r="E697" s="100"/>
      <c r="F697" s="100"/>
    </row>
    <row r="698" spans="2:6" ht="12.75" customHeight="1" x14ac:dyDescent="0.25">
      <c r="B698" s="100"/>
      <c r="E698" s="100"/>
      <c r="F698" s="100"/>
    </row>
    <row r="699" spans="2:6" ht="12.75" customHeight="1" x14ac:dyDescent="0.25">
      <c r="B699" s="100"/>
      <c r="E699" s="100"/>
      <c r="F699" s="100"/>
    </row>
    <row r="700" spans="2:6" ht="12.75" customHeight="1" x14ac:dyDescent="0.25">
      <c r="B700" s="100"/>
      <c r="E700" s="100"/>
      <c r="F700" s="100"/>
    </row>
    <row r="701" spans="2:6" ht="12.75" customHeight="1" x14ac:dyDescent="0.25">
      <c r="B701" s="100"/>
      <c r="E701" s="100"/>
      <c r="F701" s="100"/>
    </row>
    <row r="702" spans="2:6" ht="12.75" customHeight="1" x14ac:dyDescent="0.25">
      <c r="B702" s="100"/>
      <c r="E702" s="100"/>
      <c r="F702" s="100"/>
    </row>
    <row r="703" spans="2:6" ht="12.75" customHeight="1" x14ac:dyDescent="0.25">
      <c r="B703" s="100"/>
      <c r="E703" s="100"/>
      <c r="F703" s="100"/>
    </row>
    <row r="704" spans="2:6" ht="12.75" customHeight="1" x14ac:dyDescent="0.25">
      <c r="B704" s="100"/>
      <c r="E704" s="100"/>
      <c r="F704" s="100"/>
    </row>
    <row r="705" spans="2:6" ht="12.75" customHeight="1" x14ac:dyDescent="0.25">
      <c r="B705" s="100"/>
      <c r="E705" s="100"/>
      <c r="F705" s="100"/>
    </row>
    <row r="706" spans="2:6" ht="12.75" customHeight="1" x14ac:dyDescent="0.25">
      <c r="B706" s="100"/>
      <c r="E706" s="100"/>
      <c r="F706" s="100"/>
    </row>
    <row r="707" spans="2:6" ht="12.75" customHeight="1" x14ac:dyDescent="0.25">
      <c r="B707" s="100"/>
      <c r="E707" s="100"/>
      <c r="F707" s="100"/>
    </row>
    <row r="708" spans="2:6" ht="12.75" customHeight="1" x14ac:dyDescent="0.25">
      <c r="B708" s="100"/>
      <c r="E708" s="100"/>
      <c r="F708" s="100"/>
    </row>
    <row r="709" spans="2:6" ht="12.75" customHeight="1" x14ac:dyDescent="0.25">
      <c r="B709" s="100"/>
      <c r="E709" s="100"/>
      <c r="F709" s="100"/>
    </row>
    <row r="710" spans="2:6" ht="12.75" customHeight="1" x14ac:dyDescent="0.25">
      <c r="B710" s="100"/>
      <c r="E710" s="100"/>
      <c r="F710" s="100"/>
    </row>
    <row r="711" spans="2:6" ht="12.75" customHeight="1" x14ac:dyDescent="0.25">
      <c r="B711" s="100"/>
      <c r="E711" s="100"/>
      <c r="F711" s="100"/>
    </row>
    <row r="712" spans="2:6" ht="12.75" customHeight="1" x14ac:dyDescent="0.25">
      <c r="B712" s="100"/>
      <c r="E712" s="100"/>
      <c r="F712" s="100"/>
    </row>
    <row r="713" spans="2:6" ht="12.75" customHeight="1" x14ac:dyDescent="0.25">
      <c r="B713" s="100"/>
      <c r="E713" s="100"/>
      <c r="F713" s="100"/>
    </row>
    <row r="714" spans="2:6" ht="12.75" customHeight="1" x14ac:dyDescent="0.25">
      <c r="B714" s="100"/>
      <c r="E714" s="100"/>
      <c r="F714" s="100"/>
    </row>
    <row r="715" spans="2:6" ht="12.75" customHeight="1" x14ac:dyDescent="0.25">
      <c r="B715" s="100"/>
      <c r="E715" s="100"/>
      <c r="F715" s="100"/>
    </row>
    <row r="716" spans="2:6" ht="12.75" customHeight="1" x14ac:dyDescent="0.25">
      <c r="B716" s="100"/>
      <c r="E716" s="100"/>
      <c r="F716" s="100"/>
    </row>
    <row r="717" spans="2:6" ht="12.75" customHeight="1" x14ac:dyDescent="0.25">
      <c r="B717" s="100"/>
      <c r="E717" s="100"/>
      <c r="F717" s="100"/>
    </row>
    <row r="718" spans="2:6" ht="12.75" customHeight="1" x14ac:dyDescent="0.25">
      <c r="B718" s="100"/>
      <c r="E718" s="100"/>
      <c r="F718" s="100"/>
    </row>
    <row r="719" spans="2:6" ht="12.75" customHeight="1" x14ac:dyDescent="0.25">
      <c r="B719" s="100"/>
      <c r="E719" s="100"/>
      <c r="F719" s="100"/>
    </row>
    <row r="720" spans="2:6" ht="12.75" customHeight="1" x14ac:dyDescent="0.25">
      <c r="B720" s="100"/>
      <c r="E720" s="100"/>
      <c r="F720" s="100"/>
    </row>
    <row r="721" spans="2:6" ht="12.75" customHeight="1" x14ac:dyDescent="0.25">
      <c r="B721" s="100"/>
      <c r="E721" s="100"/>
      <c r="F721" s="100"/>
    </row>
    <row r="722" spans="2:6" ht="12.75" customHeight="1" x14ac:dyDescent="0.25">
      <c r="B722" s="100"/>
      <c r="E722" s="100"/>
      <c r="F722" s="100"/>
    </row>
    <row r="723" spans="2:6" ht="12.75" customHeight="1" x14ac:dyDescent="0.25">
      <c r="B723" s="100"/>
      <c r="E723" s="100"/>
      <c r="F723" s="100"/>
    </row>
    <row r="724" spans="2:6" ht="12.75" customHeight="1" x14ac:dyDescent="0.25">
      <c r="B724" s="100"/>
      <c r="E724" s="100"/>
      <c r="F724" s="100"/>
    </row>
    <row r="725" spans="2:6" ht="12.75" customHeight="1" x14ac:dyDescent="0.25">
      <c r="B725" s="100"/>
      <c r="E725" s="100"/>
      <c r="F725" s="100"/>
    </row>
    <row r="726" spans="2:6" ht="12.75" customHeight="1" x14ac:dyDescent="0.25">
      <c r="B726" s="100"/>
      <c r="E726" s="100"/>
      <c r="F726" s="100"/>
    </row>
    <row r="727" spans="2:6" ht="12.75" customHeight="1" x14ac:dyDescent="0.25">
      <c r="B727" s="100"/>
      <c r="E727" s="100"/>
      <c r="F727" s="100"/>
    </row>
    <row r="728" spans="2:6" ht="12.75" customHeight="1" x14ac:dyDescent="0.25">
      <c r="B728" s="100"/>
      <c r="E728" s="100"/>
      <c r="F728" s="100"/>
    </row>
    <row r="729" spans="2:6" ht="12.75" customHeight="1" x14ac:dyDescent="0.25">
      <c r="B729" s="100"/>
      <c r="E729" s="100"/>
      <c r="F729" s="100"/>
    </row>
    <row r="730" spans="2:6" ht="12.75" customHeight="1" x14ac:dyDescent="0.25">
      <c r="B730" s="100"/>
      <c r="E730" s="100"/>
      <c r="F730" s="100"/>
    </row>
    <row r="731" spans="2:6" ht="12.75" customHeight="1" x14ac:dyDescent="0.25">
      <c r="B731" s="100"/>
      <c r="E731" s="100"/>
      <c r="F731" s="100"/>
    </row>
    <row r="732" spans="2:6" ht="12.75" customHeight="1" x14ac:dyDescent="0.25">
      <c r="B732" s="100"/>
      <c r="E732" s="100"/>
      <c r="F732" s="100"/>
    </row>
    <row r="733" spans="2:6" ht="12.75" customHeight="1" x14ac:dyDescent="0.25">
      <c r="B733" s="100"/>
      <c r="E733" s="100"/>
      <c r="F733" s="100"/>
    </row>
    <row r="734" spans="2:6" ht="12.75" customHeight="1" x14ac:dyDescent="0.25">
      <c r="B734" s="100"/>
      <c r="E734" s="100"/>
      <c r="F734" s="100"/>
    </row>
    <row r="735" spans="2:6" ht="12.75" customHeight="1" x14ac:dyDescent="0.25">
      <c r="B735" s="100"/>
      <c r="E735" s="100"/>
      <c r="F735" s="100"/>
    </row>
    <row r="736" spans="2:6" ht="12.75" customHeight="1" x14ac:dyDescent="0.25">
      <c r="B736" s="100"/>
      <c r="E736" s="100"/>
      <c r="F736" s="100"/>
    </row>
    <row r="737" spans="2:6" ht="12.75" customHeight="1" x14ac:dyDescent="0.25">
      <c r="B737" s="100"/>
      <c r="E737" s="100"/>
      <c r="F737" s="100"/>
    </row>
    <row r="738" spans="2:6" ht="12.75" customHeight="1" x14ac:dyDescent="0.25">
      <c r="B738" s="100"/>
      <c r="E738" s="100"/>
      <c r="F738" s="100"/>
    </row>
    <row r="739" spans="2:6" ht="12.75" customHeight="1" x14ac:dyDescent="0.25">
      <c r="B739" s="100"/>
      <c r="E739" s="100"/>
      <c r="F739" s="100"/>
    </row>
    <row r="740" spans="2:6" ht="12.75" customHeight="1" x14ac:dyDescent="0.25">
      <c r="B740" s="100"/>
      <c r="E740" s="100"/>
      <c r="F740" s="100"/>
    </row>
    <row r="741" spans="2:6" ht="12.75" customHeight="1" x14ac:dyDescent="0.25">
      <c r="B741" s="100"/>
      <c r="E741" s="100"/>
      <c r="F741" s="100"/>
    </row>
    <row r="742" spans="2:6" ht="12.75" customHeight="1" x14ac:dyDescent="0.25">
      <c r="B742" s="100"/>
      <c r="E742" s="100"/>
      <c r="F742" s="100"/>
    </row>
    <row r="743" spans="2:6" ht="12.75" customHeight="1" x14ac:dyDescent="0.25">
      <c r="B743" s="100"/>
      <c r="E743" s="100"/>
      <c r="F743" s="100"/>
    </row>
    <row r="744" spans="2:6" ht="12.75" customHeight="1" x14ac:dyDescent="0.25">
      <c r="B744" s="100"/>
      <c r="E744" s="100"/>
      <c r="F744" s="100"/>
    </row>
    <row r="745" spans="2:6" ht="12.75" customHeight="1" x14ac:dyDescent="0.25">
      <c r="B745" s="100"/>
      <c r="E745" s="100"/>
      <c r="F745" s="100"/>
    </row>
    <row r="746" spans="2:6" ht="12.75" customHeight="1" x14ac:dyDescent="0.25">
      <c r="B746" s="100"/>
      <c r="E746" s="100"/>
      <c r="F746" s="100"/>
    </row>
    <row r="747" spans="2:6" ht="12.75" customHeight="1" x14ac:dyDescent="0.25">
      <c r="B747" s="100"/>
      <c r="E747" s="100"/>
      <c r="F747" s="100"/>
    </row>
    <row r="748" spans="2:6" ht="12.75" customHeight="1" x14ac:dyDescent="0.25">
      <c r="B748" s="100"/>
      <c r="E748" s="100"/>
      <c r="F748" s="100"/>
    </row>
    <row r="749" spans="2:6" ht="12.75" customHeight="1" x14ac:dyDescent="0.25">
      <c r="B749" s="100"/>
      <c r="E749" s="100"/>
      <c r="F749" s="100"/>
    </row>
    <row r="750" spans="2:6" ht="12.75" customHeight="1" x14ac:dyDescent="0.25">
      <c r="B750" s="100"/>
      <c r="E750" s="100"/>
      <c r="F750" s="100"/>
    </row>
    <row r="751" spans="2:6" ht="12.75" customHeight="1" x14ac:dyDescent="0.25">
      <c r="B751" s="100"/>
      <c r="E751" s="100"/>
      <c r="F751" s="100"/>
    </row>
    <row r="752" spans="2:6" ht="12.75" customHeight="1" x14ac:dyDescent="0.25">
      <c r="B752" s="100"/>
      <c r="E752" s="100"/>
      <c r="F752" s="100"/>
    </row>
    <row r="753" spans="2:6" ht="12.75" customHeight="1" x14ac:dyDescent="0.25">
      <c r="B753" s="100"/>
      <c r="E753" s="100"/>
      <c r="F753" s="100"/>
    </row>
    <row r="754" spans="2:6" ht="12.75" customHeight="1" x14ac:dyDescent="0.25">
      <c r="B754" s="100"/>
      <c r="E754" s="100"/>
      <c r="F754" s="100"/>
    </row>
    <row r="755" spans="2:6" ht="12.75" customHeight="1" x14ac:dyDescent="0.25">
      <c r="B755" s="100"/>
      <c r="E755" s="100"/>
      <c r="F755" s="100"/>
    </row>
    <row r="756" spans="2:6" ht="12.75" customHeight="1" x14ac:dyDescent="0.25">
      <c r="B756" s="100"/>
      <c r="E756" s="100"/>
      <c r="F756" s="100"/>
    </row>
    <row r="757" spans="2:6" ht="12.75" customHeight="1" x14ac:dyDescent="0.25">
      <c r="B757" s="100"/>
      <c r="E757" s="100"/>
      <c r="F757" s="100"/>
    </row>
    <row r="758" spans="2:6" ht="12.75" customHeight="1" x14ac:dyDescent="0.25">
      <c r="B758" s="100"/>
      <c r="E758" s="100"/>
      <c r="F758" s="100"/>
    </row>
    <row r="759" spans="2:6" ht="12.75" customHeight="1" x14ac:dyDescent="0.25">
      <c r="B759" s="100"/>
      <c r="E759" s="100"/>
      <c r="F759" s="100"/>
    </row>
    <row r="760" spans="2:6" ht="12.75" customHeight="1" x14ac:dyDescent="0.25">
      <c r="B760" s="100"/>
      <c r="E760" s="100"/>
      <c r="F760" s="100"/>
    </row>
    <row r="761" spans="2:6" ht="12.75" customHeight="1" x14ac:dyDescent="0.25">
      <c r="B761" s="100"/>
      <c r="E761" s="100"/>
      <c r="F761" s="100"/>
    </row>
    <row r="762" spans="2:6" ht="12.75" customHeight="1" x14ac:dyDescent="0.25">
      <c r="B762" s="100"/>
      <c r="E762" s="100"/>
      <c r="F762" s="100"/>
    </row>
    <row r="763" spans="2:6" ht="12.75" customHeight="1" x14ac:dyDescent="0.25">
      <c r="B763" s="100"/>
      <c r="E763" s="100"/>
      <c r="F763" s="100"/>
    </row>
    <row r="764" spans="2:6" ht="12.75" customHeight="1" x14ac:dyDescent="0.25">
      <c r="B764" s="100"/>
      <c r="E764" s="100"/>
      <c r="F764" s="100"/>
    </row>
    <row r="765" spans="2:6" ht="12.75" customHeight="1" x14ac:dyDescent="0.25">
      <c r="B765" s="100"/>
      <c r="E765" s="100"/>
      <c r="F765" s="100"/>
    </row>
    <row r="766" spans="2:6" ht="12.75" customHeight="1" x14ac:dyDescent="0.25">
      <c r="B766" s="100"/>
      <c r="E766" s="100"/>
      <c r="F766" s="100"/>
    </row>
    <row r="767" spans="2:6" ht="12.75" customHeight="1" x14ac:dyDescent="0.25">
      <c r="B767" s="100"/>
      <c r="E767" s="100"/>
      <c r="F767" s="100"/>
    </row>
    <row r="768" spans="2:6" ht="12.75" customHeight="1" x14ac:dyDescent="0.25">
      <c r="B768" s="100"/>
      <c r="E768" s="100"/>
      <c r="F768" s="100"/>
    </row>
    <row r="769" spans="2:6" ht="12.75" customHeight="1" x14ac:dyDescent="0.25">
      <c r="B769" s="100"/>
      <c r="E769" s="100"/>
      <c r="F769" s="100"/>
    </row>
    <row r="770" spans="2:6" ht="12.75" customHeight="1" x14ac:dyDescent="0.25">
      <c r="B770" s="100"/>
      <c r="E770" s="100"/>
      <c r="F770" s="100"/>
    </row>
    <row r="771" spans="2:6" ht="12.75" customHeight="1" x14ac:dyDescent="0.25">
      <c r="B771" s="100"/>
      <c r="E771" s="100"/>
      <c r="F771" s="100"/>
    </row>
    <row r="772" spans="2:6" ht="12.75" customHeight="1" x14ac:dyDescent="0.25">
      <c r="B772" s="100"/>
      <c r="E772" s="100"/>
      <c r="F772" s="100"/>
    </row>
    <row r="773" spans="2:6" ht="12.75" customHeight="1" x14ac:dyDescent="0.25">
      <c r="B773" s="100"/>
      <c r="E773" s="100"/>
      <c r="F773" s="100"/>
    </row>
    <row r="774" spans="2:6" ht="12.75" customHeight="1" x14ac:dyDescent="0.25">
      <c r="B774" s="100"/>
      <c r="E774" s="100"/>
      <c r="F774" s="100"/>
    </row>
    <row r="775" spans="2:6" ht="12.75" customHeight="1" x14ac:dyDescent="0.25">
      <c r="B775" s="100"/>
      <c r="E775" s="100"/>
      <c r="F775" s="100"/>
    </row>
    <row r="776" spans="2:6" ht="12.75" customHeight="1" x14ac:dyDescent="0.25">
      <c r="B776" s="100"/>
      <c r="E776" s="100"/>
      <c r="F776" s="100"/>
    </row>
    <row r="777" spans="2:6" ht="12.75" customHeight="1" x14ac:dyDescent="0.25">
      <c r="B777" s="100"/>
      <c r="E777" s="100"/>
      <c r="F777" s="100"/>
    </row>
    <row r="778" spans="2:6" ht="12.75" customHeight="1" x14ac:dyDescent="0.25">
      <c r="B778" s="100"/>
      <c r="E778" s="100"/>
      <c r="F778" s="100"/>
    </row>
    <row r="779" spans="2:6" ht="12.75" customHeight="1" x14ac:dyDescent="0.25">
      <c r="B779" s="100"/>
      <c r="E779" s="100"/>
      <c r="F779" s="100"/>
    </row>
    <row r="780" spans="2:6" ht="12.75" customHeight="1" x14ac:dyDescent="0.25">
      <c r="B780" s="100"/>
      <c r="E780" s="100"/>
      <c r="F780" s="100"/>
    </row>
    <row r="781" spans="2:6" ht="12.75" customHeight="1" x14ac:dyDescent="0.25">
      <c r="B781" s="100"/>
      <c r="E781" s="100"/>
      <c r="F781" s="100"/>
    </row>
    <row r="782" spans="2:6" ht="12.75" customHeight="1" x14ac:dyDescent="0.25">
      <c r="B782" s="100"/>
      <c r="E782" s="100"/>
      <c r="F782" s="100"/>
    </row>
    <row r="783" spans="2:6" ht="12.75" customHeight="1" x14ac:dyDescent="0.25">
      <c r="B783" s="100"/>
      <c r="E783" s="100"/>
      <c r="F783" s="100"/>
    </row>
    <row r="784" spans="2:6" ht="12.75" customHeight="1" x14ac:dyDescent="0.25">
      <c r="B784" s="100"/>
      <c r="E784" s="100"/>
      <c r="F784" s="100"/>
    </row>
    <row r="785" spans="2:6" ht="12.75" customHeight="1" x14ac:dyDescent="0.25">
      <c r="B785" s="100"/>
      <c r="E785" s="100"/>
      <c r="F785" s="100"/>
    </row>
    <row r="786" spans="2:6" ht="12.75" customHeight="1" x14ac:dyDescent="0.25">
      <c r="B786" s="100"/>
      <c r="E786" s="100"/>
      <c r="F786" s="100"/>
    </row>
    <row r="787" spans="2:6" ht="12.75" customHeight="1" x14ac:dyDescent="0.25">
      <c r="B787" s="100"/>
      <c r="E787" s="100"/>
      <c r="F787" s="100"/>
    </row>
    <row r="788" spans="2:6" ht="12.75" customHeight="1" x14ac:dyDescent="0.25">
      <c r="B788" s="100"/>
      <c r="E788" s="100"/>
      <c r="F788" s="100"/>
    </row>
    <row r="789" spans="2:6" ht="12.75" customHeight="1" x14ac:dyDescent="0.25">
      <c r="B789" s="100"/>
      <c r="E789" s="100"/>
      <c r="F789" s="100"/>
    </row>
    <row r="790" spans="2:6" ht="12.75" customHeight="1" x14ac:dyDescent="0.25">
      <c r="B790" s="100"/>
      <c r="E790" s="100"/>
      <c r="F790" s="100"/>
    </row>
    <row r="791" spans="2:6" ht="12.75" customHeight="1" x14ac:dyDescent="0.25">
      <c r="B791" s="100"/>
      <c r="E791" s="100"/>
      <c r="F791" s="100"/>
    </row>
    <row r="792" spans="2:6" ht="12.75" customHeight="1" x14ac:dyDescent="0.25">
      <c r="B792" s="100"/>
      <c r="E792" s="100"/>
      <c r="F792" s="100"/>
    </row>
    <row r="793" spans="2:6" ht="12.75" customHeight="1" x14ac:dyDescent="0.25">
      <c r="B793" s="100"/>
      <c r="E793" s="100"/>
      <c r="F793" s="100"/>
    </row>
    <row r="794" spans="2:6" ht="12.75" customHeight="1" x14ac:dyDescent="0.25">
      <c r="B794" s="100"/>
      <c r="E794" s="100"/>
      <c r="F794" s="100"/>
    </row>
    <row r="795" spans="2:6" ht="12.75" customHeight="1" x14ac:dyDescent="0.25">
      <c r="B795" s="100"/>
      <c r="E795" s="100"/>
      <c r="F795" s="100"/>
    </row>
    <row r="796" spans="2:6" ht="12.75" customHeight="1" x14ac:dyDescent="0.25">
      <c r="B796" s="100"/>
      <c r="E796" s="100"/>
      <c r="F796" s="100"/>
    </row>
    <row r="797" spans="2:6" ht="12.75" customHeight="1" x14ac:dyDescent="0.25">
      <c r="B797" s="100"/>
      <c r="E797" s="100"/>
      <c r="F797" s="100"/>
    </row>
    <row r="798" spans="2:6" ht="12.75" customHeight="1" x14ac:dyDescent="0.25">
      <c r="B798" s="100"/>
      <c r="E798" s="100"/>
      <c r="F798" s="100"/>
    </row>
    <row r="799" spans="2:6" ht="12.75" customHeight="1" x14ac:dyDescent="0.25">
      <c r="B799" s="100"/>
      <c r="E799" s="100"/>
      <c r="F799" s="100"/>
    </row>
    <row r="800" spans="2:6" ht="12.75" customHeight="1" x14ac:dyDescent="0.25">
      <c r="B800" s="100"/>
      <c r="E800" s="100"/>
      <c r="F800" s="100"/>
    </row>
    <row r="801" spans="2:6" ht="12.75" customHeight="1" x14ac:dyDescent="0.25">
      <c r="B801" s="100"/>
      <c r="E801" s="100"/>
      <c r="F801" s="100"/>
    </row>
    <row r="802" spans="2:6" ht="12.75" customHeight="1" x14ac:dyDescent="0.25">
      <c r="B802" s="100"/>
      <c r="E802" s="100"/>
      <c r="F802" s="100"/>
    </row>
    <row r="803" spans="2:6" ht="12.75" customHeight="1" x14ac:dyDescent="0.25">
      <c r="B803" s="100"/>
      <c r="E803" s="100"/>
      <c r="F803" s="100"/>
    </row>
    <row r="804" spans="2:6" ht="12.75" customHeight="1" x14ac:dyDescent="0.25">
      <c r="B804" s="100"/>
      <c r="E804" s="100"/>
      <c r="F804" s="100"/>
    </row>
    <row r="805" spans="2:6" ht="12.75" customHeight="1" x14ac:dyDescent="0.25">
      <c r="B805" s="100"/>
      <c r="E805" s="100"/>
      <c r="F805" s="100"/>
    </row>
    <row r="806" spans="2:6" ht="12.75" customHeight="1" x14ac:dyDescent="0.25">
      <c r="B806" s="100"/>
      <c r="E806" s="100"/>
      <c r="F806" s="100"/>
    </row>
    <row r="807" spans="2:6" ht="12.75" customHeight="1" x14ac:dyDescent="0.25">
      <c r="B807" s="100"/>
      <c r="E807" s="100"/>
      <c r="F807" s="100"/>
    </row>
    <row r="808" spans="2:6" ht="12.75" customHeight="1" x14ac:dyDescent="0.25">
      <c r="B808" s="100"/>
      <c r="E808" s="100"/>
      <c r="F808" s="100"/>
    </row>
    <row r="809" spans="2:6" ht="12.75" customHeight="1" x14ac:dyDescent="0.25">
      <c r="B809" s="100"/>
      <c r="E809" s="100"/>
      <c r="F809" s="100"/>
    </row>
    <row r="810" spans="2:6" ht="12.75" customHeight="1" x14ac:dyDescent="0.25">
      <c r="B810" s="100"/>
      <c r="E810" s="100"/>
      <c r="F810" s="100"/>
    </row>
    <row r="811" spans="2:6" ht="12.75" customHeight="1" x14ac:dyDescent="0.25">
      <c r="B811" s="100"/>
      <c r="E811" s="100"/>
      <c r="F811" s="100"/>
    </row>
    <row r="812" spans="2:6" ht="12.75" customHeight="1" x14ac:dyDescent="0.25">
      <c r="B812" s="100"/>
      <c r="E812" s="100"/>
      <c r="F812" s="100"/>
    </row>
    <row r="813" spans="2:6" ht="12.75" customHeight="1" x14ac:dyDescent="0.25">
      <c r="B813" s="100"/>
      <c r="E813" s="100"/>
      <c r="F813" s="100"/>
    </row>
    <row r="814" spans="2:6" ht="12.75" customHeight="1" x14ac:dyDescent="0.25">
      <c r="B814" s="100"/>
      <c r="E814" s="100"/>
      <c r="F814" s="100"/>
    </row>
    <row r="815" spans="2:6" ht="12.75" customHeight="1" x14ac:dyDescent="0.25">
      <c r="B815" s="100"/>
      <c r="E815" s="100"/>
      <c r="F815" s="100"/>
    </row>
    <row r="816" spans="2:6" ht="12.75" customHeight="1" x14ac:dyDescent="0.25">
      <c r="B816" s="100"/>
      <c r="E816" s="100"/>
      <c r="F816" s="100"/>
    </row>
    <row r="817" spans="2:6" ht="12.75" customHeight="1" x14ac:dyDescent="0.25">
      <c r="B817" s="100"/>
      <c r="E817" s="100"/>
      <c r="F817" s="100"/>
    </row>
    <row r="818" spans="2:6" ht="12.75" customHeight="1" x14ac:dyDescent="0.25">
      <c r="B818" s="100"/>
      <c r="E818" s="100"/>
      <c r="F818" s="100"/>
    </row>
    <row r="819" spans="2:6" ht="12.75" customHeight="1" x14ac:dyDescent="0.25">
      <c r="B819" s="100"/>
      <c r="E819" s="100"/>
      <c r="F819" s="100"/>
    </row>
    <row r="820" spans="2:6" ht="12.75" customHeight="1" x14ac:dyDescent="0.25">
      <c r="B820" s="100"/>
      <c r="E820" s="100"/>
      <c r="F820" s="100"/>
    </row>
    <row r="821" spans="2:6" ht="12.75" customHeight="1" x14ac:dyDescent="0.25">
      <c r="B821" s="100"/>
      <c r="E821" s="100"/>
      <c r="F821" s="100"/>
    </row>
    <row r="822" spans="2:6" ht="12.75" customHeight="1" x14ac:dyDescent="0.25">
      <c r="B822" s="100"/>
      <c r="E822" s="100"/>
      <c r="F822" s="100"/>
    </row>
    <row r="823" spans="2:6" ht="12.75" customHeight="1" x14ac:dyDescent="0.25">
      <c r="B823" s="100"/>
      <c r="E823" s="100"/>
      <c r="F823" s="100"/>
    </row>
    <row r="824" spans="2:6" ht="12.75" customHeight="1" x14ac:dyDescent="0.25">
      <c r="B824" s="100"/>
      <c r="E824" s="100"/>
      <c r="F824" s="100"/>
    </row>
    <row r="825" spans="2:6" ht="12.75" customHeight="1" x14ac:dyDescent="0.25">
      <c r="B825" s="100"/>
      <c r="E825" s="100"/>
      <c r="F825" s="100"/>
    </row>
    <row r="826" spans="2:6" ht="12.75" customHeight="1" x14ac:dyDescent="0.25">
      <c r="B826" s="100"/>
      <c r="E826" s="100"/>
      <c r="F826" s="100"/>
    </row>
    <row r="827" spans="2:6" ht="12.75" customHeight="1" x14ac:dyDescent="0.25">
      <c r="B827" s="100"/>
      <c r="E827" s="100"/>
      <c r="F827" s="100"/>
    </row>
    <row r="828" spans="2:6" ht="12.75" customHeight="1" x14ac:dyDescent="0.25">
      <c r="B828" s="100"/>
      <c r="E828" s="100"/>
      <c r="F828" s="100"/>
    </row>
    <row r="829" spans="2:6" ht="12.75" customHeight="1" x14ac:dyDescent="0.25">
      <c r="B829" s="100"/>
      <c r="E829" s="100"/>
      <c r="F829" s="100"/>
    </row>
    <row r="830" spans="2:6" ht="12.75" customHeight="1" x14ac:dyDescent="0.25">
      <c r="B830" s="100"/>
      <c r="E830" s="100"/>
      <c r="F830" s="100"/>
    </row>
    <row r="831" spans="2:6" ht="12.75" customHeight="1" x14ac:dyDescent="0.25">
      <c r="B831" s="100"/>
      <c r="E831" s="100"/>
      <c r="F831" s="100"/>
    </row>
    <row r="832" spans="2:6" ht="12.75" customHeight="1" x14ac:dyDescent="0.25">
      <c r="B832" s="100"/>
      <c r="E832" s="100"/>
      <c r="F832" s="100"/>
    </row>
    <row r="833" spans="2:6" ht="12.75" customHeight="1" x14ac:dyDescent="0.25">
      <c r="B833" s="100"/>
      <c r="E833" s="100"/>
      <c r="F833" s="100"/>
    </row>
    <row r="834" spans="2:6" ht="12.75" customHeight="1" x14ac:dyDescent="0.25">
      <c r="B834" s="100"/>
      <c r="E834" s="100"/>
      <c r="F834" s="100"/>
    </row>
    <row r="835" spans="2:6" ht="12.75" customHeight="1" x14ac:dyDescent="0.25">
      <c r="B835" s="100"/>
      <c r="E835" s="100"/>
      <c r="F835" s="100"/>
    </row>
    <row r="836" spans="2:6" ht="12.75" customHeight="1" x14ac:dyDescent="0.25">
      <c r="B836" s="100"/>
      <c r="E836" s="100"/>
      <c r="F836" s="100"/>
    </row>
    <row r="837" spans="2:6" ht="12.75" customHeight="1" x14ac:dyDescent="0.25">
      <c r="B837" s="100"/>
      <c r="E837" s="100"/>
      <c r="F837" s="100"/>
    </row>
    <row r="838" spans="2:6" ht="12.75" customHeight="1" x14ac:dyDescent="0.25">
      <c r="B838" s="100"/>
      <c r="E838" s="100"/>
      <c r="F838" s="100"/>
    </row>
    <row r="839" spans="2:6" ht="12.75" customHeight="1" x14ac:dyDescent="0.25">
      <c r="B839" s="100"/>
      <c r="E839" s="100"/>
      <c r="F839" s="100"/>
    </row>
    <row r="840" spans="2:6" ht="12.75" customHeight="1" x14ac:dyDescent="0.25">
      <c r="B840" s="100"/>
      <c r="E840" s="100"/>
      <c r="F840" s="100"/>
    </row>
    <row r="841" spans="2:6" ht="12.75" customHeight="1" x14ac:dyDescent="0.25">
      <c r="B841" s="100"/>
      <c r="E841" s="100"/>
      <c r="F841" s="100"/>
    </row>
    <row r="842" spans="2:6" ht="12.75" customHeight="1" x14ac:dyDescent="0.25">
      <c r="B842" s="100"/>
      <c r="E842" s="100"/>
      <c r="F842" s="100"/>
    </row>
    <row r="843" spans="2:6" ht="12.75" customHeight="1" x14ac:dyDescent="0.25">
      <c r="B843" s="100"/>
      <c r="E843" s="100"/>
      <c r="F843" s="100"/>
    </row>
    <row r="844" spans="2:6" ht="12.75" customHeight="1" x14ac:dyDescent="0.25">
      <c r="B844" s="100"/>
      <c r="E844" s="100"/>
      <c r="F844" s="100"/>
    </row>
    <row r="845" spans="2:6" ht="12.75" customHeight="1" x14ac:dyDescent="0.25">
      <c r="B845" s="100"/>
      <c r="E845" s="100"/>
      <c r="F845" s="100"/>
    </row>
    <row r="846" spans="2:6" ht="12.75" customHeight="1" x14ac:dyDescent="0.25">
      <c r="B846" s="100"/>
      <c r="E846" s="100"/>
      <c r="F846" s="100"/>
    </row>
    <row r="847" spans="2:6" ht="12.75" customHeight="1" x14ac:dyDescent="0.25">
      <c r="B847" s="100"/>
      <c r="E847" s="100"/>
      <c r="F847" s="100"/>
    </row>
    <row r="848" spans="2:6" ht="12.75" customHeight="1" x14ac:dyDescent="0.25">
      <c r="B848" s="100"/>
      <c r="E848" s="100"/>
      <c r="F848" s="100"/>
    </row>
    <row r="849" spans="2:6" ht="12.75" customHeight="1" x14ac:dyDescent="0.25">
      <c r="B849" s="100"/>
      <c r="E849" s="100"/>
      <c r="F849" s="100"/>
    </row>
    <row r="850" spans="2:6" ht="12.75" customHeight="1" x14ac:dyDescent="0.25">
      <c r="B850" s="100"/>
      <c r="E850" s="100"/>
      <c r="F850" s="100"/>
    </row>
    <row r="851" spans="2:6" ht="12.75" customHeight="1" x14ac:dyDescent="0.25">
      <c r="B851" s="100"/>
      <c r="E851" s="100"/>
      <c r="F851" s="100"/>
    </row>
    <row r="852" spans="2:6" ht="12.75" customHeight="1" x14ac:dyDescent="0.25">
      <c r="B852" s="100"/>
      <c r="E852" s="100"/>
      <c r="F852" s="100"/>
    </row>
    <row r="853" spans="2:6" ht="12.75" customHeight="1" x14ac:dyDescent="0.25">
      <c r="B853" s="100"/>
      <c r="E853" s="100"/>
      <c r="F853" s="100"/>
    </row>
    <row r="854" spans="2:6" ht="12.75" customHeight="1" x14ac:dyDescent="0.25">
      <c r="B854" s="100"/>
      <c r="E854" s="100"/>
      <c r="F854" s="100"/>
    </row>
    <row r="855" spans="2:6" ht="12.75" customHeight="1" x14ac:dyDescent="0.25">
      <c r="B855" s="100"/>
      <c r="E855" s="100"/>
      <c r="F855" s="100"/>
    </row>
    <row r="856" spans="2:6" ht="12.75" customHeight="1" x14ac:dyDescent="0.25">
      <c r="B856" s="100"/>
      <c r="E856" s="100"/>
      <c r="F856" s="100"/>
    </row>
    <row r="857" spans="2:6" ht="12.75" customHeight="1" x14ac:dyDescent="0.25">
      <c r="B857" s="100"/>
      <c r="E857" s="100"/>
      <c r="F857" s="100"/>
    </row>
    <row r="858" spans="2:6" ht="12.75" customHeight="1" x14ac:dyDescent="0.25">
      <c r="B858" s="100"/>
      <c r="E858" s="100"/>
      <c r="F858" s="100"/>
    </row>
    <row r="859" spans="2:6" ht="12.75" customHeight="1" x14ac:dyDescent="0.25">
      <c r="B859" s="100"/>
      <c r="E859" s="100"/>
      <c r="F859" s="100"/>
    </row>
    <row r="860" spans="2:6" ht="12.75" customHeight="1" x14ac:dyDescent="0.25">
      <c r="B860" s="100"/>
      <c r="E860" s="100"/>
      <c r="F860" s="100"/>
    </row>
    <row r="861" spans="2:6" ht="12.75" customHeight="1" x14ac:dyDescent="0.25">
      <c r="B861" s="100"/>
      <c r="E861" s="100"/>
      <c r="F861" s="100"/>
    </row>
    <row r="862" spans="2:6" ht="12.75" customHeight="1" x14ac:dyDescent="0.25">
      <c r="B862" s="100"/>
      <c r="E862" s="100"/>
      <c r="F862" s="100"/>
    </row>
    <row r="863" spans="2:6" ht="12.75" customHeight="1" x14ac:dyDescent="0.25">
      <c r="B863" s="100"/>
      <c r="E863" s="100"/>
      <c r="F863" s="100"/>
    </row>
    <row r="864" spans="2:6" ht="12.75" customHeight="1" x14ac:dyDescent="0.25">
      <c r="B864" s="100"/>
      <c r="E864" s="100"/>
      <c r="F864" s="100"/>
    </row>
    <row r="865" spans="2:6" ht="12.75" customHeight="1" x14ac:dyDescent="0.25">
      <c r="B865" s="100"/>
      <c r="E865" s="100"/>
      <c r="F865" s="100"/>
    </row>
    <row r="866" spans="2:6" ht="12.75" customHeight="1" x14ac:dyDescent="0.25">
      <c r="B866" s="100"/>
      <c r="E866" s="100"/>
      <c r="F866" s="100"/>
    </row>
    <row r="867" spans="2:6" ht="12.75" customHeight="1" x14ac:dyDescent="0.25">
      <c r="B867" s="100"/>
      <c r="E867" s="100"/>
      <c r="F867" s="100"/>
    </row>
    <row r="868" spans="2:6" ht="12.75" customHeight="1" x14ac:dyDescent="0.25">
      <c r="B868" s="100"/>
      <c r="E868" s="100"/>
      <c r="F868" s="100"/>
    </row>
    <row r="869" spans="2:6" ht="12.75" customHeight="1" x14ac:dyDescent="0.25">
      <c r="B869" s="100"/>
      <c r="E869" s="100"/>
      <c r="F869" s="100"/>
    </row>
    <row r="870" spans="2:6" ht="12.75" customHeight="1" x14ac:dyDescent="0.25">
      <c r="B870" s="100"/>
      <c r="E870" s="100"/>
      <c r="F870" s="100"/>
    </row>
    <row r="871" spans="2:6" ht="12.75" customHeight="1" x14ac:dyDescent="0.25">
      <c r="B871" s="100"/>
      <c r="E871" s="100"/>
      <c r="F871" s="100"/>
    </row>
    <row r="872" spans="2:6" ht="12.75" customHeight="1" x14ac:dyDescent="0.25">
      <c r="B872" s="100"/>
      <c r="E872" s="100"/>
      <c r="F872" s="100"/>
    </row>
    <row r="873" spans="2:6" ht="12.75" customHeight="1" x14ac:dyDescent="0.25">
      <c r="B873" s="100"/>
      <c r="E873" s="100"/>
      <c r="F873" s="100"/>
    </row>
    <row r="874" spans="2:6" ht="12.75" customHeight="1" x14ac:dyDescent="0.25">
      <c r="B874" s="100"/>
      <c r="E874" s="100"/>
      <c r="F874" s="100"/>
    </row>
    <row r="875" spans="2:6" ht="12.75" customHeight="1" x14ac:dyDescent="0.25">
      <c r="B875" s="100"/>
      <c r="E875" s="100"/>
      <c r="F875" s="100"/>
    </row>
    <row r="876" spans="2:6" ht="12.75" customHeight="1" x14ac:dyDescent="0.25">
      <c r="B876" s="100"/>
      <c r="E876" s="100"/>
      <c r="F876" s="100"/>
    </row>
    <row r="877" spans="2:6" ht="12.75" customHeight="1" x14ac:dyDescent="0.25">
      <c r="B877" s="100"/>
      <c r="E877" s="100"/>
      <c r="F877" s="100"/>
    </row>
    <row r="878" spans="2:6" ht="12.75" customHeight="1" x14ac:dyDescent="0.25">
      <c r="B878" s="100"/>
      <c r="E878" s="100"/>
      <c r="F878" s="100"/>
    </row>
    <row r="879" spans="2:6" ht="12.75" customHeight="1" x14ac:dyDescent="0.25">
      <c r="B879" s="100"/>
      <c r="E879" s="100"/>
      <c r="F879" s="100"/>
    </row>
    <row r="880" spans="2:6" ht="12.75" customHeight="1" x14ac:dyDescent="0.25">
      <c r="B880" s="100"/>
      <c r="E880" s="100"/>
      <c r="F880" s="100"/>
    </row>
    <row r="881" spans="2:6" ht="12.75" customHeight="1" x14ac:dyDescent="0.25">
      <c r="B881" s="100"/>
      <c r="E881" s="100"/>
      <c r="F881" s="100"/>
    </row>
    <row r="882" spans="2:6" ht="12.75" customHeight="1" x14ac:dyDescent="0.25">
      <c r="B882" s="100"/>
      <c r="E882" s="100"/>
      <c r="F882" s="100"/>
    </row>
    <row r="883" spans="2:6" ht="12.75" customHeight="1" x14ac:dyDescent="0.25">
      <c r="B883" s="100"/>
      <c r="E883" s="100"/>
      <c r="F883" s="100"/>
    </row>
    <row r="884" spans="2:6" ht="12.75" customHeight="1" x14ac:dyDescent="0.25">
      <c r="B884" s="100"/>
      <c r="E884" s="100"/>
      <c r="F884" s="100"/>
    </row>
    <row r="885" spans="2:6" ht="12.75" customHeight="1" x14ac:dyDescent="0.25">
      <c r="B885" s="100"/>
      <c r="E885" s="100"/>
      <c r="F885" s="100"/>
    </row>
    <row r="886" spans="2:6" ht="12.75" customHeight="1" x14ac:dyDescent="0.25">
      <c r="B886" s="100"/>
      <c r="E886" s="100"/>
      <c r="F886" s="100"/>
    </row>
    <row r="887" spans="2:6" ht="12.75" customHeight="1" x14ac:dyDescent="0.25">
      <c r="B887" s="100"/>
      <c r="E887" s="100"/>
      <c r="F887" s="100"/>
    </row>
    <row r="888" spans="2:6" ht="12.75" customHeight="1" x14ac:dyDescent="0.25">
      <c r="B888" s="100"/>
      <c r="E888" s="100"/>
      <c r="F888" s="100"/>
    </row>
    <row r="889" spans="2:6" ht="12.75" customHeight="1" x14ac:dyDescent="0.25">
      <c r="B889" s="100"/>
      <c r="E889" s="100"/>
      <c r="F889" s="100"/>
    </row>
    <row r="890" spans="2:6" ht="12.75" customHeight="1" x14ac:dyDescent="0.25">
      <c r="B890" s="100"/>
      <c r="E890" s="100"/>
      <c r="F890" s="100"/>
    </row>
    <row r="891" spans="2:6" ht="12.75" customHeight="1" x14ac:dyDescent="0.25">
      <c r="B891" s="100"/>
      <c r="E891" s="100"/>
      <c r="F891" s="100"/>
    </row>
    <row r="892" spans="2:6" ht="12.75" customHeight="1" x14ac:dyDescent="0.25">
      <c r="B892" s="100"/>
      <c r="E892" s="100"/>
      <c r="F892" s="100"/>
    </row>
    <row r="893" spans="2:6" ht="12.75" customHeight="1" x14ac:dyDescent="0.25">
      <c r="B893" s="100"/>
      <c r="E893" s="100"/>
      <c r="F893" s="100"/>
    </row>
    <row r="894" spans="2:6" ht="12.75" customHeight="1" x14ac:dyDescent="0.25">
      <c r="B894" s="100"/>
      <c r="E894" s="100"/>
      <c r="F894" s="100"/>
    </row>
    <row r="895" spans="2:6" ht="12.75" customHeight="1" x14ac:dyDescent="0.25">
      <c r="B895" s="100"/>
      <c r="E895" s="100"/>
      <c r="F895" s="100"/>
    </row>
    <row r="896" spans="2:6" ht="12.75" customHeight="1" x14ac:dyDescent="0.25">
      <c r="B896" s="100"/>
      <c r="E896" s="100"/>
      <c r="F896" s="100"/>
    </row>
    <row r="897" spans="2:6" ht="12.75" customHeight="1" x14ac:dyDescent="0.25">
      <c r="B897" s="100"/>
      <c r="E897" s="100"/>
      <c r="F897" s="100"/>
    </row>
    <row r="898" spans="2:6" ht="12.75" customHeight="1" x14ac:dyDescent="0.25">
      <c r="B898" s="100"/>
      <c r="E898" s="100"/>
      <c r="F898" s="100"/>
    </row>
    <row r="899" spans="2:6" ht="12.75" customHeight="1" x14ac:dyDescent="0.25">
      <c r="B899" s="100"/>
      <c r="E899" s="100"/>
      <c r="F899" s="100"/>
    </row>
    <row r="900" spans="2:6" ht="12.75" customHeight="1" x14ac:dyDescent="0.25">
      <c r="B900" s="100"/>
      <c r="E900" s="100"/>
      <c r="F900" s="100"/>
    </row>
    <row r="901" spans="2:6" ht="12.75" customHeight="1" x14ac:dyDescent="0.25">
      <c r="B901" s="100"/>
      <c r="E901" s="100"/>
      <c r="F901" s="100"/>
    </row>
    <row r="902" spans="2:6" ht="12.75" customHeight="1" x14ac:dyDescent="0.25">
      <c r="B902" s="100"/>
      <c r="E902" s="100"/>
      <c r="F902" s="100"/>
    </row>
    <row r="903" spans="2:6" ht="12.75" customHeight="1" x14ac:dyDescent="0.25">
      <c r="B903" s="100"/>
      <c r="E903" s="100"/>
      <c r="F903" s="100"/>
    </row>
    <row r="904" spans="2:6" ht="12.75" customHeight="1" x14ac:dyDescent="0.25">
      <c r="B904" s="100"/>
      <c r="E904" s="100"/>
      <c r="F904" s="100"/>
    </row>
    <row r="905" spans="2:6" ht="12.75" customHeight="1" x14ac:dyDescent="0.25">
      <c r="B905" s="100"/>
      <c r="E905" s="100"/>
      <c r="F905" s="100"/>
    </row>
    <row r="906" spans="2:6" ht="12.75" customHeight="1" x14ac:dyDescent="0.25">
      <c r="B906" s="100"/>
      <c r="E906" s="100"/>
      <c r="F906" s="100"/>
    </row>
    <row r="907" spans="2:6" ht="12.75" customHeight="1" x14ac:dyDescent="0.25">
      <c r="B907" s="100"/>
      <c r="E907" s="100"/>
      <c r="F907" s="100"/>
    </row>
    <row r="908" spans="2:6" ht="12.75" customHeight="1" x14ac:dyDescent="0.25">
      <c r="B908" s="100"/>
      <c r="E908" s="100"/>
      <c r="F908" s="100"/>
    </row>
    <row r="909" spans="2:6" ht="12.75" customHeight="1" x14ac:dyDescent="0.25">
      <c r="B909" s="100"/>
      <c r="E909" s="100"/>
      <c r="F909" s="100"/>
    </row>
    <row r="910" spans="2:6" ht="12.75" customHeight="1" x14ac:dyDescent="0.25">
      <c r="B910" s="100"/>
      <c r="E910" s="100"/>
      <c r="F910" s="100"/>
    </row>
    <row r="911" spans="2:6" ht="12.75" customHeight="1" x14ac:dyDescent="0.25">
      <c r="B911" s="100"/>
      <c r="E911" s="100"/>
      <c r="F911" s="100"/>
    </row>
    <row r="912" spans="2:6" ht="12.75" customHeight="1" x14ac:dyDescent="0.25">
      <c r="B912" s="100"/>
      <c r="E912" s="100"/>
      <c r="F912" s="100"/>
    </row>
    <row r="913" spans="2:6" ht="12.75" customHeight="1" x14ac:dyDescent="0.25">
      <c r="B913" s="100"/>
      <c r="E913" s="100"/>
      <c r="F913" s="100"/>
    </row>
    <row r="914" spans="2:6" ht="12.75" customHeight="1" x14ac:dyDescent="0.25">
      <c r="B914" s="100"/>
      <c r="E914" s="100"/>
      <c r="F914" s="100"/>
    </row>
    <row r="915" spans="2:6" ht="12.75" customHeight="1" x14ac:dyDescent="0.25">
      <c r="B915" s="100"/>
      <c r="E915" s="100"/>
      <c r="F915" s="100"/>
    </row>
    <row r="916" spans="2:6" ht="12.75" customHeight="1" x14ac:dyDescent="0.25">
      <c r="B916" s="100"/>
      <c r="E916" s="100"/>
      <c r="F916" s="100"/>
    </row>
    <row r="917" spans="2:6" ht="12.75" customHeight="1" x14ac:dyDescent="0.25">
      <c r="B917" s="100"/>
      <c r="E917" s="100"/>
      <c r="F917" s="100"/>
    </row>
    <row r="918" spans="2:6" ht="12.75" customHeight="1" x14ac:dyDescent="0.25">
      <c r="B918" s="100"/>
      <c r="E918" s="100"/>
      <c r="F918" s="100"/>
    </row>
    <row r="919" spans="2:6" ht="12.75" customHeight="1" x14ac:dyDescent="0.25">
      <c r="B919" s="100"/>
      <c r="E919" s="100"/>
      <c r="F919" s="100"/>
    </row>
    <row r="920" spans="2:6" ht="12.75" customHeight="1" x14ac:dyDescent="0.25">
      <c r="B920" s="100"/>
      <c r="E920" s="100"/>
      <c r="F920" s="100"/>
    </row>
    <row r="921" spans="2:6" ht="12.75" customHeight="1" x14ac:dyDescent="0.25">
      <c r="B921" s="100"/>
      <c r="E921" s="100"/>
      <c r="F921" s="100"/>
    </row>
    <row r="922" spans="2:6" ht="12.75" customHeight="1" x14ac:dyDescent="0.25">
      <c r="B922" s="100"/>
      <c r="E922" s="100"/>
      <c r="F922" s="100"/>
    </row>
    <row r="923" spans="2:6" ht="12.75" customHeight="1" x14ac:dyDescent="0.25">
      <c r="B923" s="100"/>
      <c r="E923" s="100"/>
      <c r="F923" s="100"/>
    </row>
    <row r="924" spans="2:6" ht="12.75" customHeight="1" x14ac:dyDescent="0.25">
      <c r="B924" s="100"/>
      <c r="E924" s="100"/>
      <c r="F924" s="100"/>
    </row>
    <row r="925" spans="2:6" ht="12.75" customHeight="1" x14ac:dyDescent="0.25">
      <c r="B925" s="100"/>
      <c r="E925" s="100"/>
      <c r="F925" s="100"/>
    </row>
    <row r="926" spans="2:6" ht="12.75" customHeight="1" x14ac:dyDescent="0.25">
      <c r="B926" s="100"/>
      <c r="E926" s="100"/>
      <c r="F926" s="100"/>
    </row>
    <row r="927" spans="2:6" ht="12.75" customHeight="1" x14ac:dyDescent="0.25">
      <c r="B927" s="100"/>
      <c r="E927" s="100"/>
      <c r="F927" s="100"/>
    </row>
    <row r="928" spans="2:6" ht="12.75" customHeight="1" x14ac:dyDescent="0.25">
      <c r="B928" s="100"/>
      <c r="E928" s="100"/>
      <c r="F928" s="100"/>
    </row>
    <row r="929" spans="2:6" ht="12.75" customHeight="1" x14ac:dyDescent="0.25">
      <c r="B929" s="100"/>
      <c r="E929" s="100"/>
      <c r="F929" s="100"/>
    </row>
    <row r="930" spans="2:6" ht="12.75" customHeight="1" x14ac:dyDescent="0.25">
      <c r="B930" s="100"/>
      <c r="E930" s="100"/>
      <c r="F930" s="100"/>
    </row>
    <row r="931" spans="2:6" ht="12.75" customHeight="1" x14ac:dyDescent="0.25">
      <c r="B931" s="100"/>
      <c r="E931" s="100"/>
      <c r="F931" s="100"/>
    </row>
    <row r="932" spans="2:6" ht="12.75" customHeight="1" x14ac:dyDescent="0.25">
      <c r="B932" s="100"/>
      <c r="E932" s="100"/>
      <c r="F932" s="100"/>
    </row>
    <row r="933" spans="2:6" ht="12.75" customHeight="1" x14ac:dyDescent="0.25">
      <c r="B933" s="100"/>
      <c r="E933" s="100"/>
      <c r="F933" s="100"/>
    </row>
    <row r="934" spans="2:6" ht="12.75" customHeight="1" x14ac:dyDescent="0.25">
      <c r="B934" s="100"/>
      <c r="E934" s="100"/>
      <c r="F934" s="100"/>
    </row>
    <row r="935" spans="2:6" ht="12.75" customHeight="1" x14ac:dyDescent="0.25">
      <c r="B935" s="100"/>
      <c r="E935" s="100"/>
      <c r="F935" s="100"/>
    </row>
    <row r="936" spans="2:6" ht="12.75" customHeight="1" x14ac:dyDescent="0.25">
      <c r="B936" s="100"/>
      <c r="E936" s="100"/>
      <c r="F936" s="100"/>
    </row>
    <row r="937" spans="2:6" ht="12.75" customHeight="1" x14ac:dyDescent="0.25">
      <c r="B937" s="100"/>
      <c r="E937" s="100"/>
      <c r="F937" s="100"/>
    </row>
    <row r="938" spans="2:6" ht="12.75" customHeight="1" x14ac:dyDescent="0.25">
      <c r="B938" s="100"/>
      <c r="E938" s="100"/>
      <c r="F938" s="100"/>
    </row>
    <row r="939" spans="2:6" ht="12.75" customHeight="1" x14ac:dyDescent="0.25">
      <c r="B939" s="100"/>
      <c r="E939" s="100"/>
      <c r="F939" s="100"/>
    </row>
    <row r="940" spans="2:6" ht="12.75" customHeight="1" x14ac:dyDescent="0.25">
      <c r="B940" s="100"/>
      <c r="E940" s="100"/>
      <c r="F940" s="100"/>
    </row>
    <row r="941" spans="2:6" ht="12.75" customHeight="1" x14ac:dyDescent="0.25">
      <c r="B941" s="100"/>
      <c r="E941" s="100"/>
      <c r="F941" s="100"/>
    </row>
    <row r="942" spans="2:6" ht="12.75" customHeight="1" x14ac:dyDescent="0.25">
      <c r="B942" s="100"/>
      <c r="E942" s="100"/>
      <c r="F942" s="100"/>
    </row>
    <row r="943" spans="2:6" ht="12.75" customHeight="1" x14ac:dyDescent="0.25">
      <c r="B943" s="100"/>
      <c r="E943" s="100"/>
      <c r="F943" s="100"/>
    </row>
    <row r="944" spans="2:6" ht="12.75" customHeight="1" x14ac:dyDescent="0.25">
      <c r="B944" s="100"/>
      <c r="E944" s="100"/>
      <c r="F944" s="100"/>
    </row>
    <row r="945" spans="2:6" ht="12.75" customHeight="1" x14ac:dyDescent="0.25">
      <c r="B945" s="100"/>
      <c r="E945" s="100"/>
      <c r="F945" s="100"/>
    </row>
    <row r="946" spans="2:6" ht="12.75" customHeight="1" x14ac:dyDescent="0.25">
      <c r="B946" s="100"/>
      <c r="E946" s="100"/>
      <c r="F946" s="100"/>
    </row>
    <row r="947" spans="2:6" ht="12.75" customHeight="1" x14ac:dyDescent="0.25">
      <c r="B947" s="100"/>
      <c r="E947" s="100"/>
      <c r="F947" s="100"/>
    </row>
    <row r="948" spans="2:6" ht="12.75" customHeight="1" x14ac:dyDescent="0.25">
      <c r="B948" s="100"/>
      <c r="E948" s="100"/>
      <c r="F948" s="100"/>
    </row>
    <row r="949" spans="2:6" ht="12.75" customHeight="1" x14ac:dyDescent="0.25">
      <c r="B949" s="100"/>
      <c r="E949" s="100"/>
      <c r="F949" s="100"/>
    </row>
    <row r="950" spans="2:6" ht="12.75" customHeight="1" x14ac:dyDescent="0.25">
      <c r="B950" s="100"/>
      <c r="E950" s="100"/>
      <c r="F950" s="100"/>
    </row>
    <row r="951" spans="2:6" ht="12.75" customHeight="1" x14ac:dyDescent="0.25">
      <c r="B951" s="100"/>
      <c r="E951" s="100"/>
      <c r="F951" s="100"/>
    </row>
    <row r="952" spans="2:6" ht="12.75" customHeight="1" x14ac:dyDescent="0.25">
      <c r="B952" s="100"/>
      <c r="E952" s="100"/>
      <c r="F952" s="100"/>
    </row>
    <row r="953" spans="2:6" ht="12.75" customHeight="1" x14ac:dyDescent="0.25">
      <c r="B953" s="100"/>
      <c r="E953" s="100"/>
      <c r="F953" s="100"/>
    </row>
    <row r="954" spans="2:6" ht="12.75" customHeight="1" x14ac:dyDescent="0.25">
      <c r="B954" s="100"/>
      <c r="E954" s="100"/>
      <c r="F954" s="100"/>
    </row>
    <row r="955" spans="2:6" ht="12.75" customHeight="1" x14ac:dyDescent="0.25">
      <c r="B955" s="100"/>
      <c r="E955" s="100"/>
      <c r="F955" s="100"/>
    </row>
    <row r="956" spans="2:6" ht="12.75" customHeight="1" x14ac:dyDescent="0.25">
      <c r="B956" s="100"/>
      <c r="E956" s="100"/>
      <c r="F956" s="100"/>
    </row>
    <row r="957" spans="2:6" ht="12.75" customHeight="1" x14ac:dyDescent="0.25">
      <c r="B957" s="100"/>
      <c r="E957" s="100"/>
      <c r="F957" s="100"/>
    </row>
    <row r="958" spans="2:6" ht="12.75" customHeight="1" x14ac:dyDescent="0.25">
      <c r="B958" s="100"/>
      <c r="E958" s="100"/>
      <c r="F958" s="100"/>
    </row>
    <row r="959" spans="2:6" ht="12.75" customHeight="1" x14ac:dyDescent="0.25">
      <c r="B959" s="100"/>
      <c r="E959" s="100"/>
      <c r="F959" s="100"/>
    </row>
    <row r="960" spans="2:6" ht="12.75" customHeight="1" x14ac:dyDescent="0.25">
      <c r="B960" s="100"/>
      <c r="E960" s="100"/>
      <c r="F960" s="100"/>
    </row>
    <row r="961" spans="2:6" ht="12.75" customHeight="1" x14ac:dyDescent="0.25">
      <c r="B961" s="100"/>
      <c r="E961" s="100"/>
      <c r="F961" s="100"/>
    </row>
    <row r="962" spans="2:6" ht="12.75" customHeight="1" x14ac:dyDescent="0.25">
      <c r="B962" s="100"/>
      <c r="E962" s="100"/>
      <c r="F962" s="100"/>
    </row>
    <row r="963" spans="2:6" ht="12.75" customHeight="1" x14ac:dyDescent="0.25">
      <c r="B963" s="100"/>
      <c r="E963" s="100"/>
      <c r="F963" s="100"/>
    </row>
    <row r="964" spans="2:6" ht="12.75" customHeight="1" x14ac:dyDescent="0.25">
      <c r="B964" s="100"/>
      <c r="E964" s="100"/>
      <c r="F964" s="100"/>
    </row>
    <row r="965" spans="2:6" ht="12.75" customHeight="1" x14ac:dyDescent="0.25">
      <c r="B965" s="100"/>
      <c r="E965" s="100"/>
      <c r="F965" s="100"/>
    </row>
    <row r="966" spans="2:6" ht="12.75" customHeight="1" x14ac:dyDescent="0.25">
      <c r="B966" s="100"/>
      <c r="E966" s="100"/>
      <c r="F966" s="100"/>
    </row>
    <row r="967" spans="2:6" ht="12.75" customHeight="1" x14ac:dyDescent="0.25">
      <c r="B967" s="100"/>
      <c r="E967" s="100"/>
      <c r="F967" s="100"/>
    </row>
    <row r="968" spans="2:6" ht="12.75" customHeight="1" x14ac:dyDescent="0.25">
      <c r="B968" s="100"/>
      <c r="E968" s="100"/>
      <c r="F968" s="100"/>
    </row>
    <row r="969" spans="2:6" ht="12.75" customHeight="1" x14ac:dyDescent="0.25">
      <c r="B969" s="100"/>
      <c r="E969" s="100"/>
      <c r="F969" s="100"/>
    </row>
    <row r="970" spans="2:6" ht="12.75" customHeight="1" x14ac:dyDescent="0.25">
      <c r="B970" s="100"/>
      <c r="E970" s="100"/>
      <c r="F970" s="100"/>
    </row>
    <row r="971" spans="2:6" ht="12.75" customHeight="1" x14ac:dyDescent="0.25">
      <c r="B971" s="100"/>
      <c r="E971" s="100"/>
      <c r="F971" s="100"/>
    </row>
    <row r="972" spans="2:6" ht="12.75" customHeight="1" x14ac:dyDescent="0.25">
      <c r="B972" s="100"/>
      <c r="E972" s="100"/>
      <c r="F972" s="100"/>
    </row>
    <row r="973" spans="2:6" ht="12.75" customHeight="1" x14ac:dyDescent="0.25">
      <c r="B973" s="100"/>
      <c r="E973" s="100"/>
      <c r="F973" s="100"/>
    </row>
    <row r="974" spans="2:6" x14ac:dyDescent="0.25">
      <c r="B974" s="100"/>
      <c r="E974" s="100"/>
      <c r="F974" s="100"/>
    </row>
  </sheetData>
  <mergeCells count="6">
    <mergeCell ref="B2:H3"/>
    <mergeCell ref="B63:H63"/>
    <mergeCell ref="B64:H64"/>
    <mergeCell ref="R26:U26"/>
    <mergeCell ref="R25:U25"/>
    <mergeCell ref="C10:F10"/>
  </mergeCells>
  <printOptions horizontalCentered="1"/>
  <pageMargins left="0.5" right="0.5" top="1" bottom="0.5" header="0.3" footer="0.511811023622047"/>
  <pageSetup paperSize="9" scale="30"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5B93C-78BA-4608-BE25-56E94876A796}">
  <sheetPr codeName="Sheet82">
    <tabColor rgb="FF00B050"/>
    <pageSetUpPr fitToPage="1"/>
  </sheetPr>
  <dimension ref="A1:AD55"/>
  <sheetViews>
    <sheetView topLeftCell="A7" zoomScale="81" zoomScaleNormal="55" workbookViewId="0">
      <selection activeCell="D53" sqref="D53"/>
    </sheetView>
  </sheetViews>
  <sheetFormatPr defaultColWidth="12.5" defaultRowHeight="12.5" x14ac:dyDescent="0.3"/>
  <cols>
    <col min="1" max="1" width="8.08203125" style="698" customWidth="1"/>
    <col min="2" max="2" width="30.6640625" style="698" customWidth="1"/>
    <col min="3" max="3" width="24" style="698" customWidth="1"/>
    <col min="4" max="4" width="21.83203125" style="698" customWidth="1"/>
    <col min="5" max="5" width="16.1640625" style="698" customWidth="1"/>
    <col min="6" max="6" width="14.33203125" style="698" customWidth="1"/>
    <col min="7" max="7" width="15.4140625" style="698" customWidth="1"/>
    <col min="8" max="8" width="24.58203125" style="698" customWidth="1"/>
    <col min="9" max="9" width="14.6640625" style="698" customWidth="1"/>
    <col min="10" max="11" width="12.5" style="698"/>
    <col min="12" max="12" width="8.33203125" style="698" customWidth="1"/>
    <col min="13" max="17" width="3.4140625" style="698" customWidth="1"/>
    <col min="18" max="27" width="12.5" style="698"/>
    <col min="28" max="28" width="6.75" style="698" customWidth="1"/>
    <col min="29" max="16384" width="12.5" style="698"/>
  </cols>
  <sheetData>
    <row r="1" spans="1:30" ht="36" customHeight="1" x14ac:dyDescent="0.3">
      <c r="A1" s="730"/>
      <c r="B1" s="725" t="s">
        <v>569</v>
      </c>
      <c r="C1" s="729">
        <v>5000</v>
      </c>
      <c r="D1" s="728" t="s">
        <v>244</v>
      </c>
      <c r="E1" s="1214">
        <f>T29</f>
        <v>4883.333333333333</v>
      </c>
      <c r="F1" s="725" t="s">
        <v>245</v>
      </c>
      <c r="G1" s="726">
        <f>E1/C1</f>
        <v>0.97666666666666657</v>
      </c>
      <c r="H1" s="725" t="s">
        <v>246</v>
      </c>
      <c r="I1" s="1213">
        <f>G1/K1</f>
        <v>1.0824190032878938</v>
      </c>
      <c r="J1" s="723" t="s">
        <v>247</v>
      </c>
      <c r="K1" s="722">
        <v>0.90229999999999999</v>
      </c>
      <c r="L1" s="705"/>
      <c r="M1" s="705"/>
      <c r="N1" s="705"/>
      <c r="Y1" s="91" t="s">
        <v>479</v>
      </c>
      <c r="Z1" s="847">
        <v>29300</v>
      </c>
      <c r="AA1" s="91" t="s">
        <v>600</v>
      </c>
      <c r="AB1" s="847">
        <v>0</v>
      </c>
      <c r="AC1" s="91" t="s">
        <v>587</v>
      </c>
      <c r="AD1" s="847">
        <v>200</v>
      </c>
    </row>
    <row r="2" spans="1:30" ht="12.75" customHeight="1" x14ac:dyDescent="0.3">
      <c r="A2" s="1431"/>
      <c r="B2" s="1432" t="s">
        <v>575</v>
      </c>
      <c r="C2" s="1432"/>
      <c r="D2" s="1432"/>
      <c r="E2" s="1432"/>
      <c r="F2" s="1432"/>
      <c r="G2" s="1432"/>
      <c r="H2" s="1432"/>
      <c r="I2" s="721"/>
      <c r="J2" s="721"/>
      <c r="K2" s="1433"/>
      <c r="L2" s="705"/>
      <c r="M2" s="705"/>
      <c r="N2" s="705"/>
    </row>
    <row r="3" spans="1:30" ht="12.75" customHeight="1" x14ac:dyDescent="0.3">
      <c r="A3" s="1431"/>
      <c r="B3" s="1431"/>
      <c r="C3" s="1431"/>
      <c r="D3" s="1431"/>
      <c r="E3" s="1431"/>
      <c r="F3" s="1431"/>
      <c r="G3" s="1431"/>
      <c r="H3" s="1431"/>
      <c r="I3" s="720"/>
      <c r="J3" s="720"/>
      <c r="K3" s="1434"/>
      <c r="L3" s="705"/>
      <c r="M3" s="705"/>
      <c r="N3" s="705"/>
    </row>
    <row r="4" spans="1:30" ht="57" customHeight="1" x14ac:dyDescent="0.3">
      <c r="A4" s="703" t="s">
        <v>1</v>
      </c>
      <c r="B4" s="703" t="s">
        <v>253</v>
      </c>
      <c r="C4" s="704" t="s">
        <v>329</v>
      </c>
      <c r="D4" s="704" t="s">
        <v>567</v>
      </c>
      <c r="E4" s="719" t="s">
        <v>565</v>
      </c>
      <c r="F4" s="718" t="s">
        <v>255</v>
      </c>
      <c r="G4" s="717" t="s">
        <v>256</v>
      </c>
      <c r="H4" s="716" t="s">
        <v>334</v>
      </c>
      <c r="I4" s="91" t="s">
        <v>258</v>
      </c>
      <c r="J4" s="91" t="s">
        <v>259</v>
      </c>
      <c r="K4" s="91" t="s">
        <v>260</v>
      </c>
      <c r="L4" s="91" t="s">
        <v>261</v>
      </c>
      <c r="M4" s="705"/>
      <c r="N4" s="705"/>
    </row>
    <row r="5" spans="1:30" ht="14" x14ac:dyDescent="0.25">
      <c r="B5" s="757" t="s">
        <v>17</v>
      </c>
      <c r="C5" s="710" t="s">
        <v>14</v>
      </c>
      <c r="D5" s="710">
        <v>1000</v>
      </c>
      <c r="E5" s="709">
        <f>$I$1</f>
        <v>1.0824190032878938</v>
      </c>
      <c r="F5" s="700">
        <v>1</v>
      </c>
      <c r="G5" s="708">
        <f t="shared" ref="G5:G19" si="0">D5*E5</f>
        <v>1082.4190032878937</v>
      </c>
      <c r="H5" s="707">
        <f t="shared" ref="H5:H19" si="1">G5*F5</f>
        <v>1082.4190032878937</v>
      </c>
      <c r="I5" s="81">
        <f>VLOOKUP(B5,All_Ingredients!$A$1:$F$151,6,FALSE())</f>
        <v>0.98</v>
      </c>
      <c r="J5" s="119">
        <f>VLOOKUP(B5,All_Ingredients!$A$1:$J$151,10,FALSE())</f>
        <v>3.5</v>
      </c>
      <c r="K5" s="122">
        <f t="shared" ref="K5" si="2">(H5/I5)/1000</f>
        <v>1.1045091870284629</v>
      </c>
      <c r="L5" s="122">
        <f t="shared" ref="L5" si="3">K5*J5</f>
        <v>3.86578215459962</v>
      </c>
    </row>
    <row r="6" spans="1:30" ht="14" x14ac:dyDescent="0.25">
      <c r="B6" s="757" t="s">
        <v>12</v>
      </c>
      <c r="C6" s="710" t="s">
        <v>14</v>
      </c>
      <c r="D6" s="710">
        <v>1000</v>
      </c>
      <c r="E6" s="709">
        <f t="shared" ref="E6:E19" si="4">$I$1</f>
        <v>1.0824190032878938</v>
      </c>
      <c r="F6" s="715">
        <v>1</v>
      </c>
      <c r="G6" s="708">
        <f t="shared" si="0"/>
        <v>1082.4190032878937</v>
      </c>
      <c r="H6" s="707">
        <f t="shared" si="1"/>
        <v>1082.4190032878937</v>
      </c>
      <c r="I6" s="81">
        <f>VLOOKUP(B6,All_Ingredients!$A$1:$F$151,6,FALSE())</f>
        <v>0.9</v>
      </c>
      <c r="J6" s="119">
        <f>VLOOKUP(B6,All_Ingredients!$A$1:$J$151,10,FALSE())</f>
        <v>3</v>
      </c>
      <c r="K6" s="122">
        <f t="shared" ref="K6:K19" si="5">(H6/I6)/1000</f>
        <v>1.2026877814309931</v>
      </c>
      <c r="L6" s="122">
        <f t="shared" ref="L6:L19" si="6">K6*J6</f>
        <v>3.6080633442929795</v>
      </c>
    </row>
    <row r="7" spans="1:30" ht="14" x14ac:dyDescent="0.25">
      <c r="B7" s="757" t="s">
        <v>28</v>
      </c>
      <c r="C7" s="710" t="s">
        <v>14</v>
      </c>
      <c r="D7" s="710">
        <v>666</v>
      </c>
      <c r="E7" s="709">
        <f>$I$1</f>
        <v>1.0824190032878938</v>
      </c>
      <c r="F7" s="715">
        <v>1</v>
      </c>
      <c r="G7" s="708">
        <f t="shared" si="0"/>
        <v>720.89105618973724</v>
      </c>
      <c r="H7" s="707">
        <f t="shared" si="1"/>
        <v>720.89105618973724</v>
      </c>
      <c r="I7" s="81">
        <f>VLOOKUP(B7,All_Ingredients!$A$1:$F$151,6,FALSE())</f>
        <v>0.56999999999999995</v>
      </c>
      <c r="J7" s="119">
        <f>VLOOKUP(B7,All_Ingredients!$A$1:$J$151,10,FALSE())</f>
        <v>8.5</v>
      </c>
      <c r="K7" s="122">
        <f t="shared" si="5"/>
        <v>1.2647211512100656</v>
      </c>
      <c r="L7" s="122">
        <f t="shared" si="6"/>
        <v>10.750129785285557</v>
      </c>
    </row>
    <row r="8" spans="1:30" ht="14" x14ac:dyDescent="0.25">
      <c r="B8" s="757" t="s">
        <v>30</v>
      </c>
      <c r="C8" s="710" t="s">
        <v>14</v>
      </c>
      <c r="D8" s="710">
        <v>666</v>
      </c>
      <c r="E8" s="709">
        <f t="shared" si="4"/>
        <v>1.0824190032878938</v>
      </c>
      <c r="F8" s="700">
        <v>1</v>
      </c>
      <c r="G8" s="708">
        <f t="shared" si="0"/>
        <v>720.89105618973724</v>
      </c>
      <c r="H8" s="707">
        <f t="shared" si="1"/>
        <v>720.89105618973724</v>
      </c>
      <c r="I8" s="81">
        <f>VLOOKUP(B8,All_Ingredients!$A$1:$F$151,6,FALSE())</f>
        <v>0.56999999999999995</v>
      </c>
      <c r="J8" s="119">
        <f>VLOOKUP(B8,All_Ingredients!$A$1:$J$151,10,FALSE())</f>
        <v>8.5</v>
      </c>
      <c r="K8" s="122">
        <f t="shared" si="5"/>
        <v>1.2647211512100656</v>
      </c>
      <c r="L8" s="122">
        <f t="shared" si="6"/>
        <v>10.750129785285557</v>
      </c>
    </row>
    <row r="9" spans="1:30" ht="14" x14ac:dyDescent="0.25">
      <c r="B9" s="757" t="s">
        <v>32</v>
      </c>
      <c r="C9" s="710" t="s">
        <v>14</v>
      </c>
      <c r="D9" s="710">
        <v>666</v>
      </c>
      <c r="E9" s="709">
        <f t="shared" si="4"/>
        <v>1.0824190032878938</v>
      </c>
      <c r="F9" s="700">
        <v>1</v>
      </c>
      <c r="G9" s="708">
        <f t="shared" si="0"/>
        <v>720.89105618973724</v>
      </c>
      <c r="H9" s="707">
        <f t="shared" si="1"/>
        <v>720.89105618973724</v>
      </c>
      <c r="I9" s="81">
        <f>VLOOKUP(B9,All_Ingredients!$A$1:$F$151,6,FALSE())</f>
        <v>0.96</v>
      </c>
      <c r="J9" s="119">
        <f>VLOOKUP(B9,All_Ingredients!$A$1:$J$151,10,FALSE())</f>
        <v>4</v>
      </c>
      <c r="K9" s="122">
        <f t="shared" si="5"/>
        <v>0.75092818353097635</v>
      </c>
      <c r="L9" s="122">
        <f t="shared" si="6"/>
        <v>3.0037127341239054</v>
      </c>
    </row>
    <row r="10" spans="1:30" ht="14" x14ac:dyDescent="0.25">
      <c r="B10" s="702" t="s">
        <v>563</v>
      </c>
      <c r="C10" s="710" t="s">
        <v>14</v>
      </c>
      <c r="D10" s="710">
        <v>1850</v>
      </c>
      <c r="E10" s="709">
        <f t="shared" si="4"/>
        <v>1.0824190032878938</v>
      </c>
      <c r="F10" s="700">
        <v>1</v>
      </c>
      <c r="G10" s="708">
        <f t="shared" si="0"/>
        <v>2002.4751560826035</v>
      </c>
      <c r="H10" s="707">
        <f t="shared" si="1"/>
        <v>2002.4751560826035</v>
      </c>
      <c r="I10" s="81">
        <f>VLOOKUP(B10,All_Ingredients!$A$1:$F$151,6,FALSE())</f>
        <v>1</v>
      </c>
      <c r="J10" s="119">
        <f>VLOOKUP(B10,All_Ingredients!$A$1:$J$151,10,FALSE())</f>
        <v>10.196078431372548</v>
      </c>
      <c r="K10" s="122">
        <f>(H10/I10)/1000</f>
        <v>2.0024751560826033</v>
      </c>
      <c r="L10" s="122">
        <f>K10*J10</f>
        <v>20.417393748293208</v>
      </c>
    </row>
    <row r="11" spans="1:30" ht="13.5" customHeight="1" x14ac:dyDescent="0.25">
      <c r="B11" s="702" t="s">
        <v>761</v>
      </c>
      <c r="C11" s="710" t="s">
        <v>14</v>
      </c>
      <c r="D11" s="710">
        <v>1200</v>
      </c>
      <c r="E11" s="709">
        <f t="shared" si="4"/>
        <v>1.0824190032878938</v>
      </c>
      <c r="F11" s="700">
        <v>1</v>
      </c>
      <c r="G11" s="708">
        <f t="shared" si="0"/>
        <v>1298.9028039454724</v>
      </c>
      <c r="H11" s="707">
        <f t="shared" si="1"/>
        <v>1298.9028039454724</v>
      </c>
      <c r="I11" s="81">
        <f>VLOOKUP(B11,All_Ingredients!$A$1:$F$151,6,FALSE())</f>
        <v>1</v>
      </c>
      <c r="J11" s="119">
        <f>VLOOKUP(B11,All_Ingredients!$A$1:$J$151,10,FALSE())</f>
        <v>8.1520833333333336</v>
      </c>
      <c r="K11" s="122">
        <f t="shared" si="5"/>
        <v>1.2989028039454724</v>
      </c>
      <c r="L11" s="122">
        <f t="shared" si="6"/>
        <v>10.588763899663821</v>
      </c>
    </row>
    <row r="12" spans="1:30" ht="13.5" customHeight="1" x14ac:dyDescent="0.25">
      <c r="B12" s="702" t="s">
        <v>157</v>
      </c>
      <c r="C12" s="710" t="s">
        <v>14</v>
      </c>
      <c r="D12" s="710">
        <v>300</v>
      </c>
      <c r="E12" s="709">
        <f t="shared" si="4"/>
        <v>1.0824190032878938</v>
      </c>
      <c r="F12" s="700">
        <v>1</v>
      </c>
      <c r="G12" s="708">
        <f t="shared" si="0"/>
        <v>324.72570098636811</v>
      </c>
      <c r="H12" s="707">
        <f t="shared" si="1"/>
        <v>324.72570098636811</v>
      </c>
      <c r="I12" s="81">
        <f>VLOOKUP(B12,All_Ingredients!$A$1:$F$151,6,FALSE())</f>
        <v>1</v>
      </c>
      <c r="J12" s="119">
        <f>VLOOKUP(B12,All_Ingredients!$A$1:$J$151,10,FALSE())</f>
        <v>30</v>
      </c>
      <c r="K12" s="122">
        <f t="shared" si="5"/>
        <v>0.3247257009863681</v>
      </c>
      <c r="L12" s="122">
        <f t="shared" si="6"/>
        <v>9.7417710295910425</v>
      </c>
    </row>
    <row r="13" spans="1:30" ht="13.5" customHeight="1" x14ac:dyDescent="0.25">
      <c r="B13" s="702" t="s">
        <v>114</v>
      </c>
      <c r="C13" s="710" t="s">
        <v>14</v>
      </c>
      <c r="D13" s="710">
        <v>60</v>
      </c>
      <c r="E13" s="709">
        <f t="shared" si="4"/>
        <v>1.0824190032878938</v>
      </c>
      <c r="F13" s="700">
        <v>1</v>
      </c>
      <c r="G13" s="708">
        <f t="shared" si="0"/>
        <v>64.945140197273631</v>
      </c>
      <c r="H13" s="707">
        <f t="shared" si="1"/>
        <v>64.945140197273631</v>
      </c>
      <c r="I13" s="81">
        <f>VLOOKUP(B13,All_Ingredients!$A$1:$F$151,6,FALSE())</f>
        <v>1</v>
      </c>
      <c r="J13" s="119">
        <f>VLOOKUP(B13,All_Ingredients!$A$1:$J$151,10,FALSE())</f>
        <v>64.243759177679877</v>
      </c>
      <c r="K13" s="122">
        <f t="shared" si="5"/>
        <v>6.4945140197273626E-2</v>
      </c>
      <c r="L13" s="122">
        <f t="shared" si="6"/>
        <v>4.1723199465943042</v>
      </c>
    </row>
    <row r="14" spans="1:30" ht="13.5" customHeight="1" x14ac:dyDescent="0.25">
      <c r="B14" s="702" t="s">
        <v>112</v>
      </c>
      <c r="C14" s="710" t="s">
        <v>14</v>
      </c>
      <c r="D14" s="710">
        <v>60</v>
      </c>
      <c r="E14" s="709">
        <f t="shared" si="4"/>
        <v>1.0824190032878938</v>
      </c>
      <c r="F14" s="700">
        <v>1</v>
      </c>
      <c r="G14" s="708">
        <f t="shared" si="0"/>
        <v>64.945140197273631</v>
      </c>
      <c r="H14" s="707">
        <f t="shared" si="1"/>
        <v>64.945140197273631</v>
      </c>
      <c r="I14" s="81">
        <f>VLOOKUP(B14,All_Ingredients!$A$1:$F$151,6,FALSE())</f>
        <v>1</v>
      </c>
      <c r="J14" s="119">
        <f>VLOOKUP(B14,All_Ingredients!$A$1:$J$151,10,FALSE())</f>
        <v>26.5</v>
      </c>
      <c r="K14" s="122">
        <f t="shared" si="5"/>
        <v>6.4945140197273626E-2</v>
      </c>
      <c r="L14" s="122">
        <f t="shared" si="6"/>
        <v>1.721046215227751</v>
      </c>
    </row>
    <row r="15" spans="1:30" ht="14.25" customHeight="1" x14ac:dyDescent="0.25">
      <c r="B15" s="702" t="s">
        <v>794</v>
      </c>
      <c r="C15" s="710" t="s">
        <v>14</v>
      </c>
      <c r="D15" s="710">
        <v>40</v>
      </c>
      <c r="E15" s="709">
        <f t="shared" si="4"/>
        <v>1.0824190032878938</v>
      </c>
      <c r="F15" s="700">
        <v>1</v>
      </c>
      <c r="G15" s="708">
        <f t="shared" si="0"/>
        <v>43.296760131515754</v>
      </c>
      <c r="H15" s="707">
        <f t="shared" si="1"/>
        <v>43.296760131515754</v>
      </c>
      <c r="I15" s="81">
        <f>VLOOKUP(B15,All_Ingredients!$A$1:$F$151,6,FALSE())</f>
        <v>0.5</v>
      </c>
      <c r="J15" s="119">
        <f>VLOOKUP(B15,All_Ingredients!$A$1:$J$151,10,FALSE())</f>
        <v>90</v>
      </c>
      <c r="K15" s="122">
        <f t="shared" si="5"/>
        <v>8.6593520263031507E-2</v>
      </c>
      <c r="L15" s="122">
        <f t="shared" si="6"/>
        <v>7.7934168236728354</v>
      </c>
    </row>
    <row r="16" spans="1:30" ht="14.25" customHeight="1" x14ac:dyDescent="0.25">
      <c r="B16" s="702" t="s">
        <v>822</v>
      </c>
      <c r="C16" s="710" t="s">
        <v>14</v>
      </c>
      <c r="D16" s="710">
        <v>40</v>
      </c>
      <c r="E16" s="709">
        <f t="shared" si="4"/>
        <v>1.0824190032878938</v>
      </c>
      <c r="F16" s="700">
        <v>1</v>
      </c>
      <c r="G16" s="708">
        <f t="shared" si="0"/>
        <v>43.296760131515754</v>
      </c>
      <c r="H16" s="707">
        <f t="shared" si="1"/>
        <v>43.296760131515754</v>
      </c>
      <c r="I16" s="81">
        <f>VLOOKUP(B16,All_Ingredients!$A$1:$F$151,6,FALSE())</f>
        <v>0.74</v>
      </c>
      <c r="J16" s="119">
        <f>VLOOKUP(B16,All_Ingredients!$A$1:$J$151,10,FALSE())</f>
        <v>100</v>
      </c>
      <c r="K16" s="122">
        <f t="shared" si="5"/>
        <v>5.8509135312859131E-2</v>
      </c>
      <c r="L16" s="122">
        <f t="shared" si="6"/>
        <v>5.8509135312859133</v>
      </c>
      <c r="N16" s="1437"/>
      <c r="O16" s="1437"/>
    </row>
    <row r="17" spans="2:27" ht="13.5" customHeight="1" x14ac:dyDescent="0.25">
      <c r="B17" s="702" t="s">
        <v>144</v>
      </c>
      <c r="C17" s="710" t="s">
        <v>14</v>
      </c>
      <c r="D17" s="710">
        <v>50</v>
      </c>
      <c r="E17" s="709">
        <f>$I$1</f>
        <v>1.0824190032878938</v>
      </c>
      <c r="F17" s="700">
        <v>1</v>
      </c>
      <c r="G17" s="708">
        <f t="shared" si="0"/>
        <v>54.120950164394685</v>
      </c>
      <c r="H17" s="707">
        <f t="shared" si="1"/>
        <v>54.120950164394685</v>
      </c>
      <c r="I17" s="81">
        <f>VLOOKUP(B17,All_Ingredients!$A$1:$F$151,6,FALSE())</f>
        <v>1</v>
      </c>
      <c r="J17" s="119">
        <f>VLOOKUP(B17,All_Ingredients!$A$1:$J$151,10,FALSE())</f>
        <v>15.277777777777779</v>
      </c>
      <c r="K17" s="122">
        <f t="shared" si="5"/>
        <v>5.4120950164394686E-2</v>
      </c>
      <c r="L17" s="122">
        <f t="shared" si="6"/>
        <v>0.82684784973380776</v>
      </c>
    </row>
    <row r="18" spans="2:27" ht="14" x14ac:dyDescent="0.25">
      <c r="B18" s="702" t="s">
        <v>102</v>
      </c>
      <c r="C18" s="710" t="s">
        <v>14</v>
      </c>
      <c r="D18" s="710">
        <v>30</v>
      </c>
      <c r="E18" s="709">
        <f t="shared" si="4"/>
        <v>1.0824190032878938</v>
      </c>
      <c r="F18" s="700">
        <v>1</v>
      </c>
      <c r="G18" s="708">
        <f t="shared" si="0"/>
        <v>32.472570098636815</v>
      </c>
      <c r="H18" s="707">
        <f t="shared" si="1"/>
        <v>32.472570098636815</v>
      </c>
      <c r="I18" s="81">
        <f>VLOOKUP(B18,All_Ingredients!$A$1:$F$151,6,FALSE())</f>
        <v>1</v>
      </c>
      <c r="J18" s="119">
        <f>VLOOKUP(B18,All_Ingredients!$A$1:$J$151,10,FALSE())</f>
        <v>31</v>
      </c>
      <c r="K18" s="122">
        <f t="shared" si="5"/>
        <v>3.2472570098636813E-2</v>
      </c>
      <c r="L18" s="122">
        <f t="shared" si="6"/>
        <v>1.0066496730577412</v>
      </c>
    </row>
    <row r="19" spans="2:27" ht="18" customHeight="1" x14ac:dyDescent="0.25">
      <c r="B19" s="702" t="s">
        <v>96</v>
      </c>
      <c r="C19" s="710" t="s">
        <v>14</v>
      </c>
      <c r="D19" s="710">
        <v>60</v>
      </c>
      <c r="E19" s="709">
        <f t="shared" si="4"/>
        <v>1.0824190032878938</v>
      </c>
      <c r="F19" s="711">
        <v>1</v>
      </c>
      <c r="G19" s="708">
        <f t="shared" si="0"/>
        <v>64.945140197273631</v>
      </c>
      <c r="H19" s="707">
        <f t="shared" si="1"/>
        <v>64.945140197273631</v>
      </c>
      <c r="I19" s="81">
        <f>VLOOKUP(B19,All_Ingredients!$A$1:$F$151,6,FALSE())</f>
        <v>1</v>
      </c>
      <c r="J19" s="119">
        <f>VLOOKUP(B19,All_Ingredients!$A$1:$J$151,10,FALSE())</f>
        <v>0.74</v>
      </c>
      <c r="K19" s="122">
        <f t="shared" si="5"/>
        <v>6.4945140197273626E-2</v>
      </c>
      <c r="L19" s="122">
        <f t="shared" si="6"/>
        <v>4.8059403745982485E-2</v>
      </c>
    </row>
    <row r="20" spans="2:27" ht="14" customHeight="1" x14ac:dyDescent="0.3"/>
    <row r="21" spans="2:27" ht="16.5" customHeight="1" x14ac:dyDescent="0.3"/>
    <row r="22" spans="2:27" ht="13.5" customHeight="1" x14ac:dyDescent="0.3">
      <c r="B22" s="698" t="s">
        <v>576</v>
      </c>
      <c r="J22" s="706"/>
      <c r="N22" s="1437"/>
      <c r="O22" s="1437"/>
    </row>
    <row r="24" spans="2:27" x14ac:dyDescent="0.3">
      <c r="X24" s="1296"/>
    </row>
    <row r="25" spans="2:27" ht="14" x14ac:dyDescent="0.3">
      <c r="R25" s="1435" t="s">
        <v>575</v>
      </c>
      <c r="S25" s="1436"/>
      <c r="T25" s="1436"/>
      <c r="X25" s="141" t="s">
        <v>14</v>
      </c>
      <c r="Y25" s="142">
        <v>4833.33</v>
      </c>
      <c r="Z25" s="141" t="s">
        <v>261</v>
      </c>
      <c r="AA25" s="1237">
        <f>Y25*(T30/T29)</f>
        <v>93.180993682906745</v>
      </c>
    </row>
    <row r="26" spans="2:27" ht="14" x14ac:dyDescent="0.3">
      <c r="R26" s="714" t="s">
        <v>266</v>
      </c>
      <c r="S26" s="714" t="s">
        <v>548</v>
      </c>
      <c r="T26" s="714" t="s">
        <v>574</v>
      </c>
    </row>
    <row r="27" spans="2:27" ht="14" x14ac:dyDescent="0.3">
      <c r="R27" s="714" t="s">
        <v>549</v>
      </c>
      <c r="S27" s="1208">
        <f>$Z$1</f>
        <v>29300</v>
      </c>
      <c r="T27" s="1209">
        <f>S29/30000</f>
        <v>0.97666666666666668</v>
      </c>
    </row>
    <row r="28" spans="2:27" ht="14" x14ac:dyDescent="0.3">
      <c r="R28" s="714" t="s">
        <v>481</v>
      </c>
      <c r="S28" s="1210">
        <f>$AB$1</f>
        <v>0</v>
      </c>
      <c r="T28" s="993"/>
    </row>
    <row r="29" spans="2:27" ht="14" x14ac:dyDescent="0.3">
      <c r="R29" s="713" t="s">
        <v>583</v>
      </c>
      <c r="S29" s="991">
        <f>S27+S28</f>
        <v>29300</v>
      </c>
      <c r="T29" s="1209">
        <f>5000*T27</f>
        <v>4883.333333333333</v>
      </c>
    </row>
    <row r="30" spans="2:27" ht="13" x14ac:dyDescent="0.3">
      <c r="R30" s="163" t="s">
        <v>261</v>
      </c>
      <c r="S30" s="1211"/>
      <c r="T30" s="1212">
        <f>SUM(L5:L19)</f>
        <v>94.144999924453998</v>
      </c>
    </row>
    <row r="43" ht="13.5" customHeight="1" x14ac:dyDescent="0.3"/>
    <row r="50" spans="2:4" ht="14" x14ac:dyDescent="0.3">
      <c r="B50" s="145"/>
      <c r="C50" s="145" t="s">
        <v>245</v>
      </c>
      <c r="D50" s="145" t="s">
        <v>291</v>
      </c>
    </row>
    <row r="51" spans="2:4" ht="14" x14ac:dyDescent="0.3">
      <c r="B51" s="180" t="s">
        <v>295</v>
      </c>
      <c r="C51" s="181">
        <f>5/K1</f>
        <v>5.5413942147844395</v>
      </c>
      <c r="D51" s="182">
        <f>C1</f>
        <v>5000</v>
      </c>
    </row>
    <row r="52" spans="2:4" ht="14" x14ac:dyDescent="0.3">
      <c r="B52" s="148" t="s">
        <v>274</v>
      </c>
      <c r="C52" s="184">
        <f>I1</f>
        <v>1.0824190032878938</v>
      </c>
      <c r="D52" s="185">
        <f>E1</f>
        <v>4883.333333333333</v>
      </c>
    </row>
    <row r="53" spans="2:4" ht="14" x14ac:dyDescent="0.3">
      <c r="B53" s="231" t="s">
        <v>296</v>
      </c>
      <c r="C53" s="234">
        <f>MIN(C52, C51)</f>
        <v>1.0824190032878938</v>
      </c>
      <c r="D53" s="233">
        <f>(C53*$K$1)*$C$1</f>
        <v>4883.333333333333</v>
      </c>
    </row>
    <row r="54" spans="2:4" ht="14" x14ac:dyDescent="0.3">
      <c r="B54" s="231" t="s">
        <v>297</v>
      </c>
      <c r="C54" s="234">
        <f>MIN(MAX(C52-C53,0),C51)</f>
        <v>0</v>
      </c>
      <c r="D54" s="233">
        <f>(C54*$K$1)*$C$1</f>
        <v>0</v>
      </c>
    </row>
    <row r="55" spans="2:4" ht="14" x14ac:dyDescent="0.3">
      <c r="B55" s="231" t="s">
        <v>298</v>
      </c>
      <c r="C55" s="234">
        <f>MIN(MAX(C52-C53-C54,0),C51)</f>
        <v>0</v>
      </c>
      <c r="D55" s="233">
        <f>(C55*$K$1)*$C$1</f>
        <v>0</v>
      </c>
    </row>
  </sheetData>
  <mergeCells count="6">
    <mergeCell ref="A2:A3"/>
    <mergeCell ref="B2:H3"/>
    <mergeCell ref="K2:K3"/>
    <mergeCell ref="R25:T25"/>
    <mergeCell ref="N22:O22"/>
    <mergeCell ref="N16:O16"/>
  </mergeCells>
  <printOptions horizontalCentered="1"/>
  <pageMargins left="0.5" right="0.5" top="1" bottom="0.5" header="0.3" footer="0.511811023622047"/>
  <pageSetup paperSize="9" scale="22"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50"/>
    <pageSetUpPr fitToPage="1"/>
  </sheetPr>
  <dimension ref="A1:AD106"/>
  <sheetViews>
    <sheetView topLeftCell="A27" zoomScale="70" zoomScaleNormal="70" workbookViewId="0">
      <selection activeCell="I64" sqref="I64"/>
    </sheetView>
  </sheetViews>
  <sheetFormatPr defaultColWidth="12.5" defaultRowHeight="14" x14ac:dyDescent="0.3"/>
  <cols>
    <col min="1" max="1" width="16.33203125" style="1" customWidth="1"/>
    <col min="2" max="2" width="30.9140625" customWidth="1"/>
    <col min="3" max="3" width="16.9140625" customWidth="1"/>
    <col min="4" max="4" width="19" customWidth="1"/>
    <col min="5" max="5" width="16.1640625" customWidth="1"/>
    <col min="6" max="6" width="23.08203125" customWidth="1"/>
    <col min="7" max="7" width="25.1640625" customWidth="1"/>
    <col min="8" max="8" width="36.1640625" customWidth="1"/>
    <col min="9" max="9" width="18" customWidth="1"/>
    <col min="12" max="12" width="8.33203125" customWidth="1"/>
    <col min="13" max="13" width="31.83203125" customWidth="1"/>
    <col min="18" max="18" width="43.5" customWidth="1"/>
    <col min="23" max="23" width="29.4140625" customWidth="1"/>
    <col min="24" max="24" width="31.6640625" customWidth="1"/>
    <col min="28" max="28" width="15.1640625" style="767" customWidth="1"/>
    <col min="29" max="29" width="12.5" style="767"/>
  </cols>
  <sheetData>
    <row r="1" spans="1:30" ht="24" customHeight="1" x14ac:dyDescent="0.3">
      <c r="A1" s="80" t="s">
        <v>243</v>
      </c>
      <c r="B1" s="81">
        <v>1000</v>
      </c>
      <c r="C1" s="89" t="s">
        <v>325</v>
      </c>
      <c r="D1" s="90">
        <f>$S$30/J1</f>
        <v>30716.216216216217</v>
      </c>
      <c r="E1" s="91" t="s">
        <v>248</v>
      </c>
      <c r="F1" s="92" t="s">
        <v>326</v>
      </c>
      <c r="G1" s="91" t="s">
        <v>327</v>
      </c>
      <c r="H1" s="305">
        <f>H52</f>
        <v>22.730000000000004</v>
      </c>
      <c r="I1" s="93" t="s">
        <v>250</v>
      </c>
      <c r="J1" s="306">
        <v>0.74</v>
      </c>
      <c r="K1" s="100"/>
      <c r="Y1" s="91" t="s">
        <v>479</v>
      </c>
      <c r="Z1" s="847">
        <v>21730</v>
      </c>
      <c r="AA1" s="91" t="s">
        <v>600</v>
      </c>
      <c r="AB1" s="847">
        <v>1000</v>
      </c>
      <c r="AC1" s="91" t="s">
        <v>587</v>
      </c>
      <c r="AD1" s="847">
        <v>147</v>
      </c>
    </row>
    <row r="2" spans="1:30" ht="12.75" customHeight="1" x14ac:dyDescent="0.3">
      <c r="A2" s="265"/>
      <c r="B2" s="1387" t="s">
        <v>328</v>
      </c>
      <c r="C2" s="1422"/>
      <c r="D2" s="1422"/>
      <c r="E2" s="1422"/>
      <c r="F2" s="1422"/>
      <c r="G2" s="1422"/>
      <c r="H2" s="1422"/>
      <c r="I2" s="1422"/>
      <c r="J2" s="1422"/>
      <c r="K2" s="1422"/>
      <c r="L2" s="293"/>
    </row>
    <row r="3" spans="1:30" ht="12.75" customHeight="1" x14ac:dyDescent="0.3">
      <c r="A3" s="265"/>
      <c r="B3" s="1388"/>
      <c r="C3" s="1388"/>
      <c r="D3" s="1388"/>
      <c r="E3" s="1388"/>
      <c r="F3" s="1388"/>
      <c r="G3" s="1388"/>
      <c r="H3" s="1388"/>
      <c r="I3" s="1388"/>
      <c r="J3" s="1388"/>
      <c r="K3" s="1388"/>
      <c r="L3" s="293"/>
    </row>
    <row r="4" spans="1:30" ht="46.5" customHeight="1" x14ac:dyDescent="0.3">
      <c r="A4" s="91" t="s">
        <v>1</v>
      </c>
      <c r="B4" s="91" t="s">
        <v>253</v>
      </c>
      <c r="C4" s="307" t="s">
        <v>329</v>
      </c>
      <c r="D4" s="91" t="s">
        <v>330</v>
      </c>
      <c r="E4" s="108" t="s">
        <v>331</v>
      </c>
      <c r="F4" s="108" t="s">
        <v>332</v>
      </c>
      <c r="G4" s="308" t="s">
        <v>333</v>
      </c>
      <c r="H4" s="109" t="s">
        <v>334</v>
      </c>
      <c r="I4" s="91" t="s">
        <v>258</v>
      </c>
      <c r="J4" s="91" t="s">
        <v>259</v>
      </c>
      <c r="K4" s="91" t="s">
        <v>260</v>
      </c>
      <c r="L4" s="91" t="s">
        <v>261</v>
      </c>
    </row>
    <row r="5" spans="1:30" ht="14.25" customHeight="1" x14ac:dyDescent="0.3">
      <c r="A5" s="158" t="s">
        <v>230</v>
      </c>
      <c r="B5" s="309" t="s">
        <v>229</v>
      </c>
      <c r="C5" s="124" t="s">
        <v>14</v>
      </c>
      <c r="D5" s="116">
        <f>I51/H51</f>
        <v>1351.3513513513512</v>
      </c>
      <c r="E5" s="116">
        <f>I52/D5</f>
        <v>22.730000000000004</v>
      </c>
      <c r="F5" s="127">
        <v>1</v>
      </c>
      <c r="G5" s="119">
        <f>D5*E5</f>
        <v>30716.21621621622</v>
      </c>
      <c r="H5" s="119">
        <f>D1</f>
        <v>30716.216216216217</v>
      </c>
      <c r="I5" s="81">
        <f>VLOOKUP(B5,All_Ingredients!$A$1:$F$151,6,FALSE())</f>
        <v>0.86</v>
      </c>
      <c r="J5" s="119">
        <f>VLOOKUP(B5,All_Ingredients!$A$1:$J$151,10,FALSE())</f>
        <v>17.100000000000001</v>
      </c>
      <c r="K5" s="122">
        <f>(H5/I5)/1000</f>
        <v>35.716530483972349</v>
      </c>
      <c r="L5" s="122">
        <f>K5*J5</f>
        <v>610.75267127592724</v>
      </c>
    </row>
    <row r="6" spans="1:30" ht="14.25" customHeight="1" x14ac:dyDescent="0.3">
      <c r="A6" s="270" t="s">
        <v>97</v>
      </c>
      <c r="B6" s="22" t="s">
        <v>96</v>
      </c>
      <c r="C6" s="124" t="s">
        <v>14</v>
      </c>
      <c r="D6" s="125">
        <v>50</v>
      </c>
      <c r="E6" s="116">
        <f>$H$52</f>
        <v>22.730000000000004</v>
      </c>
      <c r="F6" s="127">
        <v>0.75</v>
      </c>
      <c r="G6" s="119">
        <f>D6*E6</f>
        <v>1136.5000000000002</v>
      </c>
      <c r="H6" s="120">
        <f>G6*F6</f>
        <v>852.37500000000023</v>
      </c>
      <c r="I6" s="81">
        <f>VLOOKUP(B6,All_Ingredients!$A$1:$F$151,6,FALSE())</f>
        <v>1</v>
      </c>
      <c r="J6" s="119">
        <f>VLOOKUP(B6,All_Ingredients!$A$1:$J$151,10,FALSE())</f>
        <v>0.74</v>
      </c>
      <c r="K6" s="122">
        <f t="shared" ref="K6:K9" si="0">(H6/I6)/1000</f>
        <v>0.85237500000000022</v>
      </c>
      <c r="L6" s="122">
        <f t="shared" ref="L6:L9" si="1">K6*J6</f>
        <v>0.63075750000000019</v>
      </c>
    </row>
    <row r="7" spans="1:30" ht="14.25" customHeight="1" x14ac:dyDescent="0.3">
      <c r="A7" s="270" t="s">
        <v>220</v>
      </c>
      <c r="B7" s="22" t="s">
        <v>815</v>
      </c>
      <c r="C7" s="124" t="s">
        <v>14</v>
      </c>
      <c r="D7" s="125">
        <v>3</v>
      </c>
      <c r="E7" s="116">
        <f>$H$52</f>
        <v>22.730000000000004</v>
      </c>
      <c r="F7" s="127">
        <v>0.75</v>
      </c>
      <c r="G7" s="119">
        <f>D7*E7</f>
        <v>68.190000000000012</v>
      </c>
      <c r="H7" s="120">
        <f>G7*F7</f>
        <v>51.142500000000013</v>
      </c>
      <c r="I7" s="81">
        <f>VLOOKUP(B7,All_Ingredients!$A$1:$F$151,6,FALSE())</f>
        <v>1</v>
      </c>
      <c r="J7" s="119">
        <f>VLOOKUP(B7,All_Ingredients!$A$1:$J$151,10,FALSE())</f>
        <v>22.5</v>
      </c>
      <c r="K7" s="122">
        <f t="shared" si="0"/>
        <v>5.1142500000000014E-2</v>
      </c>
      <c r="L7" s="122">
        <f t="shared" si="1"/>
        <v>1.1507062500000003</v>
      </c>
    </row>
    <row r="8" spans="1:30" ht="14.25" customHeight="1" x14ac:dyDescent="0.3">
      <c r="A8" s="270" t="s">
        <v>220</v>
      </c>
      <c r="B8" s="22" t="s">
        <v>221</v>
      </c>
      <c r="C8" s="124" t="s">
        <v>14</v>
      </c>
      <c r="D8" s="125">
        <v>3</v>
      </c>
      <c r="E8" s="116">
        <f>$H$52</f>
        <v>22.730000000000004</v>
      </c>
      <c r="F8" s="127">
        <v>0.9</v>
      </c>
      <c r="G8" s="119">
        <f>D8*E8</f>
        <v>68.190000000000012</v>
      </c>
      <c r="H8" s="120">
        <f>G8*F8</f>
        <v>61.371000000000009</v>
      </c>
      <c r="I8" s="81">
        <f>VLOOKUP(B8,All_Ingredients!$A$1:$F$151,6,FALSE())</f>
        <v>1</v>
      </c>
      <c r="J8" s="119">
        <f>VLOOKUP(B8,All_Ingredients!$A$1:$J$151,10,FALSE())</f>
        <v>35</v>
      </c>
      <c r="K8" s="122">
        <f t="shared" si="0"/>
        <v>6.1371000000000009E-2</v>
      </c>
      <c r="L8" s="122">
        <f t="shared" si="1"/>
        <v>2.1479850000000003</v>
      </c>
    </row>
    <row r="9" spans="1:30" ht="14.25" customHeight="1" x14ac:dyDescent="0.3">
      <c r="A9" s="270" t="s">
        <v>97</v>
      </c>
      <c r="B9" s="22" t="s">
        <v>108</v>
      </c>
      <c r="C9" s="124" t="s">
        <v>14</v>
      </c>
      <c r="D9" s="125">
        <v>5</v>
      </c>
      <c r="E9" s="116">
        <f>$H$52</f>
        <v>22.730000000000004</v>
      </c>
      <c r="F9" s="127">
        <v>0.8</v>
      </c>
      <c r="G9" s="119">
        <f>D9*E9</f>
        <v>113.65000000000002</v>
      </c>
      <c r="H9" s="120">
        <f>G9*F9</f>
        <v>90.920000000000016</v>
      </c>
      <c r="I9" s="81">
        <f>VLOOKUP(B9,All_Ingredients!$A$1:$F$151,6,FALSE())</f>
        <v>1</v>
      </c>
      <c r="J9" s="119">
        <f>VLOOKUP(B9,All_Ingredients!$A$1:$J$151,10,FALSE())</f>
        <v>15</v>
      </c>
      <c r="K9" s="122">
        <f t="shared" si="0"/>
        <v>9.0920000000000015E-2</v>
      </c>
      <c r="L9" s="122">
        <f t="shared" si="1"/>
        <v>1.3638000000000001</v>
      </c>
    </row>
    <row r="10" spans="1:30" ht="14.25" customHeight="1" x14ac:dyDescent="0.3">
      <c r="A10" s="100"/>
      <c r="B10" s="100"/>
      <c r="C10" s="100"/>
      <c r="D10" s="100"/>
      <c r="E10" s="100"/>
      <c r="F10" s="100"/>
      <c r="L10" s="209"/>
    </row>
    <row r="11" spans="1:30" ht="14.25" customHeight="1" x14ac:dyDescent="0.3">
      <c r="A11" s="100"/>
      <c r="B11" s="100"/>
      <c r="C11" s="100"/>
      <c r="D11" s="100"/>
      <c r="E11" s="100"/>
      <c r="F11" s="100"/>
      <c r="L11" s="209"/>
    </row>
    <row r="12" spans="1:30" ht="14.25" customHeight="1" x14ac:dyDescent="0.3">
      <c r="A12" s="100"/>
      <c r="B12" s="100"/>
      <c r="C12" s="100"/>
      <c r="D12" s="100"/>
      <c r="E12" s="100"/>
      <c r="F12" s="100"/>
      <c r="L12" s="209"/>
    </row>
    <row r="13" spans="1:30" ht="14.25" customHeight="1" x14ac:dyDescent="0.3">
      <c r="A13" s="100"/>
      <c r="F13" s="100"/>
      <c r="L13" s="209"/>
    </row>
    <row r="14" spans="1:30" ht="14.25" customHeight="1" x14ac:dyDescent="0.3">
      <c r="A14" s="100"/>
      <c r="F14" s="100"/>
      <c r="L14" s="209"/>
    </row>
    <row r="15" spans="1:30" ht="15" customHeight="1" x14ac:dyDescent="0.3">
      <c r="A15" s="100"/>
      <c r="F15" s="100"/>
    </row>
    <row r="16" spans="1:30" ht="14.25" customHeight="1" x14ac:dyDescent="0.3">
      <c r="A16" s="100"/>
      <c r="F16" s="100"/>
    </row>
    <row r="17" spans="1:29" ht="14.25" customHeight="1" x14ac:dyDescent="0.3">
      <c r="A17" s="100"/>
      <c r="F17" s="100"/>
    </row>
    <row r="18" spans="1:29" ht="14.25" customHeight="1" x14ac:dyDescent="0.3">
      <c r="A18" s="100"/>
      <c r="F18" s="100"/>
    </row>
    <row r="19" spans="1:29" ht="14.25" customHeight="1" x14ac:dyDescent="0.3">
      <c r="A19" s="100"/>
      <c r="F19" s="100"/>
    </row>
    <row r="20" spans="1:29" ht="14.25" customHeight="1" x14ac:dyDescent="0.3">
      <c r="A20" s="100"/>
      <c r="B20" s="179"/>
      <c r="C20" s="318"/>
      <c r="D20" s="298"/>
      <c r="E20" s="319"/>
      <c r="F20" s="100"/>
    </row>
    <row r="21" spans="1:29" ht="14.25" customHeight="1" x14ac:dyDescent="0.3">
      <c r="A21" s="100"/>
      <c r="B21" s="179"/>
      <c r="C21" s="318"/>
      <c r="D21" s="298"/>
      <c r="E21" s="319"/>
      <c r="F21" s="100"/>
    </row>
    <row r="22" spans="1:29" ht="14.25" customHeight="1" x14ac:dyDescent="0.3">
      <c r="A22" s="100"/>
      <c r="B22" s="179"/>
      <c r="C22" s="318"/>
      <c r="D22" s="298"/>
      <c r="E22" s="319"/>
      <c r="F22" s="100"/>
    </row>
    <row r="23" spans="1:29" ht="14.25" customHeight="1" x14ac:dyDescent="0.3">
      <c r="A23" s="100"/>
      <c r="B23" s="179"/>
      <c r="C23" s="318"/>
      <c r="D23" s="298"/>
      <c r="E23" s="319"/>
      <c r="F23" s="100"/>
    </row>
    <row r="24" spans="1:29" ht="14.25" customHeight="1" x14ac:dyDescent="0.3">
      <c r="A24" s="100"/>
      <c r="B24" s="179"/>
      <c r="C24" s="318"/>
      <c r="D24" s="298"/>
      <c r="E24" s="319"/>
      <c r="F24" s="100"/>
      <c r="Z24" s="1294"/>
    </row>
    <row r="25" spans="1:29" ht="15.75" customHeight="1" x14ac:dyDescent="0.35">
      <c r="A25" s="100"/>
      <c r="B25" s="371"/>
      <c r="C25" s="348"/>
      <c r="D25" s="264"/>
      <c r="E25" s="371"/>
      <c r="F25" s="371"/>
      <c r="G25" s="264"/>
      <c r="H25" s="55"/>
      <c r="R25" s="1411" t="str">
        <f>B2</f>
        <v>Chicken Mandi - مندي دجاج</v>
      </c>
      <c r="S25" s="1388"/>
      <c r="T25" s="1388"/>
      <c r="U25" s="1218"/>
      <c r="Z25" s="141" t="s">
        <v>264</v>
      </c>
      <c r="AA25" s="142">
        <v>21960</v>
      </c>
      <c r="AB25" s="141" t="s">
        <v>261</v>
      </c>
      <c r="AC25" s="1232">
        <f>AC30*AA25</f>
        <v>595.86504047176447</v>
      </c>
    </row>
    <row r="26" spans="1:29" ht="14.25" customHeight="1" x14ac:dyDescent="0.3">
      <c r="A26" s="100"/>
      <c r="R26" s="1409" t="s">
        <v>336</v>
      </c>
      <c r="S26" s="1410"/>
      <c r="T26" s="1410"/>
      <c r="U26" s="1218"/>
      <c r="AB26" s="14"/>
      <c r="AC26" s="14"/>
    </row>
    <row r="27" spans="1:29" ht="36.5" customHeight="1" thickBot="1" x14ac:dyDescent="0.35">
      <c r="A27" s="100"/>
      <c r="R27" s="145" t="s">
        <v>266</v>
      </c>
      <c r="S27" s="146" t="s">
        <v>267</v>
      </c>
      <c r="T27" s="146" t="s">
        <v>269</v>
      </c>
      <c r="U27" s="146" t="s">
        <v>848</v>
      </c>
      <c r="Z27" s="141" t="s">
        <v>270</v>
      </c>
      <c r="AA27" s="147" t="s">
        <v>271</v>
      </c>
      <c r="AB27" s="1186" t="s">
        <v>848</v>
      </c>
      <c r="AC27" s="147" t="s">
        <v>274</v>
      </c>
    </row>
    <row r="28" spans="1:29" ht="14.25" customHeight="1" thickBot="1" x14ac:dyDescent="0.35">
      <c r="A28" s="100"/>
      <c r="R28" s="148" t="s">
        <v>337</v>
      </c>
      <c r="S28" s="766">
        <f>$Z$1</f>
        <v>21730</v>
      </c>
      <c r="T28" s="760">
        <f>S28</f>
        <v>21730</v>
      </c>
      <c r="U28" s="1216">
        <f>K37</f>
        <v>1.5830769230769232E-2</v>
      </c>
      <c r="Z28" s="151"/>
      <c r="AA28" s="1200">
        <f>AA25</f>
        <v>21960</v>
      </c>
      <c r="AB28" s="1188"/>
      <c r="AC28" s="154">
        <f>SUM(AA28:AB28)</f>
        <v>21960</v>
      </c>
    </row>
    <row r="29" spans="1:29" ht="14.25" customHeight="1" thickBot="1" x14ac:dyDescent="0.35">
      <c r="A29" s="100"/>
      <c r="B29" s="179"/>
      <c r="C29" s="318"/>
      <c r="D29" s="298"/>
      <c r="E29" s="319"/>
      <c r="F29" s="100"/>
      <c r="R29" s="148" t="s">
        <v>338</v>
      </c>
      <c r="S29" s="788">
        <f>$AB$1</f>
        <v>1000</v>
      </c>
      <c r="T29" s="762">
        <f>S29</f>
        <v>1000</v>
      </c>
      <c r="Z29" s="151"/>
      <c r="AA29" s="156">
        <v>1</v>
      </c>
      <c r="AB29" s="1192"/>
      <c r="AC29" s="156">
        <f>AC28/$AC$28</f>
        <v>1</v>
      </c>
    </row>
    <row r="30" spans="1:29" ht="14.25" customHeight="1" thickBot="1" x14ac:dyDescent="0.35">
      <c r="A30" s="100"/>
      <c r="B30" s="179"/>
      <c r="C30" s="318"/>
      <c r="D30" s="298"/>
      <c r="E30" s="319"/>
      <c r="F30" s="100"/>
      <c r="R30" s="160" t="s">
        <v>339</v>
      </c>
      <c r="S30" s="149">
        <f>S28+S29</f>
        <v>22730</v>
      </c>
      <c r="T30" s="149">
        <f>T28+T29</f>
        <v>22730</v>
      </c>
      <c r="U30" s="1217">
        <f>U28+U29</f>
        <v>1.5830769230769232E-2</v>
      </c>
      <c r="Z30" s="141" t="s">
        <v>278</v>
      </c>
      <c r="AA30" s="157">
        <f>S33/(S30)</f>
        <v>2.7102768148962918E-2</v>
      </c>
      <c r="AB30" s="1199">
        <f>U33/T30</f>
        <v>3.1341162137466583E-5</v>
      </c>
      <c r="AC30" s="1207">
        <f>SUMPRODUCT(AA29,AA30)+AB30</f>
        <v>2.7134109311100385E-2</v>
      </c>
    </row>
    <row r="31" spans="1:29" ht="14.25" customHeight="1" thickBot="1" x14ac:dyDescent="0.35">
      <c r="A31" s="100"/>
      <c r="B31" s="179"/>
      <c r="C31" s="318"/>
      <c r="D31" s="298"/>
      <c r="E31" s="319"/>
      <c r="F31" s="100"/>
      <c r="R31" s="161" t="s">
        <v>280</v>
      </c>
      <c r="S31" s="155"/>
      <c r="T31" s="155"/>
    </row>
    <row r="32" spans="1:29" ht="14.25" customHeight="1" thickBot="1" x14ac:dyDescent="0.35">
      <c r="A32" s="100"/>
      <c r="B32" s="179"/>
      <c r="C32" s="318"/>
      <c r="D32" s="298"/>
      <c r="E32" s="319"/>
      <c r="F32" s="100"/>
      <c r="R32" s="162" t="s">
        <v>281</v>
      </c>
      <c r="S32" s="155"/>
      <c r="T32" s="155"/>
    </row>
    <row r="33" spans="1:24" ht="14.25" customHeight="1" thickBot="1" x14ac:dyDescent="0.35">
      <c r="A33" s="100"/>
      <c r="B33" s="179"/>
      <c r="C33" s="318"/>
      <c r="D33" s="298"/>
      <c r="E33" s="319"/>
      <c r="F33" s="100"/>
      <c r="R33" s="163" t="s">
        <v>261</v>
      </c>
      <c r="S33" s="164">
        <f>SUM(L5:L9)</f>
        <v>616.0459200259271</v>
      </c>
      <c r="T33" s="164">
        <f>S33+U33</f>
        <v>616.75830464131172</v>
      </c>
      <c r="U33" s="1215">
        <f>L37</f>
        <v>0.71238461538461539</v>
      </c>
    </row>
    <row r="34" spans="1:24" ht="14.25" customHeight="1" x14ac:dyDescent="0.3">
      <c r="A34" s="100"/>
      <c r="B34" s="179"/>
      <c r="C34" s="318"/>
      <c r="D34" s="298"/>
      <c r="E34" s="319"/>
      <c r="F34" s="100"/>
    </row>
    <row r="35" spans="1:24" ht="14.25" customHeight="1" x14ac:dyDescent="0.3">
      <c r="A35" s="100"/>
      <c r="B35" s="1412" t="s">
        <v>678</v>
      </c>
      <c r="C35" s="1412"/>
      <c r="D35" s="1412"/>
      <c r="E35" s="1412"/>
      <c r="F35" s="1412"/>
      <c r="G35" s="889"/>
      <c r="H35" s="889"/>
      <c r="I35" s="889"/>
      <c r="J35" s="889"/>
      <c r="K35" s="889"/>
      <c r="L35" s="889"/>
    </row>
    <row r="36" spans="1:24" ht="14.25" customHeight="1" x14ac:dyDescent="0.3">
      <c r="A36" s="100"/>
      <c r="B36" s="860" t="s">
        <v>253</v>
      </c>
      <c r="C36" s="860" t="s">
        <v>329</v>
      </c>
      <c r="D36" s="862" t="s">
        <v>671</v>
      </c>
      <c r="E36" s="859" t="s">
        <v>672</v>
      </c>
      <c r="F36" s="862" t="s">
        <v>673</v>
      </c>
      <c r="G36" s="882"/>
      <c r="H36" s="862" t="s">
        <v>673</v>
      </c>
      <c r="I36" s="862" t="s">
        <v>258</v>
      </c>
      <c r="J36" s="862" t="s">
        <v>259</v>
      </c>
      <c r="K36" s="862" t="s">
        <v>260</v>
      </c>
      <c r="L36" s="862" t="s">
        <v>261</v>
      </c>
    </row>
    <row r="37" spans="1:24" ht="14.25" customHeight="1" x14ac:dyDescent="0.3">
      <c r="A37" s="100"/>
      <c r="B37" s="855" t="s">
        <v>746</v>
      </c>
      <c r="C37" s="856" t="s">
        <v>14</v>
      </c>
      <c r="D37" s="857">
        <v>7.0000000000000007E-2</v>
      </c>
      <c r="E37" s="855">
        <f>$AD$1</f>
        <v>147</v>
      </c>
      <c r="F37" s="855">
        <f>D37*E37</f>
        <v>10.290000000000001</v>
      </c>
      <c r="H37" s="855">
        <f>F37</f>
        <v>10.290000000000001</v>
      </c>
      <c r="I37" s="855">
        <f>VLOOKUP(B37,All_Ingredients!$A$1:$F$151,6,FALSE())</f>
        <v>0.65</v>
      </c>
      <c r="J37" s="855">
        <f>VLOOKUP(B37,All_Ingredients!$A$1:$J$151,10,FALSE())</f>
        <v>45</v>
      </c>
      <c r="K37" s="855">
        <f>(H37/I37)/1000</f>
        <v>1.5830769230769232E-2</v>
      </c>
      <c r="L37" s="855">
        <f t="shared" ref="L37" si="2">K37*J37</f>
        <v>0.71238461538461539</v>
      </c>
    </row>
    <row r="38" spans="1:24" ht="14.25" customHeight="1" x14ac:dyDescent="0.3">
      <c r="A38" s="100"/>
      <c r="B38" s="179"/>
      <c r="C38" s="318"/>
      <c r="D38" s="298"/>
      <c r="E38" s="319"/>
      <c r="F38" s="100"/>
    </row>
    <row r="39" spans="1:24" ht="14.25" customHeight="1" x14ac:dyDescent="0.3">
      <c r="A39" s="100"/>
      <c r="B39" s="179"/>
      <c r="C39" s="318"/>
      <c r="D39" s="298"/>
      <c r="E39" s="319"/>
      <c r="F39" s="100"/>
    </row>
    <row r="40" spans="1:24" ht="14.25" customHeight="1" x14ac:dyDescent="0.3">
      <c r="A40" s="100"/>
      <c r="B40" s="179"/>
      <c r="C40" s="318"/>
      <c r="D40" s="298"/>
      <c r="E40" s="319"/>
      <c r="F40" s="100"/>
      <c r="Q40" s="14"/>
      <c r="R40" s="165" t="s">
        <v>340</v>
      </c>
      <c r="S40" s="239">
        <v>1</v>
      </c>
      <c r="X40" s="14"/>
    </row>
    <row r="41" spans="1:24" ht="14.25" customHeight="1" x14ac:dyDescent="0.3">
      <c r="A41" s="100"/>
      <c r="B41" s="179"/>
      <c r="C41" s="318"/>
      <c r="D41" s="298"/>
      <c r="E41" s="319"/>
      <c r="F41" s="100"/>
      <c r="Q41" s="14"/>
      <c r="R41" s="14"/>
      <c r="S41" s="14"/>
      <c r="T41" s="14"/>
      <c r="U41" s="169"/>
      <c r="V41" s="14"/>
      <c r="W41" s="14"/>
      <c r="X41" s="14"/>
    </row>
    <row r="42" spans="1:24" ht="14.25" customHeight="1" x14ac:dyDescent="0.3">
      <c r="A42" s="100"/>
      <c r="B42" s="179"/>
      <c r="C42" s="318"/>
      <c r="D42" s="298"/>
      <c r="E42" s="319"/>
      <c r="F42" s="100"/>
      <c r="Q42" s="14"/>
      <c r="R42" s="14"/>
      <c r="S42" s="14"/>
      <c r="T42" s="14"/>
      <c r="U42" s="14"/>
      <c r="V42" s="14"/>
      <c r="W42" s="14"/>
      <c r="X42" s="14"/>
    </row>
    <row r="43" spans="1:24" ht="14.25" customHeight="1" x14ac:dyDescent="0.3">
      <c r="A43" s="100"/>
      <c r="B43" s="179"/>
      <c r="C43" s="318"/>
      <c r="D43" s="298"/>
      <c r="E43" s="319"/>
      <c r="F43" s="100"/>
      <c r="Q43" s="170" t="s">
        <v>284</v>
      </c>
      <c r="R43" s="170" t="s">
        <v>285</v>
      </c>
      <c r="S43" s="170" t="s">
        <v>286</v>
      </c>
      <c r="T43" s="170" t="s">
        <v>287</v>
      </c>
      <c r="U43" s="170" t="s">
        <v>288</v>
      </c>
      <c r="V43" s="170" t="s">
        <v>289</v>
      </c>
      <c r="W43" s="258" t="s">
        <v>341</v>
      </c>
      <c r="X43" s="321"/>
    </row>
    <row r="44" spans="1:24" ht="14.25" customHeight="1" x14ac:dyDescent="0.3">
      <c r="A44" s="100"/>
      <c r="B44" s="179"/>
      <c r="C44" s="318"/>
      <c r="D44" s="298"/>
      <c r="E44" s="319"/>
      <c r="F44" s="100"/>
      <c r="Q44" s="172">
        <v>10000</v>
      </c>
      <c r="R44" s="173">
        <v>0</v>
      </c>
      <c r="S44" s="241">
        <v>0</v>
      </c>
      <c r="T44" s="241">
        <v>0</v>
      </c>
      <c r="U44" s="242">
        <f>R44*S44</f>
        <v>0</v>
      </c>
      <c r="V44" s="176">
        <f>R44*T44</f>
        <v>0</v>
      </c>
      <c r="W44" s="260">
        <f>Q44-U44</f>
        <v>10000</v>
      </c>
      <c r="X44" s="298"/>
    </row>
    <row r="45" spans="1:24" ht="14.25" customHeight="1" x14ac:dyDescent="0.3">
      <c r="A45" s="100"/>
      <c r="B45" s="179"/>
      <c r="C45" s="318"/>
      <c r="D45" s="298"/>
      <c r="E45" s="319"/>
      <c r="F45" s="100"/>
    </row>
    <row r="46" spans="1:24" ht="14.25" customHeight="1" x14ac:dyDescent="0.3">
      <c r="A46" s="100"/>
      <c r="B46" s="179"/>
      <c r="C46" s="318"/>
      <c r="D46" s="298"/>
      <c r="E46" s="319"/>
      <c r="F46" s="100"/>
    </row>
    <row r="47" spans="1:24" ht="14.25" customHeight="1" x14ac:dyDescent="0.3">
      <c r="A47" s="100"/>
      <c r="B47" s="179"/>
      <c r="C47" s="318"/>
      <c r="D47" s="298"/>
      <c r="E47" s="319"/>
      <c r="F47" s="100"/>
    </row>
    <row r="48" spans="1:24" ht="14.25" customHeight="1" x14ac:dyDescent="0.3">
      <c r="A48" s="100"/>
      <c r="B48" s="179"/>
      <c r="C48" s="318"/>
      <c r="D48" s="298"/>
      <c r="E48" s="319"/>
      <c r="F48" s="100"/>
    </row>
    <row r="49" spans="1:10" ht="14.25" customHeight="1" x14ac:dyDescent="0.3">
      <c r="A49" s="100"/>
      <c r="B49" s="179"/>
      <c r="C49" s="318"/>
      <c r="D49" s="298"/>
      <c r="E49" s="319"/>
      <c r="F49" s="100"/>
    </row>
    <row r="50" spans="1:10" ht="14.25" customHeight="1" thickBot="1" x14ac:dyDescent="0.35">
      <c r="A50" s="100"/>
      <c r="F50" s="100"/>
      <c r="G50" s="146" t="s">
        <v>292</v>
      </c>
      <c r="H50" s="146" t="s">
        <v>245</v>
      </c>
      <c r="I50" s="146" t="s">
        <v>293</v>
      </c>
      <c r="J50" s="146" t="s">
        <v>294</v>
      </c>
    </row>
    <row r="51" spans="1:10" ht="14.25" customHeight="1" thickBot="1" x14ac:dyDescent="0.35">
      <c r="A51" s="100"/>
      <c r="F51" s="100"/>
      <c r="G51" s="310" t="s">
        <v>335</v>
      </c>
      <c r="H51" s="311">
        <v>10</v>
      </c>
      <c r="I51" s="311">
        <f>J51/J1</f>
        <v>13513.513513513513</v>
      </c>
      <c r="J51" s="312">
        <f>$W$44</f>
        <v>10000</v>
      </c>
    </row>
    <row r="52" spans="1:10" ht="14.25" customHeight="1" x14ac:dyDescent="0.3">
      <c r="A52" s="100"/>
      <c r="F52" s="100"/>
      <c r="G52" s="162" t="s">
        <v>274</v>
      </c>
      <c r="H52" s="313">
        <f>$E$5</f>
        <v>22.730000000000004</v>
      </c>
      <c r="I52" s="314">
        <f>J52/$J$1</f>
        <v>30716.216216216217</v>
      </c>
      <c r="J52" s="315">
        <f>$S$30</f>
        <v>22730</v>
      </c>
    </row>
    <row r="53" spans="1:10" ht="14.25" customHeight="1" x14ac:dyDescent="0.3">
      <c r="A53" s="100"/>
      <c r="D53" s="492"/>
      <c r="F53" s="100"/>
      <c r="G53" s="148" t="s">
        <v>296</v>
      </c>
      <c r="H53" s="316">
        <f>MIN($H$52, H51)</f>
        <v>10</v>
      </c>
      <c r="I53" s="176">
        <f>J53/$J$1</f>
        <v>13513.513513513513</v>
      </c>
      <c r="J53" s="317">
        <f>MIN(MAX($J$52,0),$J$51)</f>
        <v>10000</v>
      </c>
    </row>
    <row r="54" spans="1:10" ht="14.25" customHeight="1" x14ac:dyDescent="0.3">
      <c r="A54" s="100"/>
      <c r="D54" s="492"/>
      <c r="F54" s="100"/>
      <c r="G54" s="148" t="s">
        <v>297</v>
      </c>
      <c r="H54" s="316">
        <f>MIN(MAX($H$52-H53,0),H51)</f>
        <v>10</v>
      </c>
      <c r="I54" s="176">
        <f>J54/$J$1</f>
        <v>13513.513513513513</v>
      </c>
      <c r="J54" s="184">
        <f>MIN(MAX($J$52-J53,0),$J$51)</f>
        <v>10000</v>
      </c>
    </row>
    <row r="55" spans="1:10" ht="14.25" customHeight="1" x14ac:dyDescent="0.3">
      <c r="A55" s="100"/>
      <c r="D55" s="492"/>
      <c r="F55" s="100"/>
      <c r="G55" s="145" t="s">
        <v>298</v>
      </c>
      <c r="H55" s="316">
        <f>MIN(MAX($H$52-H53-H54,0),$H$51)</f>
        <v>2.730000000000004</v>
      </c>
      <c r="I55" s="176">
        <f>J55/$J$1</f>
        <v>3689.1891891891892</v>
      </c>
      <c r="J55" s="317">
        <f>MIN(MAX($J$52-J53-J54,0),$J$51)</f>
        <v>2730</v>
      </c>
    </row>
    <row r="56" spans="1:10" ht="14.25" customHeight="1" x14ac:dyDescent="0.3">
      <c r="A56" s="100"/>
      <c r="F56" s="100"/>
      <c r="G56" s="148" t="s">
        <v>305</v>
      </c>
      <c r="H56" s="316">
        <f>MIN(MAX($H$52-H53-H54-H55,0),$H$51)</f>
        <v>0</v>
      </c>
      <c r="I56" s="176">
        <f>J56/$J$1</f>
        <v>0</v>
      </c>
      <c r="J56" s="317">
        <f>MIN(MAX($J$52-J53-J54-J55,0),$J$51)</f>
        <v>0</v>
      </c>
    </row>
    <row r="57" spans="1:10" ht="14.25" customHeight="1" x14ac:dyDescent="0.3">
      <c r="A57" s="100"/>
      <c r="B57" s="179"/>
      <c r="C57" s="318"/>
      <c r="D57" s="298"/>
      <c r="E57" s="319"/>
      <c r="F57" s="100"/>
    </row>
    <row r="58" spans="1:10" ht="14.25" customHeight="1" x14ac:dyDescent="0.3">
      <c r="B58" s="100"/>
      <c r="E58" s="100"/>
      <c r="F58" s="100"/>
    </row>
    <row r="59" spans="1:10" ht="14.25" customHeight="1" x14ac:dyDescent="0.3">
      <c r="B59" s="100"/>
      <c r="E59" s="100"/>
      <c r="F59" s="100"/>
    </row>
    <row r="60" spans="1:10" ht="14.25" customHeight="1" x14ac:dyDescent="0.3">
      <c r="B60" s="100"/>
      <c r="E60" s="100"/>
      <c r="F60" s="100"/>
    </row>
    <row r="61" spans="1:10" ht="14.25" customHeight="1" x14ac:dyDescent="0.3">
      <c r="B61" s="100"/>
      <c r="E61" s="100"/>
      <c r="F61" s="100"/>
    </row>
    <row r="62" spans="1:10" ht="17.75" customHeight="1" x14ac:dyDescent="0.3">
      <c r="A62" s="322"/>
      <c r="B62" s="1413" t="str">
        <f>"دجاج مندى 1 / " &amp; COUNTIF($H$53:$H$56, "&gt;0")</f>
        <v>دجاج مندى 1 / 3</v>
      </c>
      <c r="C62" s="1421"/>
      <c r="D62" s="1421"/>
      <c r="E62" s="1421"/>
      <c r="F62" s="1421"/>
      <c r="G62" s="1421"/>
      <c r="H62" s="1421"/>
    </row>
    <row r="63" spans="1:10" ht="17.75" customHeight="1" x14ac:dyDescent="0.3">
      <c r="A63" s="322"/>
      <c r="B63" s="1413" t="str">
        <f>"Mandi Chicken 1 / " &amp; COUNTIF($H$53:$H$56, "&gt;0")</f>
        <v>Mandi Chicken 1 / 3</v>
      </c>
      <c r="C63" s="1421"/>
      <c r="D63" s="1421"/>
      <c r="E63" s="1421"/>
      <c r="F63" s="1421"/>
      <c r="G63" s="1421"/>
      <c r="H63" s="1421"/>
    </row>
    <row r="64" spans="1:10" ht="56" customHeight="1" x14ac:dyDescent="0.3">
      <c r="A64" s="91"/>
      <c r="B64" s="91" t="s">
        <v>253</v>
      </c>
      <c r="C64" s="307" t="s">
        <v>329</v>
      </c>
      <c r="D64" s="91" t="s">
        <v>330</v>
      </c>
      <c r="E64" s="108" t="s">
        <v>331</v>
      </c>
      <c r="F64" s="108" t="s">
        <v>332</v>
      </c>
      <c r="G64" s="308" t="s">
        <v>333</v>
      </c>
      <c r="H64" s="109" t="s">
        <v>334</v>
      </c>
    </row>
    <row r="65" spans="1:8" ht="14.25" customHeight="1" x14ac:dyDescent="0.3">
      <c r="A65" s="219" t="s">
        <v>230</v>
      </c>
      <c r="B65" s="323" t="str">
        <f t="shared" ref="B65:D69" si="3">B5</f>
        <v>Chicken - دجاج</v>
      </c>
      <c r="C65" s="323" t="str">
        <f t="shared" si="3"/>
        <v>gm</v>
      </c>
      <c r="D65" s="324">
        <f>D5</f>
        <v>1351.3513513513512</v>
      </c>
      <c r="E65" s="197">
        <f>$H$53</f>
        <v>10</v>
      </c>
      <c r="F65" s="127">
        <f>F5</f>
        <v>1</v>
      </c>
      <c r="G65" s="119">
        <f>D65*E65</f>
        <v>13513.513513513513</v>
      </c>
      <c r="H65" s="120">
        <f>G65*F65</f>
        <v>13513.513513513513</v>
      </c>
    </row>
    <row r="66" spans="1:8" ht="14.25" customHeight="1" x14ac:dyDescent="0.3">
      <c r="A66" s="270" t="s">
        <v>97</v>
      </c>
      <c r="B66" s="323" t="str">
        <f t="shared" si="3"/>
        <v>Salt - ملح</v>
      </c>
      <c r="C66" s="323" t="str">
        <f t="shared" si="3"/>
        <v>gm</v>
      </c>
      <c r="D66" s="323">
        <f t="shared" si="3"/>
        <v>50</v>
      </c>
      <c r="E66" s="197">
        <f>$H$53</f>
        <v>10</v>
      </c>
      <c r="F66" s="127">
        <f>F6</f>
        <v>0.75</v>
      </c>
      <c r="G66" s="81">
        <f>D66*E66</f>
        <v>500</v>
      </c>
      <c r="H66" s="120">
        <f>G66*F66</f>
        <v>375</v>
      </c>
    </row>
    <row r="67" spans="1:8" ht="14.25" customHeight="1" x14ac:dyDescent="0.3">
      <c r="A67" s="270" t="s">
        <v>220</v>
      </c>
      <c r="B67" s="323" t="str">
        <f t="shared" si="3"/>
        <v>لون صفار زعفران بودر - Saffron yellow color powder</v>
      </c>
      <c r="C67" s="323" t="str">
        <f t="shared" si="3"/>
        <v>gm</v>
      </c>
      <c r="D67" s="323">
        <f t="shared" si="3"/>
        <v>3</v>
      </c>
      <c r="E67" s="197">
        <f>$H$53</f>
        <v>10</v>
      </c>
      <c r="F67" s="127">
        <f>F7</f>
        <v>0.75</v>
      </c>
      <c r="G67" s="81">
        <f>D67*E67</f>
        <v>30</v>
      </c>
      <c r="H67" s="120">
        <f>G67*F67</f>
        <v>22.5</v>
      </c>
    </row>
    <row r="68" spans="1:8" ht="14.25" customHeight="1" x14ac:dyDescent="0.3">
      <c r="A68" s="270" t="s">
        <v>220</v>
      </c>
      <c r="B68" s="323" t="str">
        <f t="shared" si="3"/>
        <v>Orange Color - لون برتقالي</v>
      </c>
      <c r="C68" s="323" t="str">
        <f t="shared" si="3"/>
        <v>gm</v>
      </c>
      <c r="D68" s="323">
        <f t="shared" si="3"/>
        <v>3</v>
      </c>
      <c r="E68" s="197">
        <f>$H$53</f>
        <v>10</v>
      </c>
      <c r="F68" s="127">
        <f>F8</f>
        <v>0.9</v>
      </c>
      <c r="G68" s="81">
        <f>D68*E68</f>
        <v>30</v>
      </c>
      <c r="H68" s="120">
        <f>G68*F68</f>
        <v>27</v>
      </c>
    </row>
    <row r="69" spans="1:8" ht="14.25" customHeight="1" x14ac:dyDescent="0.3">
      <c r="A69" s="270" t="s">
        <v>97</v>
      </c>
      <c r="B69" s="323" t="str">
        <f t="shared" si="3"/>
        <v>Cumin Powder - كمون مطحون</v>
      </c>
      <c r="C69" s="323" t="str">
        <f t="shared" si="3"/>
        <v>gm</v>
      </c>
      <c r="D69" s="323">
        <f t="shared" si="3"/>
        <v>5</v>
      </c>
      <c r="E69" s="197">
        <f>$H$53</f>
        <v>10</v>
      </c>
      <c r="F69" s="127">
        <f>F9</f>
        <v>0.8</v>
      </c>
      <c r="G69" s="81">
        <f>D69*E69</f>
        <v>50</v>
      </c>
      <c r="H69" s="120">
        <f>G69*F69</f>
        <v>40</v>
      </c>
    </row>
    <row r="70" spans="1:8" ht="17.5" customHeight="1" x14ac:dyDescent="0.3">
      <c r="A70" s="211"/>
      <c r="B70" s="198" t="s">
        <v>299</v>
      </c>
      <c r="C70" s="200" t="s">
        <v>285</v>
      </c>
      <c r="D70" s="14"/>
      <c r="E70" s="200" t="s">
        <v>300</v>
      </c>
      <c r="F70" s="14"/>
      <c r="G70" s="890" t="s">
        <v>276</v>
      </c>
      <c r="H70" s="890" t="s">
        <v>733</v>
      </c>
    </row>
    <row r="71" spans="1:8" ht="22.5" customHeight="1" x14ac:dyDescent="0.4">
      <c r="A71" s="211"/>
      <c r="B71" s="199">
        <f>$J$53</f>
        <v>10000</v>
      </c>
      <c r="C71" s="199">
        <f>E71+G71</f>
        <v>0</v>
      </c>
      <c r="D71" s="930"/>
      <c r="E71" s="199">
        <f>$H$53*$S$44</f>
        <v>0</v>
      </c>
      <c r="F71" s="934"/>
      <c r="G71" s="199">
        <f>$H$53*$T$44</f>
        <v>0</v>
      </c>
      <c r="H71" s="199">
        <f>B71+E71</f>
        <v>10000</v>
      </c>
    </row>
    <row r="72" spans="1:8" ht="14.25" customHeight="1" x14ac:dyDescent="0.3">
      <c r="B72" s="100"/>
      <c r="E72" s="100"/>
      <c r="F72" s="100"/>
    </row>
    <row r="73" spans="1:8" ht="17.75" customHeight="1" x14ac:dyDescent="0.3">
      <c r="A73" s="322"/>
      <c r="B73" s="1413" t="str">
        <f>"دجاج مندى 2 / " &amp; COUNTIF($H$53:$H$56, "&gt;0")</f>
        <v>دجاج مندى 2 / 3</v>
      </c>
      <c r="C73" s="1421"/>
      <c r="D73" s="1421"/>
      <c r="E73" s="1421"/>
      <c r="F73" s="1421"/>
      <c r="G73" s="1421"/>
      <c r="H73" s="1421"/>
    </row>
    <row r="74" spans="1:8" ht="17.75" customHeight="1" x14ac:dyDescent="0.3">
      <c r="A74" s="322"/>
      <c r="B74" s="1413" t="str">
        <f>"Mandi Chicken 2 / " &amp; COUNTIF($H$53:$H$56, "&gt;0")</f>
        <v>Mandi Chicken 2 / 3</v>
      </c>
      <c r="C74" s="1421"/>
      <c r="D74" s="1421"/>
      <c r="E74" s="1421"/>
      <c r="F74" s="1421"/>
      <c r="G74" s="1421"/>
      <c r="H74" s="1421"/>
    </row>
    <row r="75" spans="1:8" ht="32" customHeight="1" x14ac:dyDescent="0.3">
      <c r="A75" s="91"/>
      <c r="B75" s="91" t="s">
        <v>253</v>
      </c>
      <c r="C75" s="107" t="s">
        <v>254</v>
      </c>
      <c r="D75" s="91" t="s">
        <v>243</v>
      </c>
      <c r="E75" s="218" t="s">
        <v>246</v>
      </c>
      <c r="F75" s="108" t="s">
        <v>342</v>
      </c>
      <c r="G75" s="91" t="s">
        <v>256</v>
      </c>
      <c r="H75" s="218" t="s">
        <v>257</v>
      </c>
    </row>
    <row r="76" spans="1:8" ht="14.25" customHeight="1" x14ac:dyDescent="0.3">
      <c r="A76" s="219" t="s">
        <v>230</v>
      </c>
      <c r="B76" s="323" t="str">
        <f t="shared" ref="B76:D80" si="4">B5</f>
        <v>Chicken - دجاج</v>
      </c>
      <c r="C76" s="323" t="str">
        <f t="shared" si="4"/>
        <v>gm</v>
      </c>
      <c r="D76" s="119">
        <f t="shared" si="4"/>
        <v>1351.3513513513512</v>
      </c>
      <c r="E76" s="197">
        <f>$H$54</f>
        <v>10</v>
      </c>
      <c r="F76" s="127">
        <f>F5</f>
        <v>1</v>
      </c>
      <c r="G76" s="119">
        <f>D76*E76</f>
        <v>13513.513513513513</v>
      </c>
      <c r="H76" s="120">
        <f>G76*F76</f>
        <v>13513.513513513513</v>
      </c>
    </row>
    <row r="77" spans="1:8" ht="14.25" customHeight="1" x14ac:dyDescent="0.3">
      <c r="A77" s="270" t="s">
        <v>97</v>
      </c>
      <c r="B77" s="323" t="str">
        <f t="shared" si="4"/>
        <v>Salt - ملح</v>
      </c>
      <c r="C77" s="323" t="str">
        <f t="shared" si="4"/>
        <v>gm</v>
      </c>
      <c r="D77" s="323">
        <f t="shared" si="4"/>
        <v>50</v>
      </c>
      <c r="E77" s="197">
        <f>$H$54</f>
        <v>10</v>
      </c>
      <c r="F77" s="127">
        <f>F6</f>
        <v>0.75</v>
      </c>
      <c r="G77" s="119">
        <f>D77*E77</f>
        <v>500</v>
      </c>
      <c r="H77" s="120">
        <f>G77*F77</f>
        <v>375</v>
      </c>
    </row>
    <row r="78" spans="1:8" ht="14.25" customHeight="1" x14ac:dyDescent="0.3">
      <c r="A78" s="270" t="s">
        <v>220</v>
      </c>
      <c r="B78" s="323" t="str">
        <f t="shared" si="4"/>
        <v>لون صفار زعفران بودر - Saffron yellow color powder</v>
      </c>
      <c r="C78" s="323" t="str">
        <f t="shared" si="4"/>
        <v>gm</v>
      </c>
      <c r="D78" s="323">
        <f t="shared" si="4"/>
        <v>3</v>
      </c>
      <c r="E78" s="197">
        <f>$H$54</f>
        <v>10</v>
      </c>
      <c r="F78" s="127">
        <f>F7</f>
        <v>0.75</v>
      </c>
      <c r="G78" s="119">
        <f>D78*E78</f>
        <v>30</v>
      </c>
      <c r="H78" s="120">
        <f>G78*F78</f>
        <v>22.5</v>
      </c>
    </row>
    <row r="79" spans="1:8" ht="14.25" customHeight="1" x14ac:dyDescent="0.3">
      <c r="A79" s="270" t="s">
        <v>220</v>
      </c>
      <c r="B79" s="323" t="str">
        <f t="shared" si="4"/>
        <v>Orange Color - لون برتقالي</v>
      </c>
      <c r="C79" s="323" t="str">
        <f t="shared" si="4"/>
        <v>gm</v>
      </c>
      <c r="D79" s="323">
        <f t="shared" si="4"/>
        <v>3</v>
      </c>
      <c r="E79" s="197">
        <f>$H$54</f>
        <v>10</v>
      </c>
      <c r="F79" s="127">
        <f>F8</f>
        <v>0.9</v>
      </c>
      <c r="G79" s="119">
        <f>D79*E79</f>
        <v>30</v>
      </c>
      <c r="H79" s="120">
        <f>G79*F79</f>
        <v>27</v>
      </c>
    </row>
    <row r="80" spans="1:8" ht="14.25" customHeight="1" x14ac:dyDescent="0.3">
      <c r="A80" s="270" t="s">
        <v>97</v>
      </c>
      <c r="B80" s="323" t="str">
        <f t="shared" si="4"/>
        <v>Cumin Powder - كمون مطحون</v>
      </c>
      <c r="C80" s="323" t="str">
        <f t="shared" si="4"/>
        <v>gm</v>
      </c>
      <c r="D80" s="323">
        <f t="shared" si="4"/>
        <v>5</v>
      </c>
      <c r="E80" s="197">
        <f>$H$54</f>
        <v>10</v>
      </c>
      <c r="F80" s="127">
        <f>F9</f>
        <v>0.8</v>
      </c>
      <c r="G80" s="119">
        <f>D80*E80</f>
        <v>50</v>
      </c>
      <c r="H80" s="120">
        <f>G80*F80</f>
        <v>40</v>
      </c>
    </row>
    <row r="81" spans="1:8" ht="20.25" customHeight="1" x14ac:dyDescent="0.3">
      <c r="A81" s="211"/>
      <c r="B81" s="198" t="s">
        <v>299</v>
      </c>
      <c r="C81" s="200" t="s">
        <v>285</v>
      </c>
      <c r="D81" s="14"/>
      <c r="E81" s="200" t="s">
        <v>300</v>
      </c>
      <c r="F81" s="14"/>
      <c r="G81" s="890" t="s">
        <v>276</v>
      </c>
      <c r="H81" s="890" t="s">
        <v>733</v>
      </c>
    </row>
    <row r="82" spans="1:8" ht="22.5" customHeight="1" x14ac:dyDescent="0.4">
      <c r="A82" s="211"/>
      <c r="B82" s="199">
        <f>$J$54</f>
        <v>10000</v>
      </c>
      <c r="C82" s="199">
        <f>E82+G82</f>
        <v>0</v>
      </c>
      <c r="D82" s="930"/>
      <c r="E82" s="199">
        <f>$H$54*$S$44</f>
        <v>0</v>
      </c>
      <c r="F82" s="934"/>
      <c r="G82" s="199">
        <f>$H$54*$T$44</f>
        <v>0</v>
      </c>
      <c r="H82" s="199">
        <f>B82+E82</f>
        <v>10000</v>
      </c>
    </row>
    <row r="83" spans="1:8" ht="14.25" customHeight="1" x14ac:dyDescent="0.3">
      <c r="B83" s="100"/>
      <c r="E83" s="100"/>
      <c r="F83" s="100"/>
    </row>
    <row r="84" spans="1:8" ht="14" customHeight="1" x14ac:dyDescent="0.3">
      <c r="B84" s="100"/>
      <c r="E84" s="100"/>
      <c r="F84" s="100"/>
    </row>
    <row r="85" spans="1:8" ht="14.25" customHeight="1" x14ac:dyDescent="0.3">
      <c r="B85" s="100"/>
      <c r="E85" s="100"/>
      <c r="F85" s="100"/>
    </row>
    <row r="86" spans="1:8" ht="17.75" customHeight="1" x14ac:dyDescent="0.3">
      <c r="A86" s="322"/>
      <c r="B86" s="1413" t="str">
        <f>"دجاج مندى 3 / " &amp; COUNTIF($H$53:$H$56, "&gt;0")</f>
        <v>دجاج مندى 3 / 3</v>
      </c>
      <c r="C86" s="1421"/>
      <c r="D86" s="1421"/>
      <c r="E86" s="1421"/>
      <c r="F86" s="1421"/>
      <c r="G86" s="1421"/>
      <c r="H86" s="1421"/>
    </row>
    <row r="87" spans="1:8" ht="17.75" customHeight="1" x14ac:dyDescent="0.3">
      <c r="A87" s="322"/>
      <c r="B87" s="1413" t="str">
        <f>"Mandi Chicken 3 / " &amp; COUNTIF($H$53:$H$56, "&gt;0")</f>
        <v>Mandi Chicken 3 / 3</v>
      </c>
      <c r="C87" s="1421"/>
      <c r="D87" s="1421"/>
      <c r="E87" s="1421"/>
      <c r="F87" s="1421"/>
      <c r="G87" s="1421"/>
      <c r="H87" s="1421"/>
    </row>
    <row r="88" spans="1:8" ht="32.75" customHeight="1" x14ac:dyDescent="0.3">
      <c r="A88" s="91"/>
      <c r="B88" s="91" t="s">
        <v>253</v>
      </c>
      <c r="C88" s="107" t="s">
        <v>254</v>
      </c>
      <c r="D88" s="91" t="s">
        <v>243</v>
      </c>
      <c r="E88" s="218" t="s">
        <v>246</v>
      </c>
      <c r="F88" s="108" t="s">
        <v>342</v>
      </c>
      <c r="G88" s="91" t="s">
        <v>256</v>
      </c>
      <c r="H88" s="218" t="s">
        <v>257</v>
      </c>
    </row>
    <row r="89" spans="1:8" ht="14.25" customHeight="1" x14ac:dyDescent="0.3">
      <c r="A89" s="219" t="s">
        <v>230</v>
      </c>
      <c r="B89" s="219" t="str">
        <f t="shared" ref="B89:D93" si="5">B5</f>
        <v>Chicken - دجاج</v>
      </c>
      <c r="C89" s="219" t="str">
        <f t="shared" si="5"/>
        <v>gm</v>
      </c>
      <c r="D89" s="119">
        <f t="shared" si="5"/>
        <v>1351.3513513513512</v>
      </c>
      <c r="E89" s="197">
        <f>$H$55</f>
        <v>2.730000000000004</v>
      </c>
      <c r="F89" s="325">
        <f>F5</f>
        <v>1</v>
      </c>
      <c r="G89" s="119">
        <f>D89*E89</f>
        <v>3689.1891891891942</v>
      </c>
      <c r="H89" s="120">
        <f>G89*F89</f>
        <v>3689.1891891891942</v>
      </c>
    </row>
    <row r="90" spans="1:8" ht="14.25" customHeight="1" x14ac:dyDescent="0.3">
      <c r="A90" s="219" t="s">
        <v>97</v>
      </c>
      <c r="B90" s="219" t="str">
        <f t="shared" si="5"/>
        <v>Salt - ملح</v>
      </c>
      <c r="C90" s="219" t="str">
        <f t="shared" si="5"/>
        <v>gm</v>
      </c>
      <c r="D90" s="219">
        <f t="shared" si="5"/>
        <v>50</v>
      </c>
      <c r="E90" s="197">
        <f>$H$55</f>
        <v>2.730000000000004</v>
      </c>
      <c r="F90" s="325">
        <f>F6</f>
        <v>0.75</v>
      </c>
      <c r="G90" s="119">
        <f>D90*E90</f>
        <v>136.5000000000002</v>
      </c>
      <c r="H90" s="120">
        <f>G90*F90</f>
        <v>102.37500000000014</v>
      </c>
    </row>
    <row r="91" spans="1:8" ht="14.25" customHeight="1" x14ac:dyDescent="0.3">
      <c r="A91" s="219" t="s">
        <v>220</v>
      </c>
      <c r="B91" s="219" t="str">
        <f t="shared" si="5"/>
        <v>لون صفار زعفران بودر - Saffron yellow color powder</v>
      </c>
      <c r="C91" s="219" t="str">
        <f t="shared" si="5"/>
        <v>gm</v>
      </c>
      <c r="D91" s="219">
        <f t="shared" si="5"/>
        <v>3</v>
      </c>
      <c r="E91" s="197">
        <f>$H$55</f>
        <v>2.730000000000004</v>
      </c>
      <c r="F91" s="325">
        <f>F7</f>
        <v>0.75</v>
      </c>
      <c r="G91" s="119">
        <f>D91*E91</f>
        <v>8.1900000000000119</v>
      </c>
      <c r="H91" s="120">
        <f>G91*F91</f>
        <v>6.142500000000009</v>
      </c>
    </row>
    <row r="92" spans="1:8" ht="14.25" customHeight="1" x14ac:dyDescent="0.3">
      <c r="A92" s="219" t="s">
        <v>220</v>
      </c>
      <c r="B92" s="219" t="str">
        <f t="shared" si="5"/>
        <v>Orange Color - لون برتقالي</v>
      </c>
      <c r="C92" s="219" t="str">
        <f t="shared" si="5"/>
        <v>gm</v>
      </c>
      <c r="D92" s="219">
        <f t="shared" si="5"/>
        <v>3</v>
      </c>
      <c r="E92" s="197">
        <f>$H$55</f>
        <v>2.730000000000004</v>
      </c>
      <c r="F92" s="325">
        <f>F8</f>
        <v>0.9</v>
      </c>
      <c r="G92" s="119">
        <f>D92*E92</f>
        <v>8.1900000000000119</v>
      </c>
      <c r="H92" s="120">
        <f>G92*F92</f>
        <v>7.3710000000000111</v>
      </c>
    </row>
    <row r="93" spans="1:8" ht="14.25" customHeight="1" x14ac:dyDescent="0.3">
      <c r="A93" s="219" t="s">
        <v>97</v>
      </c>
      <c r="B93" s="219" t="str">
        <f t="shared" si="5"/>
        <v>Cumin Powder - كمون مطحون</v>
      </c>
      <c r="C93" s="219" t="str">
        <f t="shared" si="5"/>
        <v>gm</v>
      </c>
      <c r="D93" s="219">
        <f t="shared" si="5"/>
        <v>5</v>
      </c>
      <c r="E93" s="197">
        <f>$H$55</f>
        <v>2.730000000000004</v>
      </c>
      <c r="F93" s="325">
        <f>F9</f>
        <v>0.8</v>
      </c>
      <c r="G93" s="119">
        <f>D93*E93</f>
        <v>13.65000000000002</v>
      </c>
      <c r="H93" s="120">
        <f>G93*F93</f>
        <v>10.920000000000016</v>
      </c>
    </row>
    <row r="94" spans="1:8" ht="20.25" customHeight="1" x14ac:dyDescent="0.3">
      <c r="A94" s="79"/>
      <c r="B94" s="198" t="s">
        <v>299</v>
      </c>
      <c r="C94" s="200" t="s">
        <v>285</v>
      </c>
      <c r="D94" s="14"/>
      <c r="E94" s="200" t="s">
        <v>300</v>
      </c>
      <c r="F94" s="14"/>
      <c r="G94" s="890" t="s">
        <v>276</v>
      </c>
      <c r="H94" s="890" t="s">
        <v>733</v>
      </c>
    </row>
    <row r="95" spans="1:8" ht="24.5" customHeight="1" x14ac:dyDescent="0.4">
      <c r="A95" s="79"/>
      <c r="B95" s="199">
        <f>$J$55</f>
        <v>2730</v>
      </c>
      <c r="C95" s="201">
        <f>E95+G95</f>
        <v>0</v>
      </c>
      <c r="D95" s="14"/>
      <c r="E95" s="201">
        <f>$H$55*$S$44</f>
        <v>0</v>
      </c>
      <c r="F95" s="14"/>
      <c r="G95" s="202">
        <f>$H$55*$T$44</f>
        <v>0</v>
      </c>
      <c r="H95" s="202">
        <f>B95+E95</f>
        <v>2730</v>
      </c>
    </row>
    <row r="97" spans="1:9" ht="17.75" customHeight="1" x14ac:dyDescent="0.3">
      <c r="A97" s="322"/>
      <c r="B97" s="1413" t="str">
        <f>"دجاج مندى 4 / " &amp; COUNTIF($H$53:$H$56, "&gt;0")</f>
        <v>دجاج مندى 4 / 3</v>
      </c>
      <c r="C97" s="1422"/>
      <c r="D97" s="1422"/>
      <c r="E97" s="1422"/>
      <c r="F97" s="1422"/>
      <c r="G97" s="1422"/>
      <c r="H97" s="1422"/>
    </row>
    <row r="98" spans="1:9" ht="17.75" customHeight="1" x14ac:dyDescent="0.3">
      <c r="A98" s="322"/>
      <c r="B98" s="1413" t="str">
        <f>"Mandi Chicken 4 / " &amp; COUNTIF($H$53:$H$56, "&gt;0")</f>
        <v>Mandi Chicken 4 / 3</v>
      </c>
      <c r="C98" s="1422"/>
      <c r="D98" s="1422"/>
      <c r="E98" s="1422"/>
      <c r="F98" s="1422"/>
      <c r="G98" s="1422"/>
      <c r="H98" s="1422"/>
    </row>
    <row r="99" spans="1:9" ht="25.5" customHeight="1" x14ac:dyDescent="0.3">
      <c r="A99" s="91"/>
      <c r="B99" s="91" t="s">
        <v>253</v>
      </c>
      <c r="C99" s="107" t="s">
        <v>254</v>
      </c>
      <c r="D99" s="91" t="s">
        <v>243</v>
      </c>
      <c r="E99" s="218" t="s">
        <v>246</v>
      </c>
      <c r="F99" s="108" t="s">
        <v>342</v>
      </c>
      <c r="G99" s="91" t="s">
        <v>256</v>
      </c>
      <c r="H99" s="218" t="s">
        <v>257</v>
      </c>
    </row>
    <row r="100" spans="1:9" ht="14.25" customHeight="1" x14ac:dyDescent="0.3">
      <c r="A100" s="219" t="s">
        <v>230</v>
      </c>
      <c r="B100" s="219" t="str">
        <f t="shared" ref="B100:D104" si="6">B5</f>
        <v>Chicken - دجاج</v>
      </c>
      <c r="C100" s="219" t="str">
        <f t="shared" si="6"/>
        <v>gm</v>
      </c>
      <c r="D100" s="567">
        <f t="shared" si="6"/>
        <v>1351.3513513513512</v>
      </c>
      <c r="E100" s="197">
        <f>$H$56</f>
        <v>0</v>
      </c>
      <c r="F100" s="325">
        <f>F5</f>
        <v>1</v>
      </c>
      <c r="G100" s="119">
        <f>D100*E100</f>
        <v>0</v>
      </c>
      <c r="H100" s="120">
        <f>G100*F100</f>
        <v>0</v>
      </c>
    </row>
    <row r="101" spans="1:9" ht="14.25" customHeight="1" x14ac:dyDescent="0.3">
      <c r="A101" s="219" t="s">
        <v>97</v>
      </c>
      <c r="B101" s="219" t="str">
        <f t="shared" si="6"/>
        <v>Salt - ملح</v>
      </c>
      <c r="C101" s="219" t="str">
        <f t="shared" si="6"/>
        <v>gm</v>
      </c>
      <c r="D101" s="567">
        <f t="shared" si="6"/>
        <v>50</v>
      </c>
      <c r="E101" s="197">
        <f>$H$56</f>
        <v>0</v>
      </c>
      <c r="F101" s="325">
        <f>F6</f>
        <v>0.75</v>
      </c>
      <c r="G101" s="119">
        <f>D101*E101</f>
        <v>0</v>
      </c>
      <c r="H101" s="120">
        <f>G101*F101</f>
        <v>0</v>
      </c>
    </row>
    <row r="102" spans="1:9" ht="14.25" customHeight="1" x14ac:dyDescent="0.3">
      <c r="A102" s="219" t="s">
        <v>220</v>
      </c>
      <c r="B102" s="219" t="str">
        <f t="shared" si="6"/>
        <v>لون صفار زعفران بودر - Saffron yellow color powder</v>
      </c>
      <c r="C102" s="219" t="str">
        <f t="shared" si="6"/>
        <v>gm</v>
      </c>
      <c r="D102" s="567">
        <f t="shared" si="6"/>
        <v>3</v>
      </c>
      <c r="E102" s="197">
        <f>$H$56</f>
        <v>0</v>
      </c>
      <c r="F102" s="325">
        <f>F7</f>
        <v>0.75</v>
      </c>
      <c r="G102" s="119">
        <f>D102*E102</f>
        <v>0</v>
      </c>
      <c r="H102" s="120">
        <f>G102*F102</f>
        <v>0</v>
      </c>
    </row>
    <row r="103" spans="1:9" ht="14.25" customHeight="1" x14ac:dyDescent="0.3">
      <c r="A103" s="219" t="s">
        <v>220</v>
      </c>
      <c r="B103" s="219" t="str">
        <f t="shared" si="6"/>
        <v>Orange Color - لون برتقالي</v>
      </c>
      <c r="C103" s="219" t="str">
        <f t="shared" si="6"/>
        <v>gm</v>
      </c>
      <c r="D103" s="567">
        <f t="shared" si="6"/>
        <v>3</v>
      </c>
      <c r="E103" s="197">
        <f>$H$56</f>
        <v>0</v>
      </c>
      <c r="F103" s="325">
        <f>F8</f>
        <v>0.9</v>
      </c>
      <c r="G103" s="119">
        <f>D103*E103</f>
        <v>0</v>
      </c>
      <c r="H103" s="120">
        <f>G103*F103</f>
        <v>0</v>
      </c>
    </row>
    <row r="104" spans="1:9" ht="14.25" customHeight="1" x14ac:dyDescent="0.3">
      <c r="A104" s="219" t="s">
        <v>97</v>
      </c>
      <c r="B104" s="219" t="str">
        <f t="shared" si="6"/>
        <v>Cumin Powder - كمون مطحون</v>
      </c>
      <c r="C104" s="219" t="str">
        <f t="shared" si="6"/>
        <v>gm</v>
      </c>
      <c r="D104" s="567">
        <f t="shared" si="6"/>
        <v>5</v>
      </c>
      <c r="E104" s="197">
        <f>$H$56</f>
        <v>0</v>
      </c>
      <c r="F104" s="325">
        <f>F9</f>
        <v>0.8</v>
      </c>
      <c r="G104" s="119">
        <f>D104*E104</f>
        <v>0</v>
      </c>
      <c r="H104" s="120">
        <f>G104*F104</f>
        <v>0</v>
      </c>
    </row>
    <row r="105" spans="1:9" ht="20.25" customHeight="1" x14ac:dyDescent="0.3">
      <c r="A105" s="79"/>
      <c r="B105" s="198" t="s">
        <v>299</v>
      </c>
      <c r="C105" s="200" t="s">
        <v>285</v>
      </c>
      <c r="D105" s="14"/>
      <c r="E105" s="200" t="s">
        <v>300</v>
      </c>
      <c r="F105" s="14"/>
      <c r="G105" s="890" t="s">
        <v>276</v>
      </c>
      <c r="H105" s="890" t="s">
        <v>733</v>
      </c>
    </row>
    <row r="106" spans="1:9" ht="20" x14ac:dyDescent="0.4">
      <c r="A106" s="79"/>
      <c r="B106" s="199">
        <f>$J$56</f>
        <v>0</v>
      </c>
      <c r="C106" s="199">
        <f>E106+G106</f>
        <v>0</v>
      </c>
      <c r="D106" s="945"/>
      <c r="E106" s="199">
        <f>$H$56*$S$44</f>
        <v>0</v>
      </c>
      <c r="F106" s="945"/>
      <c r="G106" s="199">
        <f>$H$56*$T$44</f>
        <v>0</v>
      </c>
      <c r="H106" s="199">
        <f>B106+E106</f>
        <v>0</v>
      </c>
      <c r="I106" s="930"/>
    </row>
  </sheetData>
  <mergeCells count="12">
    <mergeCell ref="B98:H98"/>
    <mergeCell ref="B74:H74"/>
    <mergeCell ref="B97:H97"/>
    <mergeCell ref="B73:H73"/>
    <mergeCell ref="B87:H87"/>
    <mergeCell ref="B62:H62"/>
    <mergeCell ref="R26:T26"/>
    <mergeCell ref="B86:H86"/>
    <mergeCell ref="R25:T25"/>
    <mergeCell ref="B2:K3"/>
    <mergeCell ref="B63:H63"/>
    <mergeCell ref="B35:F35"/>
  </mergeCells>
  <printOptions horizontalCentered="1"/>
  <pageMargins left="0.5" right="0.5" top="1" bottom="0.5" header="0.3" footer="0.511811023622047"/>
  <pageSetup paperSize="9" scale="28" orientation="portrait"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C8016F-730B-4507-91C6-22D4A1D84E11}">
  <sheetPr codeName="Sheet76">
    <tabColor rgb="FFFFFF00"/>
    <pageSetUpPr fitToPage="1"/>
  </sheetPr>
  <dimension ref="A1:AG102"/>
  <sheetViews>
    <sheetView topLeftCell="H10" zoomScaleNormal="100" workbookViewId="0">
      <selection activeCell="O11" sqref="O11"/>
    </sheetView>
  </sheetViews>
  <sheetFormatPr defaultColWidth="12.5" defaultRowHeight="12.5" x14ac:dyDescent="0.25"/>
  <cols>
    <col min="1" max="1" width="12.5" style="14" customWidth="1"/>
    <col min="2" max="2" width="31.4140625" style="14" customWidth="1"/>
    <col min="3" max="3" width="11.6640625" style="14" customWidth="1"/>
    <col min="4" max="4" width="14.08203125"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7" width="5.5" style="14" customWidth="1"/>
    <col min="18" max="18" width="31.5" style="14" customWidth="1"/>
    <col min="19" max="19" width="15.5" style="14" customWidth="1"/>
    <col min="20" max="27" width="12.5" style="14"/>
    <col min="28" max="28" width="6.75" style="14" customWidth="1"/>
    <col min="29" max="16384" width="12.5" style="14"/>
  </cols>
  <sheetData>
    <row r="1" spans="1:33" ht="28.5" customHeight="1" x14ac:dyDescent="0.3">
      <c r="B1" s="80" t="s">
        <v>243</v>
      </c>
      <c r="C1" s="81">
        <v>1000</v>
      </c>
      <c r="D1" s="82" t="s">
        <v>244</v>
      </c>
      <c r="E1" s="117">
        <f>S30</f>
        <v>17370</v>
      </c>
      <c r="F1" s="80" t="s">
        <v>245</v>
      </c>
      <c r="G1" s="117">
        <f>E1/C1</f>
        <v>17.37</v>
      </c>
      <c r="H1" s="80" t="s">
        <v>246</v>
      </c>
      <c r="I1" s="117">
        <f>G1/K1</f>
        <v>17.37</v>
      </c>
      <c r="J1" s="326" t="s">
        <v>247</v>
      </c>
      <c r="K1" s="327">
        <v>1</v>
      </c>
      <c r="L1" s="100"/>
      <c r="M1" s="100"/>
      <c r="N1" s="100"/>
      <c r="O1" s="100"/>
      <c r="P1" s="100"/>
      <c r="Q1" s="100"/>
      <c r="R1" s="100"/>
      <c r="S1" s="93" t="s">
        <v>345</v>
      </c>
      <c r="T1" s="328">
        <v>90</v>
      </c>
      <c r="U1" s="100"/>
      <c r="V1" s="100"/>
      <c r="Y1" s="91" t="s">
        <v>479</v>
      </c>
      <c r="Z1" s="847">
        <v>188</v>
      </c>
      <c r="AA1" s="91" t="s">
        <v>600</v>
      </c>
      <c r="AB1" s="847">
        <v>5</v>
      </c>
      <c r="AC1" s="91" t="s">
        <v>587</v>
      </c>
      <c r="AD1" s="847">
        <v>188</v>
      </c>
    </row>
    <row r="2" spans="1:33" ht="12.75" customHeight="1" x14ac:dyDescent="0.25">
      <c r="A2" s="330"/>
      <c r="B2" s="1408" t="s">
        <v>748</v>
      </c>
      <c r="C2" s="1429"/>
      <c r="D2" s="1429"/>
      <c r="E2" s="1429"/>
      <c r="F2" s="1429"/>
      <c r="G2" s="1429"/>
      <c r="H2" s="1429"/>
      <c r="I2" s="352"/>
      <c r="J2" s="352"/>
      <c r="K2" s="352"/>
      <c r="L2" s="100"/>
      <c r="M2" s="100"/>
      <c r="N2" s="100"/>
      <c r="O2" s="100"/>
      <c r="P2" s="100"/>
      <c r="Q2" s="100"/>
      <c r="R2" s="100"/>
      <c r="S2" s="100"/>
      <c r="T2" s="100"/>
      <c r="U2" s="100"/>
      <c r="AE2" s="1417"/>
      <c r="AF2" s="1389"/>
      <c r="AG2" s="1389"/>
    </row>
    <row r="3" spans="1:33" ht="12.75" customHeight="1" x14ac:dyDescent="0.25">
      <c r="A3" s="330"/>
      <c r="B3" s="1388"/>
      <c r="C3" s="1388"/>
      <c r="D3" s="1388"/>
      <c r="E3" s="1388"/>
      <c r="F3" s="1388"/>
      <c r="G3" s="1388"/>
      <c r="H3" s="1388"/>
      <c r="I3" s="353"/>
      <c r="J3" s="352"/>
      <c r="K3" s="352"/>
      <c r="L3" s="100"/>
      <c r="M3" s="100"/>
      <c r="N3" s="100"/>
      <c r="O3" s="100"/>
      <c r="P3" s="100"/>
      <c r="Q3" s="100"/>
      <c r="R3" s="100"/>
      <c r="S3" s="100"/>
      <c r="T3" s="100"/>
      <c r="U3" s="100"/>
      <c r="AE3" s="1389"/>
      <c r="AF3" s="1389"/>
      <c r="AG3" s="1389"/>
    </row>
    <row r="4" spans="1:33" ht="68.75" customHeight="1" x14ac:dyDescent="0.25">
      <c r="A4" s="91" t="s">
        <v>1</v>
      </c>
      <c r="B4" s="91" t="s">
        <v>253</v>
      </c>
      <c r="C4" s="107" t="s">
        <v>254</v>
      </c>
      <c r="D4" s="91" t="s">
        <v>243</v>
      </c>
      <c r="E4" s="218" t="s">
        <v>246</v>
      </c>
      <c r="F4" s="108" t="s">
        <v>255</v>
      </c>
      <c r="G4" s="91" t="s">
        <v>256</v>
      </c>
      <c r="H4" s="354" t="s">
        <v>347</v>
      </c>
      <c r="I4" s="91" t="s">
        <v>258</v>
      </c>
      <c r="J4" s="91" t="s">
        <v>259</v>
      </c>
      <c r="K4" s="91" t="s">
        <v>260</v>
      </c>
      <c r="L4" s="91" t="s">
        <v>261</v>
      </c>
      <c r="M4" s="100"/>
      <c r="N4" s="100"/>
      <c r="O4" s="100"/>
      <c r="P4" s="100"/>
      <c r="Q4" s="100"/>
      <c r="R4" s="100"/>
    </row>
    <row r="5" spans="1:33" ht="14.25" customHeight="1" x14ac:dyDescent="0.25">
      <c r="A5" s="219"/>
      <c r="B5" s="654"/>
      <c r="C5" s="655"/>
      <c r="D5" s="219"/>
      <c r="E5" s="656"/>
      <c r="F5" s="219"/>
      <c r="G5" s="219"/>
      <c r="H5" s="657"/>
      <c r="I5" s="81"/>
      <c r="J5" s="119"/>
      <c r="K5" s="122"/>
      <c r="L5" s="122"/>
    </row>
    <row r="6" spans="1:33" ht="14.25" customHeight="1" x14ac:dyDescent="0.25">
      <c r="A6" s="295" t="s">
        <v>13</v>
      </c>
      <c r="B6" s="22" t="s">
        <v>21</v>
      </c>
      <c r="C6" s="124" t="s">
        <v>14</v>
      </c>
      <c r="D6" s="116">
        <v>1400</v>
      </c>
      <c r="E6" s="116">
        <f>$I$1</f>
        <v>17.37</v>
      </c>
      <c r="F6" s="127">
        <v>1</v>
      </c>
      <c r="G6" s="119">
        <f>D6*E6</f>
        <v>24318</v>
      </c>
      <c r="H6" s="355">
        <f>G6*F6</f>
        <v>24318</v>
      </c>
      <c r="I6" s="81">
        <f>VLOOKUP(B6,All_Ingredients!$A$1:$F$151,6,FALSE())</f>
        <v>0.9</v>
      </c>
      <c r="J6" s="119">
        <f>VLOOKUP(B6,All_Ingredients!$A$1:$J$151,10,FALSE())</f>
        <v>2.2999999999999998</v>
      </c>
      <c r="K6" s="122">
        <f t="shared" ref="K6:K10" si="0">(H6/I6)/1000</f>
        <v>27.02</v>
      </c>
      <c r="L6" s="122">
        <f t="shared" ref="L6:L10" si="1">K6*J6</f>
        <v>62.145999999999994</v>
      </c>
    </row>
    <row r="7" spans="1:33" ht="14.25" customHeight="1" x14ac:dyDescent="0.25">
      <c r="A7" s="295" t="s">
        <v>83</v>
      </c>
      <c r="B7" s="22" t="s">
        <v>114</v>
      </c>
      <c r="C7" s="124" t="s">
        <v>14</v>
      </c>
      <c r="D7" s="116">
        <v>3</v>
      </c>
      <c r="E7" s="116">
        <f>$I$1</f>
        <v>17.37</v>
      </c>
      <c r="F7" s="127">
        <v>1</v>
      </c>
      <c r="G7" s="119">
        <f>D7*E7</f>
        <v>52.11</v>
      </c>
      <c r="H7" s="355">
        <f>G7*F7</f>
        <v>52.11</v>
      </c>
      <c r="I7" s="81">
        <f>VLOOKUP(B7,All_Ingredients!$A$1:$F$151,6,FALSE())</f>
        <v>1</v>
      </c>
      <c r="J7" s="119">
        <f>VLOOKUP(B7,All_Ingredients!$A$1:$J$151,10,FALSE())</f>
        <v>64.243759177679877</v>
      </c>
      <c r="K7" s="122">
        <f t="shared" si="0"/>
        <v>5.2109999999999997E-2</v>
      </c>
      <c r="L7" s="122">
        <f t="shared" si="1"/>
        <v>3.3477422907488981</v>
      </c>
    </row>
    <row r="8" spans="1:33" ht="14.25" customHeight="1" x14ac:dyDescent="0.25">
      <c r="A8" s="295" t="s">
        <v>97</v>
      </c>
      <c r="B8" s="22" t="s">
        <v>96</v>
      </c>
      <c r="C8" s="124" t="s">
        <v>14</v>
      </c>
      <c r="D8" s="116">
        <v>5</v>
      </c>
      <c r="E8" s="116">
        <f>$I$1</f>
        <v>17.37</v>
      </c>
      <c r="F8" s="127">
        <v>0.75</v>
      </c>
      <c r="G8" s="119">
        <f>D8*E8</f>
        <v>86.850000000000009</v>
      </c>
      <c r="H8" s="355">
        <f>G8*F8</f>
        <v>65.137500000000003</v>
      </c>
      <c r="I8" s="81">
        <f>VLOOKUP(B8,All_Ingredients!$A$1:$F$151,6,FALSE())</f>
        <v>1</v>
      </c>
      <c r="J8" s="119">
        <f>VLOOKUP(B8,All_Ingredients!$A$1:$J$151,10,FALSE())</f>
        <v>0.74</v>
      </c>
      <c r="K8" s="122">
        <f t="shared" si="0"/>
        <v>6.5137500000000001E-2</v>
      </c>
      <c r="L8" s="122">
        <f t="shared" si="1"/>
        <v>4.8201750000000002E-2</v>
      </c>
    </row>
    <row r="9" spans="1:33" ht="14.25" customHeight="1" x14ac:dyDescent="0.25">
      <c r="A9" s="295" t="s">
        <v>97</v>
      </c>
      <c r="B9" s="22" t="s">
        <v>102</v>
      </c>
      <c r="C9" s="124" t="s">
        <v>14</v>
      </c>
      <c r="D9" s="223">
        <v>0.5</v>
      </c>
      <c r="E9" s="116">
        <f>$I$1</f>
        <v>17.37</v>
      </c>
      <c r="F9" s="127">
        <v>0.75</v>
      </c>
      <c r="G9" s="119">
        <f>D9*E9</f>
        <v>8.6850000000000005</v>
      </c>
      <c r="H9" s="355">
        <f>G9*F9</f>
        <v>6.5137499999999999</v>
      </c>
      <c r="I9" s="81">
        <f>VLOOKUP(B9,All_Ingredients!$A$1:$F$151,6,FALSE())</f>
        <v>1</v>
      </c>
      <c r="J9" s="119">
        <f>VLOOKUP(B9,All_Ingredients!$A$1:$J$151,10,FALSE())</f>
        <v>31</v>
      </c>
      <c r="K9" s="122">
        <f t="shared" si="0"/>
        <v>6.5137499999999996E-3</v>
      </c>
      <c r="L9" s="122">
        <f t="shared" si="1"/>
        <v>0.20192624999999997</v>
      </c>
    </row>
    <row r="10" spans="1:33" ht="14.25" customHeight="1" x14ac:dyDescent="0.25">
      <c r="A10" s="295" t="s">
        <v>210</v>
      </c>
      <c r="B10" s="323" t="s">
        <v>219</v>
      </c>
      <c r="C10" s="124" t="s">
        <v>165</v>
      </c>
      <c r="D10" s="116">
        <v>7</v>
      </c>
      <c r="E10" s="116">
        <f>$I$1</f>
        <v>17.37</v>
      </c>
      <c r="F10" s="127">
        <v>1</v>
      </c>
      <c r="G10" s="119">
        <f>D10*E10</f>
        <v>121.59</v>
      </c>
      <c r="H10" s="355">
        <f>G10*F10</f>
        <v>121.59</v>
      </c>
      <c r="I10" s="81">
        <f>VLOOKUP(B10,All_Ingredients!$A$1:$F$151,6,FALSE())</f>
        <v>1</v>
      </c>
      <c r="J10" s="119">
        <f>VLOOKUP(B10,All_Ingredients!$A$1:$J$151,10,FALSE())</f>
        <v>5</v>
      </c>
      <c r="K10" s="122">
        <f t="shared" si="0"/>
        <v>0.12159</v>
      </c>
      <c r="L10" s="122">
        <f t="shared" si="1"/>
        <v>0.60794999999999999</v>
      </c>
    </row>
    <row r="11" spans="1:33" ht="14.25" customHeight="1" x14ac:dyDescent="0.25">
      <c r="B11" s="349"/>
      <c r="C11" s="133"/>
      <c r="D11" s="254"/>
      <c r="E11" s="225"/>
      <c r="F11" s="136"/>
      <c r="G11" s="140"/>
      <c r="H11" s="138"/>
      <c r="I11" s="92"/>
    </row>
    <row r="12" spans="1:33" ht="14.25" customHeight="1" x14ac:dyDescent="0.25">
      <c r="B12" s="349"/>
      <c r="C12" s="133"/>
      <c r="D12" s="254"/>
      <c r="E12" s="225"/>
      <c r="F12" s="136"/>
      <c r="G12" s="140"/>
      <c r="H12" s="138"/>
      <c r="I12" s="92"/>
    </row>
    <row r="13" spans="1:33" ht="14.25" customHeight="1" x14ac:dyDescent="0.25">
      <c r="B13" s="349"/>
      <c r="C13" s="133"/>
      <c r="D13" s="254"/>
      <c r="E13" s="225"/>
      <c r="F13" s="136"/>
      <c r="G13" s="140"/>
      <c r="H13" s="138"/>
      <c r="I13" s="92"/>
      <c r="J13" s="139"/>
    </row>
    <row r="14" spans="1:33" ht="14.25" customHeight="1" x14ac:dyDescent="0.25">
      <c r="E14" s="100"/>
      <c r="F14" s="100"/>
      <c r="I14" s="92"/>
      <c r="J14" s="139"/>
    </row>
    <row r="15" spans="1:33" ht="14.25" customHeight="1" x14ac:dyDescent="0.25">
      <c r="E15" s="100"/>
      <c r="F15" s="100"/>
    </row>
    <row r="16" spans="1:33" ht="14.25" customHeight="1" x14ac:dyDescent="0.25">
      <c r="E16" s="100"/>
      <c r="F16" s="100"/>
    </row>
    <row r="17" spans="2:29" ht="14.25" customHeight="1" x14ac:dyDescent="0.25">
      <c r="E17" s="100"/>
      <c r="F17" s="100"/>
    </row>
    <row r="18" spans="2:29" ht="14.25" customHeight="1" x14ac:dyDescent="0.25">
      <c r="E18" s="100"/>
      <c r="F18" s="100"/>
    </row>
    <row r="19" spans="2:29" ht="14.25" customHeight="1" x14ac:dyDescent="0.25">
      <c r="E19" s="100"/>
      <c r="F19" s="100"/>
    </row>
    <row r="20" spans="2:29" ht="14.25" customHeight="1" x14ac:dyDescent="0.3">
      <c r="B20" s="11"/>
      <c r="C20" s="336"/>
      <c r="D20" s="337"/>
      <c r="E20" s="100"/>
      <c r="F20" s="100"/>
      <c r="N20" s="363"/>
    </row>
    <row r="21" spans="2:29" ht="14.25" customHeight="1" x14ac:dyDescent="0.3">
      <c r="B21" s="11"/>
      <c r="C21" s="336"/>
      <c r="D21" s="337"/>
      <c r="E21" s="100"/>
      <c r="F21" s="100"/>
    </row>
    <row r="22" spans="2:29" ht="14.25" customHeight="1" x14ac:dyDescent="0.3">
      <c r="B22" s="11"/>
      <c r="C22" s="336"/>
      <c r="D22" s="337"/>
      <c r="E22" s="100"/>
      <c r="F22" s="100"/>
    </row>
    <row r="23" spans="2:29" ht="18" customHeight="1" x14ac:dyDescent="0.3">
      <c r="B23" s="364"/>
      <c r="C23" s="336"/>
      <c r="D23" s="337"/>
      <c r="E23" s="100"/>
      <c r="F23" s="100"/>
    </row>
    <row r="24" spans="2:29" ht="14.25" customHeight="1" x14ac:dyDescent="0.3">
      <c r="B24" s="11"/>
      <c r="C24" s="336"/>
      <c r="D24" s="337"/>
      <c r="E24" s="100"/>
      <c r="F24" s="100"/>
      <c r="Z24" s="1234"/>
    </row>
    <row r="25" spans="2:29" ht="14.25" customHeight="1" x14ac:dyDescent="0.3">
      <c r="B25" s="11"/>
      <c r="C25" s="336"/>
      <c r="D25" s="337"/>
      <c r="E25" s="100"/>
      <c r="F25" s="100"/>
      <c r="R25" s="1430" t="s">
        <v>771</v>
      </c>
      <c r="S25" s="1388"/>
      <c r="T25" s="1388"/>
      <c r="Z25" s="141" t="s">
        <v>853</v>
      </c>
      <c r="AA25" s="142">
        <f>AD1</f>
        <v>188</v>
      </c>
      <c r="AB25" s="141" t="s">
        <v>261</v>
      </c>
      <c r="AC25" s="143">
        <f>AA25*(T31/AD1)</f>
        <v>66.351820290748904</v>
      </c>
    </row>
    <row r="26" spans="2:29" ht="14.25" customHeight="1" x14ac:dyDescent="0.3">
      <c r="B26" s="11"/>
      <c r="C26" s="336"/>
      <c r="D26" s="337"/>
      <c r="E26" s="100"/>
      <c r="F26" s="100"/>
      <c r="N26" s="363"/>
      <c r="R26" s="1438" t="s">
        <v>350</v>
      </c>
      <c r="S26" s="1410"/>
      <c r="T26" s="1410"/>
    </row>
    <row r="27" spans="2:29" ht="14.25" customHeight="1" x14ac:dyDescent="0.3">
      <c r="B27" s="11"/>
      <c r="C27" s="336"/>
      <c r="D27" s="337"/>
      <c r="E27" s="100"/>
      <c r="F27" s="100"/>
      <c r="R27" s="145" t="s">
        <v>266</v>
      </c>
      <c r="S27" s="145" t="s">
        <v>351</v>
      </c>
      <c r="T27" s="145" t="s">
        <v>269</v>
      </c>
    </row>
    <row r="28" spans="2:29" ht="14.25" customHeight="1" x14ac:dyDescent="0.3">
      <c r="B28" s="11"/>
      <c r="C28" s="336"/>
      <c r="D28" s="337"/>
      <c r="E28" s="100"/>
      <c r="F28" s="100"/>
      <c r="R28" s="145" t="s">
        <v>275</v>
      </c>
      <c r="S28" s="790">
        <f>$Z$1*$T$1</f>
        <v>16920</v>
      </c>
      <c r="T28" s="792">
        <f>S28</f>
        <v>16920</v>
      </c>
    </row>
    <row r="29" spans="2:29" ht="14.25" customHeight="1" x14ac:dyDescent="0.3">
      <c r="B29" s="11"/>
      <c r="C29" s="336"/>
      <c r="D29" s="337"/>
      <c r="E29" s="100"/>
      <c r="F29" s="100"/>
      <c r="R29" s="145" t="s">
        <v>277</v>
      </c>
      <c r="S29" s="790">
        <f>$AB$1*$T$1</f>
        <v>450</v>
      </c>
      <c r="T29" s="793">
        <f>S29</f>
        <v>450</v>
      </c>
    </row>
    <row r="30" spans="2:29" ht="14.25" customHeight="1" x14ac:dyDescent="0.3">
      <c r="B30" s="11"/>
      <c r="C30" s="336"/>
      <c r="D30" s="337"/>
      <c r="E30" s="100"/>
      <c r="F30" s="100"/>
      <c r="R30" s="145" t="s">
        <v>269</v>
      </c>
      <c r="S30" s="339">
        <f>SUM(S28:S29)</f>
        <v>17370</v>
      </c>
      <c r="T30" s="339">
        <f>S30</f>
        <v>17370</v>
      </c>
    </row>
    <row r="31" spans="2:29" ht="14.25" customHeight="1" x14ac:dyDescent="0.3">
      <c r="B31" s="11"/>
      <c r="C31" s="336"/>
      <c r="D31" s="337"/>
      <c r="E31" s="100"/>
      <c r="F31" s="100"/>
      <c r="R31" s="163" t="s">
        <v>261</v>
      </c>
      <c r="S31" s="298">
        <f>SUM(L6:L10)</f>
        <v>66.351820290748904</v>
      </c>
      <c r="T31" s="298">
        <f>S31</f>
        <v>66.351820290748904</v>
      </c>
    </row>
    <row r="32" spans="2:29" ht="14.25" customHeight="1" x14ac:dyDescent="0.3">
      <c r="B32" s="11"/>
      <c r="C32" s="336"/>
      <c r="D32" s="337"/>
      <c r="E32" s="100"/>
      <c r="F32" s="100"/>
      <c r="N32" s="339"/>
    </row>
    <row r="33" spans="2:6" ht="14.25" customHeight="1" x14ac:dyDescent="0.3">
      <c r="B33" s="11"/>
      <c r="C33" s="336"/>
      <c r="D33" s="337"/>
      <c r="E33" s="100"/>
      <c r="F33" s="100"/>
    </row>
    <row r="34" spans="2:6" ht="14.25" customHeight="1" x14ac:dyDescent="0.3">
      <c r="B34" s="11"/>
      <c r="C34" s="336"/>
      <c r="D34" s="337"/>
      <c r="E34" s="100"/>
      <c r="F34" s="100"/>
    </row>
    <row r="35" spans="2:6" ht="14.25" customHeight="1" x14ac:dyDescent="0.3">
      <c r="B35" s="11"/>
      <c r="C35" s="336"/>
      <c r="D35" s="337"/>
      <c r="E35" s="100"/>
      <c r="F35" s="100"/>
    </row>
    <row r="36" spans="2:6" ht="14.25" customHeight="1" x14ac:dyDescent="0.25">
      <c r="B36" s="100"/>
      <c r="E36" s="100"/>
      <c r="F36" s="100"/>
    </row>
    <row r="37" spans="2:6" ht="18" customHeight="1" x14ac:dyDescent="0.25">
      <c r="B37" s="100"/>
      <c r="E37" s="100"/>
      <c r="F37" s="100"/>
    </row>
    <row r="38" spans="2:6" ht="12.75" customHeight="1" x14ac:dyDescent="0.25"/>
    <row r="44" spans="2:6" ht="14" customHeight="1" x14ac:dyDescent="0.25"/>
    <row r="45" spans="2:6" ht="14" customHeight="1" x14ac:dyDescent="0.25"/>
    <row r="46" spans="2:6" ht="14" customHeight="1" x14ac:dyDescent="0.25"/>
    <row r="47" spans="2:6" ht="14" customHeight="1" x14ac:dyDescent="0.25"/>
    <row r="50" spans="1:8" ht="14" x14ac:dyDescent="0.3">
      <c r="B50" s="226"/>
      <c r="C50" s="226" t="s">
        <v>245</v>
      </c>
      <c r="D50" s="226" t="s">
        <v>291</v>
      </c>
    </row>
    <row r="51" spans="1:8" ht="14" x14ac:dyDescent="0.3">
      <c r="B51" s="180" t="s">
        <v>295</v>
      </c>
      <c r="C51" s="181">
        <f>10/$K$1</f>
        <v>10</v>
      </c>
      <c r="D51" s="182">
        <f>$C$1*10</f>
        <v>10000</v>
      </c>
    </row>
    <row r="52" spans="1:8" ht="14" x14ac:dyDescent="0.3">
      <c r="B52" s="231" t="s">
        <v>269</v>
      </c>
      <c r="C52" s="233">
        <f>I1</f>
        <v>17.37</v>
      </c>
      <c r="D52" s="233">
        <f>E1</f>
        <v>17370</v>
      </c>
    </row>
    <row r="53" spans="1:8" ht="14" x14ac:dyDescent="0.3">
      <c r="B53" s="231" t="s">
        <v>296</v>
      </c>
      <c r="C53" s="234">
        <f>MIN($C$52, $C$51)</f>
        <v>10</v>
      </c>
      <c r="D53" s="233">
        <f>(C53*$K$1)*$C$1</f>
        <v>10000</v>
      </c>
    </row>
    <row r="54" spans="1:8" ht="18" customHeight="1" x14ac:dyDescent="0.3">
      <c r="B54" s="231" t="s">
        <v>297</v>
      </c>
      <c r="C54" s="234">
        <f>MIN(MAX($C$52-C53,0),$C$51)</f>
        <v>7.370000000000001</v>
      </c>
      <c r="D54" s="233">
        <f>(C54*$K$1)*$C$1</f>
        <v>7370.0000000000009</v>
      </c>
    </row>
    <row r="55" spans="1:8" ht="14" x14ac:dyDescent="0.3">
      <c r="B55" s="231" t="s">
        <v>298</v>
      </c>
      <c r="C55" s="234">
        <f>MIN(MAX($C$52-C53-C54,0),$C$51)</f>
        <v>0</v>
      </c>
      <c r="D55" s="233">
        <f>(C55*$K$1)*$C$1</f>
        <v>0</v>
      </c>
    </row>
    <row r="62" spans="1:8" ht="14" x14ac:dyDescent="0.3">
      <c r="A62" s="942"/>
      <c r="B62" s="1382" t="s">
        <v>858</v>
      </c>
      <c r="C62" s="1383"/>
      <c r="D62" s="1383"/>
      <c r="E62" s="1383"/>
      <c r="F62" s="1383"/>
      <c r="G62" s="1383"/>
      <c r="H62" s="1383"/>
    </row>
    <row r="63" spans="1:8" ht="14" x14ac:dyDescent="0.3">
      <c r="A63" s="942"/>
      <c r="B63" s="1384" t="s">
        <v>748</v>
      </c>
      <c r="C63" s="1385"/>
      <c r="D63" s="1385"/>
      <c r="E63" s="1385"/>
      <c r="F63" s="1385"/>
      <c r="G63" s="1385"/>
      <c r="H63" s="1385"/>
    </row>
    <row r="64" spans="1:8" ht="33" customHeight="1" x14ac:dyDescent="0.25">
      <c r="A64" s="91"/>
      <c r="B64" s="243" t="s">
        <v>253</v>
      </c>
      <c r="C64" s="244" t="s">
        <v>254</v>
      </c>
      <c r="D64" s="245" t="s">
        <v>243</v>
      </c>
      <c r="E64" s="218" t="s">
        <v>246</v>
      </c>
      <c r="F64" s="218" t="s">
        <v>255</v>
      </c>
      <c r="G64" s="245" t="s">
        <v>256</v>
      </c>
      <c r="H64" s="218" t="s">
        <v>257</v>
      </c>
    </row>
    <row r="65" spans="1:8" ht="19.5" customHeight="1" x14ac:dyDescent="0.25">
      <c r="A65" s="295" t="s">
        <v>13</v>
      </c>
      <c r="B65" s="323" t="str">
        <f t="shared" ref="B65:D69" si="2">B6</f>
        <v>Potato - بطاطس</v>
      </c>
      <c r="C65" s="323" t="str">
        <f t="shared" si="2"/>
        <v>gm</v>
      </c>
      <c r="D65" s="323">
        <f t="shared" si="2"/>
        <v>1400</v>
      </c>
      <c r="E65" s="116">
        <f>$C$52</f>
        <v>17.37</v>
      </c>
      <c r="F65" s="127">
        <f>F6</f>
        <v>1</v>
      </c>
      <c r="G65" s="119">
        <f>D65*E65</f>
        <v>24318</v>
      </c>
      <c r="H65" s="120">
        <f>G65*F65</f>
        <v>24318</v>
      </c>
    </row>
    <row r="66" spans="1:8" ht="14" x14ac:dyDescent="0.25">
      <c r="A66" s="295" t="s">
        <v>63</v>
      </c>
      <c r="B66" s="323" t="str">
        <f t="shared" si="2"/>
        <v>Paprika Powder - بابريكا مطحون</v>
      </c>
      <c r="C66" s="323" t="str">
        <f t="shared" si="2"/>
        <v>gm</v>
      </c>
      <c r="D66" s="323">
        <f t="shared" si="2"/>
        <v>3</v>
      </c>
      <c r="E66" s="116">
        <f t="shared" ref="E66:E69" si="3">$C$52</f>
        <v>17.37</v>
      </c>
      <c r="F66" s="127">
        <f>F7</f>
        <v>1</v>
      </c>
      <c r="G66" s="119">
        <f>D66*E66</f>
        <v>52.11</v>
      </c>
      <c r="H66" s="120">
        <f>G66*F66</f>
        <v>52.11</v>
      </c>
    </row>
    <row r="67" spans="1:8" ht="14" customHeight="1" x14ac:dyDescent="0.25">
      <c r="A67" s="295" t="s">
        <v>63</v>
      </c>
      <c r="B67" s="323" t="str">
        <f t="shared" si="2"/>
        <v>Salt - ملح</v>
      </c>
      <c r="C67" s="323" t="str">
        <f t="shared" si="2"/>
        <v>gm</v>
      </c>
      <c r="D67" s="323">
        <f t="shared" si="2"/>
        <v>5</v>
      </c>
      <c r="E67" s="116">
        <f t="shared" si="3"/>
        <v>17.37</v>
      </c>
      <c r="F67" s="127">
        <f>F8</f>
        <v>0.75</v>
      </c>
      <c r="G67" s="119">
        <f>D67*E67</f>
        <v>86.850000000000009</v>
      </c>
      <c r="H67" s="120">
        <f>G67*F67</f>
        <v>65.137500000000003</v>
      </c>
    </row>
    <row r="68" spans="1:8" ht="14" customHeight="1" x14ac:dyDescent="0.25">
      <c r="A68" s="295" t="s">
        <v>97</v>
      </c>
      <c r="B68" s="323" t="str">
        <f t="shared" si="2"/>
        <v>Black Pepper Powder - فلفل أسود مطحون</v>
      </c>
      <c r="C68" s="323" t="str">
        <f t="shared" si="2"/>
        <v>gm</v>
      </c>
      <c r="D68" s="323">
        <f t="shared" si="2"/>
        <v>0.5</v>
      </c>
      <c r="E68" s="116">
        <f t="shared" si="3"/>
        <v>17.37</v>
      </c>
      <c r="F68" s="127">
        <f>F9</f>
        <v>0.75</v>
      </c>
      <c r="G68" s="119">
        <f>D68*E68</f>
        <v>8.6850000000000005</v>
      </c>
      <c r="H68" s="120">
        <f>G68*F68</f>
        <v>6.5137499999999999</v>
      </c>
    </row>
    <row r="69" spans="1:8" ht="14.25" customHeight="1" x14ac:dyDescent="0.25">
      <c r="A69" s="295" t="s">
        <v>83</v>
      </c>
      <c r="B69" s="323" t="str">
        <f t="shared" si="2"/>
        <v>Lemon Juice - عصير ليمون</v>
      </c>
      <c r="C69" s="323" t="str">
        <f t="shared" si="2"/>
        <v>ml</v>
      </c>
      <c r="D69" s="323">
        <f t="shared" si="2"/>
        <v>7</v>
      </c>
      <c r="E69" s="116">
        <f t="shared" si="3"/>
        <v>17.37</v>
      </c>
      <c r="F69" s="127">
        <f>F10</f>
        <v>1</v>
      </c>
      <c r="G69" s="119">
        <f>D69*E69</f>
        <v>121.59</v>
      </c>
      <c r="H69" s="120">
        <f>G69*F69</f>
        <v>121.59</v>
      </c>
    </row>
    <row r="70" spans="1:8" ht="18" customHeight="1" x14ac:dyDescent="0.25">
      <c r="B70" s="198" t="s">
        <v>767</v>
      </c>
      <c r="C70" s="100"/>
      <c r="D70" s="100"/>
      <c r="E70" s="100"/>
      <c r="F70" s="100"/>
      <c r="G70" s="100"/>
      <c r="H70" s="100"/>
    </row>
    <row r="71" spans="1:8" ht="24" customHeight="1" x14ac:dyDescent="0.4">
      <c r="B71" s="199">
        <f>D52</f>
        <v>17370</v>
      </c>
      <c r="C71" s="100"/>
      <c r="D71" s="100"/>
      <c r="E71" s="100"/>
      <c r="F71" s="100"/>
      <c r="G71" s="100"/>
    </row>
    <row r="72" spans="1:8" ht="14.25" customHeight="1" x14ac:dyDescent="0.25">
      <c r="B72" s="100"/>
      <c r="C72" s="100"/>
      <c r="D72" s="100"/>
      <c r="E72" s="100"/>
      <c r="F72" s="100"/>
      <c r="G72" s="100"/>
      <c r="H72" s="100"/>
    </row>
    <row r="73" spans="1:8" ht="14.25" customHeight="1" x14ac:dyDescent="0.3">
      <c r="A73" s="1253"/>
      <c r="B73" s="1439"/>
      <c r="C73" s="1440"/>
      <c r="D73" s="1440"/>
      <c r="E73" s="1440"/>
      <c r="F73" s="1440"/>
      <c r="G73" s="1440"/>
      <c r="H73" s="1440"/>
    </row>
    <row r="74" spans="1:8" ht="12.75" customHeight="1" x14ac:dyDescent="0.3">
      <c r="A74" s="1253"/>
      <c r="B74" s="1439"/>
      <c r="C74" s="1440"/>
      <c r="D74" s="1440"/>
      <c r="E74" s="1440"/>
      <c r="F74" s="1440"/>
      <c r="G74" s="1440"/>
      <c r="H74" s="1440"/>
    </row>
    <row r="75" spans="1:8" ht="29.75" customHeight="1" x14ac:dyDescent="0.25">
      <c r="A75" s="1258"/>
      <c r="B75" s="1268"/>
      <c r="C75" s="1269"/>
      <c r="D75" s="1268"/>
      <c r="E75" s="1270"/>
      <c r="F75" s="1270"/>
      <c r="G75" s="1268"/>
      <c r="H75" s="1270"/>
    </row>
    <row r="76" spans="1:8" ht="12.75" customHeight="1" x14ac:dyDescent="0.25">
      <c r="A76" s="881"/>
      <c r="B76" s="1271"/>
      <c r="C76" s="1271"/>
      <c r="D76" s="1271"/>
      <c r="E76" s="1272"/>
      <c r="F76" s="1273"/>
      <c r="G76" s="1274"/>
      <c r="H76" s="1275"/>
    </row>
    <row r="77" spans="1:8" ht="17.75" customHeight="1" x14ac:dyDescent="0.25">
      <c r="A77" s="881"/>
      <c r="B77" s="1271"/>
      <c r="C77" s="1271"/>
      <c r="D77" s="1271"/>
      <c r="E77" s="1272"/>
      <c r="F77" s="1273"/>
      <c r="G77" s="1274"/>
      <c r="H77" s="1275"/>
    </row>
    <row r="78" spans="1:8" ht="18" customHeight="1" x14ac:dyDescent="0.25">
      <c r="A78" s="881"/>
      <c r="B78" s="1271"/>
      <c r="C78" s="1271"/>
      <c r="D78" s="1271"/>
      <c r="E78" s="1272"/>
      <c r="F78" s="1273"/>
      <c r="G78" s="1274"/>
      <c r="H78" s="1275"/>
    </row>
    <row r="79" spans="1:8" ht="14" x14ac:dyDescent="0.25">
      <c r="A79" s="881"/>
      <c r="B79" s="1271"/>
      <c r="C79" s="1271"/>
      <c r="D79" s="1271"/>
      <c r="E79" s="1272"/>
      <c r="F79" s="1273"/>
      <c r="G79" s="1274"/>
      <c r="H79" s="1275"/>
    </row>
    <row r="80" spans="1:8" ht="14" x14ac:dyDescent="0.25">
      <c r="A80" s="881"/>
      <c r="B80" s="1271"/>
      <c r="C80" s="1271"/>
      <c r="D80" s="1271"/>
      <c r="E80" s="1272"/>
      <c r="F80" s="1273"/>
      <c r="G80" s="1274"/>
      <c r="H80" s="1275"/>
    </row>
    <row r="81" spans="1:8" ht="14.25" customHeight="1" x14ac:dyDescent="0.25">
      <c r="A81" s="881"/>
      <c r="B81" s="900"/>
      <c r="C81" s="875"/>
      <c r="D81" s="875"/>
      <c r="E81" s="875"/>
      <c r="F81" s="875"/>
      <c r="G81" s="875"/>
      <c r="H81" s="875"/>
    </row>
    <row r="82" spans="1:8" ht="26" customHeight="1" x14ac:dyDescent="0.4">
      <c r="A82" s="881"/>
      <c r="B82" s="901"/>
      <c r="C82" s="875"/>
      <c r="D82" s="875"/>
      <c r="E82" s="875"/>
      <c r="F82" s="875"/>
      <c r="G82" s="875"/>
      <c r="H82" s="881"/>
    </row>
    <row r="83" spans="1:8" ht="14.25" customHeight="1" x14ac:dyDescent="0.25">
      <c r="A83" s="881"/>
      <c r="B83" s="875"/>
      <c r="C83" s="875"/>
      <c r="D83" s="875"/>
      <c r="E83" s="875"/>
      <c r="F83" s="875"/>
      <c r="G83" s="875"/>
      <c r="H83" s="875"/>
    </row>
    <row r="84" spans="1:8" ht="14.25" customHeight="1" x14ac:dyDescent="0.25">
      <c r="A84" s="881"/>
      <c r="B84" s="875"/>
      <c r="C84" s="875"/>
      <c r="D84" s="875"/>
      <c r="E84" s="875"/>
      <c r="F84" s="875"/>
      <c r="G84" s="875"/>
      <c r="H84" s="875"/>
    </row>
    <row r="85" spans="1:8" ht="14.25" customHeight="1" x14ac:dyDescent="0.3">
      <c r="A85" s="1253"/>
      <c r="B85" s="1439"/>
      <c r="C85" s="1440"/>
      <c r="D85" s="1440"/>
      <c r="E85" s="1440"/>
      <c r="F85" s="1440"/>
      <c r="G85" s="1440"/>
      <c r="H85" s="1440"/>
    </row>
    <row r="86" spans="1:8" ht="14.25" customHeight="1" x14ac:dyDescent="0.3">
      <c r="A86" s="1253"/>
      <c r="B86" s="1439"/>
      <c r="C86" s="1440"/>
      <c r="D86" s="1440"/>
      <c r="E86" s="1440"/>
      <c r="F86" s="1440"/>
      <c r="G86" s="1440"/>
      <c r="H86" s="1440"/>
    </row>
    <row r="87" spans="1:8" ht="33" customHeight="1" x14ac:dyDescent="0.25">
      <c r="A87" s="1258"/>
      <c r="B87" s="1268"/>
      <c r="C87" s="1269"/>
      <c r="D87" s="1268"/>
      <c r="E87" s="1270"/>
      <c r="F87" s="1270"/>
      <c r="G87" s="1268"/>
      <c r="H87" s="1270"/>
    </row>
    <row r="88" spans="1:8" ht="12.75" customHeight="1" x14ac:dyDescent="0.25">
      <c r="A88" s="881"/>
      <c r="B88" s="1271"/>
      <c r="C88" s="1271"/>
      <c r="D88" s="1271"/>
      <c r="E88" s="1272"/>
      <c r="F88" s="1273"/>
      <c r="G88" s="1274"/>
      <c r="H88" s="1275"/>
    </row>
    <row r="89" spans="1:8" ht="12.75" customHeight="1" x14ac:dyDescent="0.25">
      <c r="A89" s="881"/>
      <c r="B89" s="1271"/>
      <c r="C89" s="1271"/>
      <c r="D89" s="1271"/>
      <c r="E89" s="1272"/>
      <c r="F89" s="1273"/>
      <c r="G89" s="1274"/>
      <c r="H89" s="1275"/>
    </row>
    <row r="90" spans="1:8" ht="12.75" customHeight="1" x14ac:dyDescent="0.25">
      <c r="A90" s="881"/>
      <c r="B90" s="1271"/>
      <c r="C90" s="1271"/>
      <c r="D90" s="1271"/>
      <c r="E90" s="1272"/>
      <c r="F90" s="1273"/>
      <c r="G90" s="1274"/>
      <c r="H90" s="1275"/>
    </row>
    <row r="91" spans="1:8" ht="12.75" customHeight="1" x14ac:dyDescent="0.25">
      <c r="A91" s="881"/>
      <c r="B91" s="1271"/>
      <c r="C91" s="1271"/>
      <c r="D91" s="1271"/>
      <c r="E91" s="1272"/>
      <c r="F91" s="1273"/>
      <c r="G91" s="1274"/>
      <c r="H91" s="1275"/>
    </row>
    <row r="92" spans="1:8" ht="17.75" customHeight="1" x14ac:dyDescent="0.25">
      <c r="A92" s="881"/>
      <c r="B92" s="1271"/>
      <c r="C92" s="1271"/>
      <c r="D92" s="1271"/>
      <c r="E92" s="1272"/>
      <c r="F92" s="1273"/>
      <c r="G92" s="1274"/>
      <c r="H92" s="1275"/>
    </row>
    <row r="93" spans="1:8" ht="15.5" x14ac:dyDescent="0.25">
      <c r="A93" s="881"/>
      <c r="B93" s="900"/>
      <c r="C93" s="881"/>
      <c r="D93" s="881"/>
      <c r="E93" s="881"/>
      <c r="F93" s="881"/>
      <c r="G93" s="881"/>
      <c r="H93" s="881"/>
    </row>
    <row r="94" spans="1:8" ht="26.75" customHeight="1" x14ac:dyDescent="0.4">
      <c r="A94" s="881"/>
      <c r="B94" s="901"/>
      <c r="C94" s="881"/>
      <c r="D94" s="881"/>
      <c r="E94" s="881"/>
      <c r="F94" s="881"/>
      <c r="G94" s="881"/>
      <c r="H94" s="881"/>
    </row>
    <row r="95" spans="1:8" ht="42" customHeight="1" x14ac:dyDescent="0.25"/>
    <row r="96" spans="1:8"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10">
    <mergeCell ref="B73:H73"/>
    <mergeCell ref="B74:H74"/>
    <mergeCell ref="B85:H85"/>
    <mergeCell ref="B86:H86"/>
    <mergeCell ref="B2:H3"/>
    <mergeCell ref="AE2:AG3"/>
    <mergeCell ref="R25:T25"/>
    <mergeCell ref="R26:T26"/>
    <mergeCell ref="B62:H62"/>
    <mergeCell ref="B63:H63"/>
  </mergeCells>
  <printOptions horizontalCentered="1"/>
  <pageMargins left="0.5" right="0.5" top="1" bottom="0.5" header="0.3" footer="0.511811023622047"/>
  <pageSetup paperSize="9" scale="35"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FF00"/>
    <pageSetUpPr fitToPage="1"/>
  </sheetPr>
  <dimension ref="A1:AG103"/>
  <sheetViews>
    <sheetView topLeftCell="G1" zoomScale="115" zoomScaleNormal="115" workbookViewId="0">
      <selection activeCell="Q4" sqref="Q4"/>
    </sheetView>
  </sheetViews>
  <sheetFormatPr defaultColWidth="12.5" defaultRowHeight="12.5" x14ac:dyDescent="0.25"/>
  <cols>
    <col min="1" max="1" width="12.5" style="14" customWidth="1"/>
    <col min="2" max="2" width="31.4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7" width="5.5" style="14" customWidth="1"/>
    <col min="18" max="18" width="31.5" style="14" customWidth="1"/>
    <col min="19" max="19" width="16.58203125" style="14" bestFit="1" customWidth="1"/>
    <col min="20" max="27" width="12.5" style="14"/>
    <col min="28" max="28" width="6.75" style="14" customWidth="1"/>
    <col min="29" max="16384" width="12.5" style="14"/>
  </cols>
  <sheetData>
    <row r="1" spans="1:33" ht="28.5" customHeight="1" x14ac:dyDescent="0.25">
      <c r="B1" s="80" t="s">
        <v>243</v>
      </c>
      <c r="C1" s="81">
        <v>1000</v>
      </c>
      <c r="D1" s="82" t="s">
        <v>244</v>
      </c>
      <c r="E1" s="117">
        <f>S30</f>
        <v>26600</v>
      </c>
      <c r="F1" s="80" t="s">
        <v>245</v>
      </c>
      <c r="G1" s="117">
        <f>E1/C1</f>
        <v>26.6</v>
      </c>
      <c r="H1" s="80" t="s">
        <v>246</v>
      </c>
      <c r="I1" s="117">
        <f>G1/K1</f>
        <v>20.645424836601308</v>
      </c>
      <c r="J1" s="326" t="s">
        <v>247</v>
      </c>
      <c r="K1" s="327">
        <f>36720/28500</f>
        <v>1.2884210526315789</v>
      </c>
      <c r="L1" s="100"/>
      <c r="M1" s="100"/>
      <c r="N1" s="100"/>
      <c r="O1" s="100"/>
      <c r="P1" s="100"/>
      <c r="Q1" s="100"/>
      <c r="R1" s="100"/>
      <c r="S1" s="100"/>
      <c r="T1" s="100"/>
      <c r="U1" s="100"/>
      <c r="V1" s="100"/>
      <c r="Y1" s="91" t="s">
        <v>479</v>
      </c>
      <c r="Z1" s="847">
        <v>26100</v>
      </c>
      <c r="AA1" s="91" t="s">
        <v>600</v>
      </c>
      <c r="AB1" s="847">
        <v>500</v>
      </c>
      <c r="AC1" s="91" t="s">
        <v>587</v>
      </c>
      <c r="AD1" s="847">
        <v>178</v>
      </c>
    </row>
    <row r="2" spans="1:33" ht="12.75" customHeight="1" x14ac:dyDescent="0.25">
      <c r="A2" s="330"/>
      <c r="B2" s="1408" t="s">
        <v>35</v>
      </c>
      <c r="C2" s="1429"/>
      <c r="D2" s="1429"/>
      <c r="E2" s="1429"/>
      <c r="F2" s="1429"/>
      <c r="G2" s="1429"/>
      <c r="H2" s="1429"/>
      <c r="I2" s="352"/>
      <c r="J2" s="352"/>
      <c r="K2" s="352"/>
      <c r="L2" s="100"/>
      <c r="M2" s="100"/>
      <c r="N2" s="100"/>
      <c r="O2" s="100"/>
      <c r="P2" s="100"/>
      <c r="Q2" s="100"/>
      <c r="R2" s="100"/>
      <c r="S2" s="100"/>
      <c r="T2" s="100"/>
      <c r="U2" s="100"/>
      <c r="AE2" s="1417"/>
      <c r="AF2" s="1389"/>
      <c r="AG2" s="1389"/>
    </row>
    <row r="3" spans="1:33" ht="12.75" customHeight="1" x14ac:dyDescent="0.25">
      <c r="A3" s="330"/>
      <c r="B3" s="1388"/>
      <c r="C3" s="1388"/>
      <c r="D3" s="1388"/>
      <c r="E3" s="1388"/>
      <c r="F3" s="1388"/>
      <c r="G3" s="1388"/>
      <c r="H3" s="1388"/>
      <c r="I3" s="353"/>
      <c r="J3" s="352"/>
      <c r="K3" s="352"/>
      <c r="L3" s="100"/>
      <c r="M3" s="100"/>
      <c r="N3" s="100"/>
      <c r="O3" s="100"/>
      <c r="P3" s="100"/>
      <c r="Q3" s="100"/>
      <c r="R3" s="100"/>
      <c r="S3" s="100"/>
      <c r="T3" s="100"/>
      <c r="U3" s="100"/>
      <c r="AE3" s="1389"/>
      <c r="AF3" s="1389"/>
      <c r="AG3" s="1389"/>
    </row>
    <row r="4" spans="1:33" ht="68.75" customHeight="1" x14ac:dyDescent="0.25">
      <c r="A4" s="91" t="s">
        <v>1</v>
      </c>
      <c r="B4" s="91" t="s">
        <v>253</v>
      </c>
      <c r="C4" s="107" t="s">
        <v>254</v>
      </c>
      <c r="D4" s="91" t="s">
        <v>243</v>
      </c>
      <c r="E4" s="218" t="s">
        <v>246</v>
      </c>
      <c r="F4" s="108" t="s">
        <v>255</v>
      </c>
      <c r="G4" s="91" t="s">
        <v>256</v>
      </c>
      <c r="H4" s="354" t="s">
        <v>347</v>
      </c>
      <c r="I4" s="91" t="s">
        <v>258</v>
      </c>
      <c r="J4" s="91" t="s">
        <v>259</v>
      </c>
      <c r="K4" s="91" t="s">
        <v>260</v>
      </c>
      <c r="L4" s="91" t="s">
        <v>261</v>
      </c>
      <c r="M4" s="100"/>
      <c r="N4" s="100"/>
      <c r="O4" s="100"/>
      <c r="P4" s="100"/>
      <c r="Q4" s="100"/>
      <c r="R4" s="100"/>
    </row>
    <row r="5" spans="1:33" ht="14.25" customHeight="1" x14ac:dyDescent="0.25">
      <c r="A5" s="219"/>
      <c r="B5" s="654"/>
      <c r="C5" s="655"/>
      <c r="D5" s="219"/>
      <c r="E5" s="656"/>
      <c r="F5" s="219"/>
      <c r="G5" s="219"/>
      <c r="H5" s="657"/>
      <c r="I5" s="81"/>
      <c r="J5" s="119"/>
      <c r="K5" s="122"/>
      <c r="L5" s="122"/>
    </row>
    <row r="6" spans="1:33" ht="14.25" customHeight="1" x14ac:dyDescent="0.25">
      <c r="A6" s="295" t="s">
        <v>13</v>
      </c>
      <c r="B6" s="22" t="s">
        <v>21</v>
      </c>
      <c r="C6" s="124" t="s">
        <v>14</v>
      </c>
      <c r="D6" s="116">
        <v>1400</v>
      </c>
      <c r="E6" s="116">
        <f t="shared" ref="E6:E13" si="0">$I$1</f>
        <v>20.645424836601308</v>
      </c>
      <c r="F6" s="127">
        <v>1</v>
      </c>
      <c r="G6" s="119">
        <f t="shared" ref="G6:G13" si="1">D6*E6</f>
        <v>28903.594771241831</v>
      </c>
      <c r="H6" s="1219">
        <f t="shared" ref="H6:H13" si="2">G6*F6</f>
        <v>28903.594771241831</v>
      </c>
      <c r="I6" s="81">
        <f>VLOOKUP(B6,All_Ingredients!$A$1:$F$151,6,FALSE())</f>
        <v>0.9</v>
      </c>
      <c r="J6" s="119">
        <f>VLOOKUP(B6,All_Ingredients!$A$1:$J$151,10,FALSE())</f>
        <v>2.2999999999999998</v>
      </c>
      <c r="K6" s="122">
        <f t="shared" ref="K6" si="3">(H6/I6)/1000</f>
        <v>32.115105301379813</v>
      </c>
      <c r="L6" s="122">
        <f t="shared" ref="L6" si="4">K6*J6</f>
        <v>73.864742193173569</v>
      </c>
    </row>
    <row r="7" spans="1:33" ht="14.25" customHeight="1" x14ac:dyDescent="0.25">
      <c r="A7" s="295" t="s">
        <v>63</v>
      </c>
      <c r="B7" s="22" t="s">
        <v>794</v>
      </c>
      <c r="C7" s="124" t="s">
        <v>14</v>
      </c>
      <c r="D7" s="116">
        <v>1</v>
      </c>
      <c r="E7" s="116">
        <f t="shared" si="0"/>
        <v>20.645424836601308</v>
      </c>
      <c r="F7" s="127">
        <v>1</v>
      </c>
      <c r="G7" s="119">
        <f t="shared" si="1"/>
        <v>20.645424836601308</v>
      </c>
      <c r="H7" s="355">
        <f t="shared" si="2"/>
        <v>20.645424836601308</v>
      </c>
      <c r="I7" s="81">
        <f>VLOOKUP(B7,All_Ingredients!$A$1:$F$151,6,FALSE())</f>
        <v>0.5</v>
      </c>
      <c r="J7" s="119">
        <f>VLOOKUP(B7,All_Ingredients!$A$1:$J$151,10,FALSE())</f>
        <v>90</v>
      </c>
      <c r="K7" s="122">
        <f t="shared" ref="K7:K13" si="5">(H7/I7)/1000</f>
        <v>4.1290849673202616E-2</v>
      </c>
      <c r="L7" s="122">
        <f t="shared" ref="L7:L13" si="6">K7*J7</f>
        <v>3.7161764705882354</v>
      </c>
    </row>
    <row r="8" spans="1:33" ht="14.25" customHeight="1" x14ac:dyDescent="0.25">
      <c r="A8" s="295" t="s">
        <v>63</v>
      </c>
      <c r="B8" s="22" t="s">
        <v>822</v>
      </c>
      <c r="C8" s="124" t="s">
        <v>14</v>
      </c>
      <c r="D8" s="116">
        <v>1</v>
      </c>
      <c r="E8" s="116">
        <f t="shared" si="0"/>
        <v>20.645424836601308</v>
      </c>
      <c r="F8" s="127">
        <v>1</v>
      </c>
      <c r="G8" s="119">
        <f t="shared" si="1"/>
        <v>20.645424836601308</v>
      </c>
      <c r="H8" s="355">
        <f t="shared" si="2"/>
        <v>20.645424836601308</v>
      </c>
      <c r="I8" s="81">
        <f>VLOOKUP(B8,All_Ingredients!$A$1:$F$151,6,FALSE())</f>
        <v>0.74</v>
      </c>
      <c r="J8" s="119">
        <f>VLOOKUP(B8,All_Ingredients!$A$1:$J$151,10,FALSE())</f>
        <v>100</v>
      </c>
      <c r="K8" s="122">
        <f t="shared" si="5"/>
        <v>2.789922275216393E-2</v>
      </c>
      <c r="L8" s="122">
        <f t="shared" si="6"/>
        <v>2.789922275216393</v>
      </c>
    </row>
    <row r="9" spans="1:33" ht="14.25" customHeight="1" x14ac:dyDescent="0.25">
      <c r="A9" s="295" t="s">
        <v>97</v>
      </c>
      <c r="B9" s="22" t="s">
        <v>146</v>
      </c>
      <c r="C9" s="124" t="s">
        <v>14</v>
      </c>
      <c r="D9" s="116">
        <v>1</v>
      </c>
      <c r="E9" s="116">
        <f t="shared" si="0"/>
        <v>20.645424836601308</v>
      </c>
      <c r="F9" s="127">
        <v>1</v>
      </c>
      <c r="G9" s="119">
        <f t="shared" si="1"/>
        <v>20.645424836601308</v>
      </c>
      <c r="H9" s="355">
        <f t="shared" si="2"/>
        <v>20.645424836601308</v>
      </c>
      <c r="I9" s="81">
        <f>VLOOKUP(B9,All_Ingredients!$A$1:$F$151,6,FALSE())</f>
        <v>1</v>
      </c>
      <c r="J9" s="119">
        <f>VLOOKUP(B9,All_Ingredients!$A$1:$J$151,10,FALSE())</f>
        <v>249.99999999999997</v>
      </c>
      <c r="K9" s="122">
        <f t="shared" si="5"/>
        <v>2.0645424836601308E-2</v>
      </c>
      <c r="L9" s="122">
        <f t="shared" si="6"/>
        <v>5.161356209150326</v>
      </c>
    </row>
    <row r="10" spans="1:33" ht="14.25" customHeight="1" x14ac:dyDescent="0.25">
      <c r="A10" s="295" t="s">
        <v>83</v>
      </c>
      <c r="B10" s="22" t="s">
        <v>85</v>
      </c>
      <c r="C10" s="124" t="s">
        <v>14</v>
      </c>
      <c r="D10" s="116">
        <v>1</v>
      </c>
      <c r="E10" s="116">
        <f t="shared" si="0"/>
        <v>20.645424836601308</v>
      </c>
      <c r="F10" s="127">
        <v>1</v>
      </c>
      <c r="G10" s="119">
        <f t="shared" si="1"/>
        <v>20.645424836601308</v>
      </c>
      <c r="H10" s="355">
        <f t="shared" si="2"/>
        <v>20.645424836601308</v>
      </c>
      <c r="I10" s="81">
        <f>VLOOKUP(B10,All_Ingredients!$A$1:$F$151,6,FALSE())</f>
        <v>1</v>
      </c>
      <c r="J10" s="119">
        <f>VLOOKUP(B10,All_Ingredients!$A$1:$J$151,10,FALSE())</f>
        <v>147.88732394366198</v>
      </c>
      <c r="K10" s="122">
        <f t="shared" si="5"/>
        <v>2.0645424836601308E-2</v>
      </c>
      <c r="L10" s="122">
        <f t="shared" si="6"/>
        <v>3.0531966307649823</v>
      </c>
    </row>
    <row r="11" spans="1:33" ht="14.25" customHeight="1" x14ac:dyDescent="0.25">
      <c r="A11" s="295" t="s">
        <v>97</v>
      </c>
      <c r="B11" s="22" t="s">
        <v>96</v>
      </c>
      <c r="C11" s="124" t="s">
        <v>14</v>
      </c>
      <c r="D11" s="116">
        <v>2</v>
      </c>
      <c r="E11" s="116">
        <f t="shared" si="0"/>
        <v>20.645424836601308</v>
      </c>
      <c r="F11" s="127">
        <v>0.75</v>
      </c>
      <c r="G11" s="119">
        <f t="shared" si="1"/>
        <v>41.290849673202615</v>
      </c>
      <c r="H11" s="355">
        <f t="shared" si="2"/>
        <v>30.968137254901961</v>
      </c>
      <c r="I11" s="81">
        <f>VLOOKUP(B11,All_Ingredients!$A$1:$F$151,6,FALSE())</f>
        <v>1</v>
      </c>
      <c r="J11" s="119">
        <f>VLOOKUP(B11,All_Ingredients!$A$1:$J$151,10,FALSE())</f>
        <v>0.74</v>
      </c>
      <c r="K11" s="122">
        <f t="shared" si="5"/>
        <v>3.096813725490196E-2</v>
      </c>
      <c r="L11" s="122">
        <f t="shared" si="6"/>
        <v>2.291642156862745E-2</v>
      </c>
    </row>
    <row r="12" spans="1:33" ht="14.25" customHeight="1" x14ac:dyDescent="0.25">
      <c r="A12" s="295" t="s">
        <v>97</v>
      </c>
      <c r="B12" s="22" t="s">
        <v>102</v>
      </c>
      <c r="C12" s="124" t="s">
        <v>14</v>
      </c>
      <c r="D12" s="223">
        <v>0.5</v>
      </c>
      <c r="E12" s="116">
        <f t="shared" si="0"/>
        <v>20.645424836601308</v>
      </c>
      <c r="F12" s="127">
        <v>0.75</v>
      </c>
      <c r="G12" s="119">
        <f t="shared" si="1"/>
        <v>10.322712418300654</v>
      </c>
      <c r="H12" s="355">
        <f t="shared" si="2"/>
        <v>7.7420343137254903</v>
      </c>
      <c r="I12" s="81">
        <f>VLOOKUP(B12,All_Ingredients!$A$1:$F$151,6,FALSE())</f>
        <v>1</v>
      </c>
      <c r="J12" s="119">
        <f>VLOOKUP(B12,All_Ingredients!$A$1:$J$151,10,FALSE())</f>
        <v>31</v>
      </c>
      <c r="K12" s="122">
        <f t="shared" si="5"/>
        <v>7.7420343137254901E-3</v>
      </c>
      <c r="L12" s="122">
        <f t="shared" si="6"/>
        <v>0.24000306372549018</v>
      </c>
    </row>
    <row r="13" spans="1:33" ht="14.25" customHeight="1" x14ac:dyDescent="0.25">
      <c r="A13" s="295" t="s">
        <v>210</v>
      </c>
      <c r="B13" s="323" t="s">
        <v>219</v>
      </c>
      <c r="C13" s="124" t="s">
        <v>165</v>
      </c>
      <c r="D13" s="116">
        <v>5</v>
      </c>
      <c r="E13" s="116">
        <f t="shared" si="0"/>
        <v>20.645424836601308</v>
      </c>
      <c r="F13" s="127">
        <v>1</v>
      </c>
      <c r="G13" s="119">
        <f t="shared" si="1"/>
        <v>103.22712418300654</v>
      </c>
      <c r="H13" s="355">
        <f t="shared" si="2"/>
        <v>103.22712418300654</v>
      </c>
      <c r="I13" s="81">
        <f>VLOOKUP(B13,All_Ingredients!$A$1:$F$151,6,FALSE())</f>
        <v>1</v>
      </c>
      <c r="J13" s="119">
        <f>VLOOKUP(B13,All_Ingredients!$A$1:$J$151,10,FALSE())</f>
        <v>5</v>
      </c>
      <c r="K13" s="122">
        <f t="shared" si="5"/>
        <v>0.10322712418300654</v>
      </c>
      <c r="L13" s="122">
        <f t="shared" si="6"/>
        <v>0.51613562091503273</v>
      </c>
    </row>
    <row r="14" spans="1:33" ht="14.25" customHeight="1" x14ac:dyDescent="0.25">
      <c r="B14" s="356"/>
      <c r="C14" s="357"/>
      <c r="D14" s="358"/>
      <c r="E14" s="359"/>
      <c r="F14" s="360"/>
      <c r="G14" s="361"/>
      <c r="H14" s="362"/>
      <c r="I14" s="92"/>
      <c r="J14" s="139"/>
    </row>
    <row r="15" spans="1:33" ht="14.25" customHeight="1" x14ac:dyDescent="0.25">
      <c r="B15" s="349"/>
      <c r="C15" s="133"/>
      <c r="D15" s="254"/>
      <c r="E15" s="225"/>
      <c r="F15" s="136"/>
      <c r="G15" s="140"/>
      <c r="H15" s="138"/>
    </row>
    <row r="16" spans="1:33" ht="14.25" customHeight="1" x14ac:dyDescent="0.25">
      <c r="E16" s="100"/>
      <c r="F16" s="100"/>
    </row>
    <row r="17" spans="2:29" ht="14.25" customHeight="1" x14ac:dyDescent="0.25">
      <c r="E17" s="100"/>
      <c r="F17" s="100"/>
    </row>
    <row r="18" spans="2:29" ht="14.25" customHeight="1" x14ac:dyDescent="0.25">
      <c r="E18" s="100"/>
      <c r="F18" s="100"/>
    </row>
    <row r="19" spans="2:29" ht="14.25" customHeight="1" x14ac:dyDescent="0.25">
      <c r="E19" s="100"/>
      <c r="F19" s="100"/>
    </row>
    <row r="20" spans="2:29" ht="14.25" customHeight="1" x14ac:dyDescent="0.25">
      <c r="E20" s="100"/>
      <c r="F20" s="100"/>
      <c r="N20" s="363"/>
    </row>
    <row r="21" spans="2:29" ht="14.25" customHeight="1" x14ac:dyDescent="0.25">
      <c r="E21" s="100"/>
      <c r="F21" s="100"/>
    </row>
    <row r="22" spans="2:29" ht="14.25" customHeight="1" x14ac:dyDescent="0.3">
      <c r="B22" s="11"/>
      <c r="C22" s="336"/>
      <c r="D22" s="337"/>
      <c r="E22" s="100"/>
      <c r="F22" s="100"/>
    </row>
    <row r="23" spans="2:29" ht="18" customHeight="1" x14ac:dyDescent="0.3">
      <c r="B23" s="11"/>
      <c r="C23" s="336"/>
      <c r="D23" s="337"/>
      <c r="E23" s="100"/>
      <c r="F23" s="100"/>
      <c r="Z23" s="1234"/>
    </row>
    <row r="24" spans="2:29" ht="14.25" customHeight="1" x14ac:dyDescent="0.3">
      <c r="B24" s="11"/>
      <c r="C24" s="336"/>
      <c r="D24" s="337"/>
      <c r="E24" s="100"/>
      <c r="F24" s="100"/>
      <c r="Z24" s="141" t="s">
        <v>14</v>
      </c>
      <c r="AA24" s="142">
        <v>150</v>
      </c>
      <c r="AB24" s="141" t="s">
        <v>261</v>
      </c>
      <c r="AC24" s="143">
        <f>(S31/S30)*AA24</f>
        <v>0.5039348621340376</v>
      </c>
    </row>
    <row r="25" spans="2:29" ht="14.25" customHeight="1" x14ac:dyDescent="0.3">
      <c r="B25" s="364"/>
      <c r="C25" s="336"/>
      <c r="D25" s="337"/>
      <c r="E25" s="100"/>
      <c r="F25" s="100"/>
      <c r="R25" s="1430" t="s">
        <v>349</v>
      </c>
      <c r="S25" s="1388"/>
      <c r="T25" s="1388"/>
    </row>
    <row r="26" spans="2:29" ht="14.25" customHeight="1" x14ac:dyDescent="0.3">
      <c r="B26" s="11"/>
      <c r="C26" s="336"/>
      <c r="D26" s="337"/>
      <c r="E26" s="100"/>
      <c r="F26" s="100"/>
      <c r="N26" s="363"/>
      <c r="R26" s="1438" t="s">
        <v>350</v>
      </c>
      <c r="S26" s="1410"/>
      <c r="T26" s="1410"/>
    </row>
    <row r="27" spans="2:29" ht="14.25" customHeight="1" x14ac:dyDescent="0.3">
      <c r="B27" s="11"/>
      <c r="C27" s="336"/>
      <c r="D27" s="337"/>
      <c r="E27" s="100"/>
      <c r="F27" s="100"/>
      <c r="R27" s="145" t="s">
        <v>266</v>
      </c>
      <c r="S27" s="145" t="s">
        <v>351</v>
      </c>
      <c r="T27" s="145" t="s">
        <v>269</v>
      </c>
    </row>
    <row r="28" spans="2:29" ht="14.25" customHeight="1" x14ac:dyDescent="0.3">
      <c r="B28" s="11"/>
      <c r="C28" s="336"/>
      <c r="D28" s="337"/>
      <c r="E28" s="100"/>
      <c r="F28" s="100"/>
      <c r="R28" s="145" t="s">
        <v>275</v>
      </c>
      <c r="S28" s="790">
        <f>$Z$1</f>
        <v>26100</v>
      </c>
      <c r="T28" s="792">
        <f>S28</f>
        <v>26100</v>
      </c>
    </row>
    <row r="29" spans="2:29" ht="14.25" customHeight="1" x14ac:dyDescent="0.3">
      <c r="B29" s="11"/>
      <c r="C29" s="336"/>
      <c r="D29" s="337"/>
      <c r="E29" s="100"/>
      <c r="F29" s="100"/>
      <c r="R29" s="145" t="s">
        <v>277</v>
      </c>
      <c r="S29" s="790">
        <f>$AB$1</f>
        <v>500</v>
      </c>
      <c r="T29" s="793">
        <f>S29</f>
        <v>500</v>
      </c>
    </row>
    <row r="30" spans="2:29" ht="14.25" customHeight="1" thickBot="1" x14ac:dyDescent="0.35">
      <c r="B30" s="11"/>
      <c r="C30" s="336"/>
      <c r="D30" s="337"/>
      <c r="E30" s="100"/>
      <c r="F30" s="100"/>
      <c r="R30" s="145" t="s">
        <v>269</v>
      </c>
      <c r="S30" s="339">
        <f>SUM(S28:S29)</f>
        <v>26600</v>
      </c>
      <c r="T30" s="339">
        <f>S30</f>
        <v>26600</v>
      </c>
    </row>
    <row r="31" spans="2:29" ht="14.25" customHeight="1" thickBot="1" x14ac:dyDescent="0.35">
      <c r="B31" s="11"/>
      <c r="C31" s="336"/>
      <c r="D31" s="337"/>
      <c r="E31" s="100"/>
      <c r="F31" s="100"/>
      <c r="R31" s="163" t="s">
        <v>261</v>
      </c>
      <c r="S31" s="1144">
        <f>SUM(L6:L13)</f>
        <v>89.364448885102675</v>
      </c>
      <c r="T31" s="1220">
        <f>S31</f>
        <v>89.364448885102675</v>
      </c>
    </row>
    <row r="32" spans="2:29" ht="14.25" customHeight="1" x14ac:dyDescent="0.3">
      <c r="B32" s="11"/>
      <c r="C32" s="336"/>
      <c r="D32" s="337"/>
      <c r="E32" s="100"/>
      <c r="F32" s="100"/>
      <c r="N32" s="339"/>
    </row>
    <row r="33" spans="2:7" ht="14.25" customHeight="1" x14ac:dyDescent="0.3">
      <c r="B33" s="11"/>
      <c r="C33" s="336"/>
      <c r="D33" s="337"/>
      <c r="E33" s="100"/>
      <c r="F33" s="100"/>
    </row>
    <row r="34" spans="2:7" ht="14.25" customHeight="1" x14ac:dyDescent="0.3">
      <c r="B34" s="11"/>
      <c r="C34" s="336"/>
      <c r="D34" s="337"/>
      <c r="E34" s="100"/>
      <c r="F34" s="100"/>
    </row>
    <row r="35" spans="2:7" ht="14.25" customHeight="1" x14ac:dyDescent="0.3">
      <c r="B35" s="11"/>
      <c r="C35" s="336"/>
      <c r="D35" s="337"/>
      <c r="E35" s="100"/>
      <c r="F35" s="100"/>
    </row>
    <row r="36" spans="2:7" ht="14.25" customHeight="1" x14ac:dyDescent="0.3">
      <c r="B36" s="11"/>
      <c r="C36" s="336"/>
      <c r="D36" s="337"/>
      <c r="E36" s="100"/>
      <c r="F36" s="100"/>
    </row>
    <row r="37" spans="2:7" ht="18" customHeight="1" x14ac:dyDescent="0.3">
      <c r="B37" s="11"/>
      <c r="C37" s="336"/>
      <c r="D37" s="337"/>
      <c r="E37" s="100"/>
      <c r="F37" s="100"/>
    </row>
    <row r="38" spans="2:7" ht="12.75" customHeight="1" x14ac:dyDescent="0.25">
      <c r="B38" s="100"/>
      <c r="E38" s="100"/>
      <c r="F38" s="100"/>
    </row>
    <row r="39" spans="2:7" x14ac:dyDescent="0.25">
      <c r="B39" s="100"/>
      <c r="E39" s="100"/>
      <c r="F39" s="100"/>
    </row>
    <row r="44" spans="2:7" ht="14" customHeight="1" x14ac:dyDescent="0.3">
      <c r="G44" s="338"/>
    </row>
    <row r="45" spans="2:7" ht="14" customHeight="1" x14ac:dyDescent="0.25"/>
    <row r="50" spans="1:8" ht="14" x14ac:dyDescent="0.3">
      <c r="B50" s="226"/>
      <c r="C50" s="226" t="s">
        <v>245</v>
      </c>
      <c r="D50" s="226" t="s">
        <v>291</v>
      </c>
    </row>
    <row r="51" spans="1:8" ht="14" x14ac:dyDescent="0.3">
      <c r="B51" s="180" t="s">
        <v>295</v>
      </c>
      <c r="C51" s="181">
        <f>10/$K$1</f>
        <v>7.761437908496732</v>
      </c>
      <c r="D51" s="182">
        <f>$C$1*10</f>
        <v>10000</v>
      </c>
    </row>
    <row r="52" spans="1:8" ht="18" customHeight="1" x14ac:dyDescent="0.3">
      <c r="B52" s="231" t="s">
        <v>269</v>
      </c>
      <c r="C52" s="233">
        <f>I1</f>
        <v>20.645424836601308</v>
      </c>
      <c r="D52" s="233">
        <f>E1</f>
        <v>26600</v>
      </c>
    </row>
    <row r="53" spans="1:8" ht="14" x14ac:dyDescent="0.3">
      <c r="B53" s="231" t="s">
        <v>296</v>
      </c>
      <c r="C53" s="234">
        <f>MIN($C$52, $C$51)</f>
        <v>7.761437908496732</v>
      </c>
      <c r="D53" s="233">
        <f>(C53*$K$1)*$C$1</f>
        <v>10000</v>
      </c>
    </row>
    <row r="54" spans="1:8" ht="14" x14ac:dyDescent="0.3">
      <c r="B54" s="231" t="s">
        <v>297</v>
      </c>
      <c r="C54" s="234">
        <f>MIN(MAX($C$52-C53,0),$C$51)</f>
        <v>7.761437908496732</v>
      </c>
      <c r="D54" s="233">
        <f>(C54*$K$1)*$C$1</f>
        <v>10000</v>
      </c>
    </row>
    <row r="55" spans="1:8" ht="14" x14ac:dyDescent="0.3">
      <c r="B55" s="231" t="s">
        <v>298</v>
      </c>
      <c r="C55" s="234">
        <f>MIN(MAX($C$52-C53-C54,0),$C$51)</f>
        <v>5.1225490196078445</v>
      </c>
      <c r="D55" s="233">
        <f>(C55*$K$1)*$C$1</f>
        <v>6600.0000000000018</v>
      </c>
    </row>
    <row r="62" spans="1:8" ht="18" customHeight="1" x14ac:dyDescent="0.3">
      <c r="A62" s="942"/>
      <c r="B62" s="1382" t="s">
        <v>855</v>
      </c>
      <c r="C62" s="1383"/>
      <c r="D62" s="1383"/>
      <c r="E62" s="1383"/>
      <c r="F62" s="1383"/>
      <c r="G62" s="1383"/>
      <c r="H62" s="1383"/>
    </row>
    <row r="63" spans="1:8" ht="14" x14ac:dyDescent="0.3">
      <c r="A63" s="942"/>
      <c r="B63" s="1384" t="s">
        <v>35</v>
      </c>
      <c r="C63" s="1385"/>
      <c r="D63" s="1385"/>
      <c r="E63" s="1385"/>
      <c r="F63" s="1385"/>
      <c r="G63" s="1385"/>
      <c r="H63" s="1385"/>
    </row>
    <row r="64" spans="1:8" ht="50.75" customHeight="1" x14ac:dyDescent="0.25">
      <c r="A64" s="91"/>
      <c r="B64" s="243" t="s">
        <v>253</v>
      </c>
      <c r="C64" s="244" t="s">
        <v>254</v>
      </c>
      <c r="D64" s="245" t="s">
        <v>243</v>
      </c>
      <c r="E64" s="218" t="s">
        <v>246</v>
      </c>
      <c r="F64" s="218" t="s">
        <v>255</v>
      </c>
      <c r="G64" s="245" t="s">
        <v>256</v>
      </c>
      <c r="H64" s="218" t="s">
        <v>257</v>
      </c>
    </row>
    <row r="65" spans="1:8" ht="14" customHeight="1" x14ac:dyDescent="0.25">
      <c r="A65" s="295" t="s">
        <v>13</v>
      </c>
      <c r="B65" s="323" t="str">
        <f t="shared" ref="B65:D72" si="7">B6</f>
        <v>Potato - بطاطس</v>
      </c>
      <c r="C65" s="124" t="str">
        <f t="shared" si="7"/>
        <v>gm</v>
      </c>
      <c r="D65" s="125">
        <f t="shared" si="7"/>
        <v>1400</v>
      </c>
      <c r="E65" s="116">
        <f>$C$52</f>
        <v>20.645424836601308</v>
      </c>
      <c r="F65" s="127">
        <f t="shared" ref="F65:F72" si="8">F6</f>
        <v>1</v>
      </c>
      <c r="G65" s="119">
        <f t="shared" ref="G65:G72" si="9">D65*E65</f>
        <v>28903.594771241831</v>
      </c>
      <c r="H65" s="120">
        <f t="shared" ref="H65:H72" si="10">G65*F65</f>
        <v>28903.594771241831</v>
      </c>
    </row>
    <row r="66" spans="1:8" ht="14" customHeight="1" x14ac:dyDescent="0.25">
      <c r="A66" s="295" t="s">
        <v>63</v>
      </c>
      <c r="B66" s="323" t="str">
        <f t="shared" si="7"/>
        <v>Fresh Thyme - بذور الزعتر</v>
      </c>
      <c r="C66" s="124" t="str">
        <f t="shared" si="7"/>
        <v>gm</v>
      </c>
      <c r="D66" s="125">
        <f t="shared" si="7"/>
        <v>1</v>
      </c>
      <c r="E66" s="116">
        <f t="shared" ref="E66:E72" si="11">$C$52</f>
        <v>20.645424836601308</v>
      </c>
      <c r="F66" s="127">
        <f t="shared" si="8"/>
        <v>1</v>
      </c>
      <c r="G66" s="119">
        <f t="shared" si="9"/>
        <v>20.645424836601308</v>
      </c>
      <c r="H66" s="120">
        <f t="shared" si="10"/>
        <v>20.645424836601308</v>
      </c>
    </row>
    <row r="67" spans="1:8" ht="14.25" customHeight="1" x14ac:dyDescent="0.25">
      <c r="A67" s="295" t="s">
        <v>63</v>
      </c>
      <c r="B67" s="323" t="str">
        <f t="shared" si="7"/>
        <v>Rosemary - روزميري مستورد</v>
      </c>
      <c r="C67" s="124" t="str">
        <f t="shared" si="7"/>
        <v>gm</v>
      </c>
      <c r="D67" s="125">
        <f t="shared" si="7"/>
        <v>1</v>
      </c>
      <c r="E67" s="116">
        <f t="shared" si="11"/>
        <v>20.645424836601308</v>
      </c>
      <c r="F67" s="127">
        <f t="shared" si="8"/>
        <v>1</v>
      </c>
      <c r="G67" s="119">
        <f t="shared" si="9"/>
        <v>20.645424836601308</v>
      </c>
      <c r="H67" s="120">
        <f t="shared" si="10"/>
        <v>20.645424836601308</v>
      </c>
    </row>
    <row r="68" spans="1:8" ht="18" customHeight="1" x14ac:dyDescent="0.25">
      <c r="A68" s="295" t="s">
        <v>97</v>
      </c>
      <c r="B68" s="323" t="str">
        <f t="shared" si="7"/>
        <v>Italian Seasoning - توابل إيطالية</v>
      </c>
      <c r="C68" s="124" t="str">
        <f t="shared" si="7"/>
        <v>gm</v>
      </c>
      <c r="D68" s="125">
        <f t="shared" si="7"/>
        <v>1</v>
      </c>
      <c r="E68" s="116">
        <f t="shared" si="11"/>
        <v>20.645424836601308</v>
      </c>
      <c r="F68" s="127">
        <f t="shared" si="8"/>
        <v>1</v>
      </c>
      <c r="G68" s="119">
        <f t="shared" si="9"/>
        <v>20.645424836601308</v>
      </c>
      <c r="H68" s="120">
        <f t="shared" si="10"/>
        <v>20.645424836601308</v>
      </c>
    </row>
    <row r="69" spans="1:8" ht="14.25" customHeight="1" x14ac:dyDescent="0.25">
      <c r="A69" s="295" t="s">
        <v>83</v>
      </c>
      <c r="B69" s="323" t="str">
        <f t="shared" si="7"/>
        <v>Dry Oregano - أوريجانو مجفف</v>
      </c>
      <c r="C69" s="124" t="str">
        <f t="shared" si="7"/>
        <v>gm</v>
      </c>
      <c r="D69" s="125">
        <f t="shared" si="7"/>
        <v>1</v>
      </c>
      <c r="E69" s="116">
        <f t="shared" si="11"/>
        <v>20.645424836601308</v>
      </c>
      <c r="F69" s="127">
        <f t="shared" si="8"/>
        <v>1</v>
      </c>
      <c r="G69" s="119">
        <f t="shared" si="9"/>
        <v>20.645424836601308</v>
      </c>
      <c r="H69" s="120">
        <f t="shared" si="10"/>
        <v>20.645424836601308</v>
      </c>
    </row>
    <row r="70" spans="1:8" ht="14.25" customHeight="1" x14ac:dyDescent="0.25">
      <c r="A70" s="295" t="s">
        <v>97</v>
      </c>
      <c r="B70" s="323" t="str">
        <f t="shared" si="7"/>
        <v>Salt - ملح</v>
      </c>
      <c r="C70" s="124" t="str">
        <f t="shared" si="7"/>
        <v>gm</v>
      </c>
      <c r="D70" s="125">
        <f t="shared" si="7"/>
        <v>2</v>
      </c>
      <c r="E70" s="116">
        <f t="shared" si="11"/>
        <v>20.645424836601308</v>
      </c>
      <c r="F70" s="127">
        <f t="shared" si="8"/>
        <v>0.75</v>
      </c>
      <c r="G70" s="119">
        <f t="shared" si="9"/>
        <v>41.290849673202615</v>
      </c>
      <c r="H70" s="120">
        <f t="shared" si="10"/>
        <v>30.968137254901961</v>
      </c>
    </row>
    <row r="71" spans="1:8" ht="14.25" customHeight="1" x14ac:dyDescent="0.25">
      <c r="A71" s="295" t="s">
        <v>97</v>
      </c>
      <c r="B71" s="323" t="str">
        <f t="shared" si="7"/>
        <v>Black Pepper Powder - فلفل أسود مطحون</v>
      </c>
      <c r="C71" s="124" t="str">
        <f t="shared" si="7"/>
        <v>gm</v>
      </c>
      <c r="D71" s="125">
        <f t="shared" si="7"/>
        <v>0.5</v>
      </c>
      <c r="E71" s="116">
        <f t="shared" si="11"/>
        <v>20.645424836601308</v>
      </c>
      <c r="F71" s="127">
        <f t="shared" si="8"/>
        <v>0.75</v>
      </c>
      <c r="G71" s="119">
        <f t="shared" si="9"/>
        <v>10.322712418300654</v>
      </c>
      <c r="H71" s="120">
        <f t="shared" si="10"/>
        <v>7.7420343137254903</v>
      </c>
    </row>
    <row r="72" spans="1:8" ht="12.75" customHeight="1" x14ac:dyDescent="0.25">
      <c r="A72" s="295" t="s">
        <v>210</v>
      </c>
      <c r="B72" s="323" t="str">
        <f t="shared" si="7"/>
        <v>Lemon Juice - عصير ليمون</v>
      </c>
      <c r="C72" s="124" t="str">
        <f t="shared" si="7"/>
        <v>ml</v>
      </c>
      <c r="D72" s="125">
        <f t="shared" si="7"/>
        <v>5</v>
      </c>
      <c r="E72" s="116">
        <f t="shared" si="11"/>
        <v>20.645424836601308</v>
      </c>
      <c r="F72" s="127">
        <f t="shared" si="8"/>
        <v>1</v>
      </c>
      <c r="G72" s="119">
        <f t="shared" si="9"/>
        <v>103.22712418300654</v>
      </c>
      <c r="H72" s="120">
        <f t="shared" si="10"/>
        <v>103.22712418300654</v>
      </c>
    </row>
    <row r="73" spans="1:8" ht="18" customHeight="1" x14ac:dyDescent="0.25">
      <c r="B73" s="198" t="s">
        <v>767</v>
      </c>
      <c r="C73" s="100"/>
      <c r="D73" s="100"/>
      <c r="E73" s="100"/>
      <c r="F73" s="100"/>
      <c r="G73" s="100"/>
      <c r="H73" s="100"/>
    </row>
    <row r="74" spans="1:8" ht="21" customHeight="1" x14ac:dyDescent="0.4">
      <c r="B74" s="199">
        <f>D52</f>
        <v>26600</v>
      </c>
      <c r="C74" s="100"/>
      <c r="D74" s="100"/>
      <c r="E74" s="100"/>
      <c r="F74" s="100"/>
      <c r="G74" s="100"/>
    </row>
    <row r="75" spans="1:8" ht="17.75" customHeight="1" x14ac:dyDescent="0.25">
      <c r="A75" s="881"/>
      <c r="B75" s="875"/>
      <c r="C75" s="875"/>
      <c r="D75" s="875"/>
      <c r="E75" s="875"/>
      <c r="F75" s="875"/>
      <c r="G75" s="875"/>
      <c r="H75" s="875"/>
    </row>
    <row r="76" spans="1:8" ht="18" customHeight="1" x14ac:dyDescent="0.3">
      <c r="A76" s="1253"/>
      <c r="B76" s="1439"/>
      <c r="C76" s="1440"/>
      <c r="D76" s="1440"/>
      <c r="E76" s="1440"/>
      <c r="F76" s="1440"/>
      <c r="G76" s="1440"/>
      <c r="H76" s="1440"/>
    </row>
    <row r="77" spans="1:8" ht="18" x14ac:dyDescent="0.3">
      <c r="A77" s="1253"/>
      <c r="B77" s="1439"/>
      <c r="C77" s="1440"/>
      <c r="D77" s="1440"/>
      <c r="E77" s="1440"/>
      <c r="F77" s="1440"/>
      <c r="G77" s="1440"/>
      <c r="H77" s="1440"/>
    </row>
    <row r="78" spans="1:8" ht="40.5" customHeight="1" x14ac:dyDescent="0.25">
      <c r="A78" s="1258"/>
      <c r="B78" s="1268"/>
      <c r="C78" s="1269"/>
      <c r="D78" s="1268"/>
      <c r="E78" s="1270"/>
      <c r="F78" s="1270"/>
      <c r="G78" s="1268"/>
      <c r="H78" s="1270"/>
    </row>
    <row r="79" spans="1:8" ht="14.25" customHeight="1" x14ac:dyDescent="0.25">
      <c r="A79" s="881"/>
      <c r="B79" s="1271"/>
      <c r="C79" s="1271"/>
      <c r="D79" s="1271"/>
      <c r="E79" s="1272"/>
      <c r="F79" s="1273"/>
      <c r="G79" s="1274"/>
      <c r="H79" s="1275"/>
    </row>
    <row r="80" spans="1:8" ht="14.25" customHeight="1" x14ac:dyDescent="0.25">
      <c r="A80" s="881"/>
      <c r="B80" s="1271"/>
      <c r="C80" s="1271"/>
      <c r="D80" s="1271"/>
      <c r="E80" s="1272"/>
      <c r="F80" s="1273"/>
      <c r="G80" s="1274"/>
      <c r="H80" s="1275"/>
    </row>
    <row r="81" spans="1:8" ht="14.25" customHeight="1" x14ac:dyDescent="0.25">
      <c r="A81" s="881"/>
      <c r="B81" s="1271"/>
      <c r="C81" s="1271"/>
      <c r="D81" s="1271"/>
      <c r="E81" s="1272"/>
      <c r="F81" s="1273"/>
      <c r="G81" s="1274"/>
      <c r="H81" s="1275"/>
    </row>
    <row r="82" spans="1:8" ht="14.25" customHeight="1" x14ac:dyDescent="0.25">
      <c r="A82" s="881"/>
      <c r="B82" s="1271"/>
      <c r="C82" s="1271"/>
      <c r="D82" s="1271"/>
      <c r="E82" s="1272"/>
      <c r="F82" s="1273"/>
      <c r="G82" s="1274"/>
      <c r="H82" s="1275"/>
    </row>
    <row r="83" spans="1:8" ht="14.25" customHeight="1" x14ac:dyDescent="0.25">
      <c r="A83" s="881"/>
      <c r="B83" s="1271"/>
      <c r="C83" s="1271"/>
      <c r="D83" s="1271"/>
      <c r="E83" s="1272"/>
      <c r="F83" s="1273"/>
      <c r="G83" s="1274"/>
      <c r="H83" s="1275"/>
    </row>
    <row r="84" spans="1:8" ht="14.25" customHeight="1" x14ac:dyDescent="0.25">
      <c r="A84" s="881"/>
      <c r="B84" s="1271"/>
      <c r="C84" s="1271"/>
      <c r="D84" s="1271"/>
      <c r="E84" s="1272"/>
      <c r="F84" s="1273"/>
      <c r="G84" s="1274"/>
      <c r="H84" s="1275"/>
    </row>
    <row r="85" spans="1:8" ht="14.25" customHeight="1" x14ac:dyDescent="0.25">
      <c r="A85" s="881"/>
      <c r="B85" s="1271"/>
      <c r="C85" s="1271"/>
      <c r="D85" s="1271"/>
      <c r="E85" s="1272"/>
      <c r="F85" s="1273"/>
      <c r="G85" s="1274"/>
      <c r="H85" s="1275"/>
    </row>
    <row r="86" spans="1:8" ht="12.75" customHeight="1" x14ac:dyDescent="0.25">
      <c r="A86" s="881"/>
      <c r="B86" s="1271"/>
      <c r="C86" s="1271"/>
      <c r="D86" s="1271"/>
      <c r="E86" s="1272"/>
      <c r="F86" s="1273"/>
      <c r="G86" s="1274"/>
      <c r="H86" s="1275"/>
    </row>
    <row r="87" spans="1:8" ht="16.25" customHeight="1" x14ac:dyDescent="0.25">
      <c r="A87" s="881"/>
      <c r="B87" s="900"/>
      <c r="C87" s="875"/>
      <c r="D87" s="875"/>
      <c r="E87" s="875"/>
      <c r="F87" s="875"/>
      <c r="G87" s="875"/>
      <c r="H87" s="875"/>
    </row>
    <row r="88" spans="1:8" ht="17" customHeight="1" x14ac:dyDescent="0.4">
      <c r="A88" s="881"/>
      <c r="B88" s="901"/>
      <c r="C88" s="875"/>
      <c r="D88" s="875"/>
      <c r="E88" s="875"/>
      <c r="F88" s="875"/>
      <c r="G88" s="875"/>
      <c r="H88" s="881"/>
    </row>
    <row r="89" spans="1:8" ht="12.75" customHeight="1" x14ac:dyDescent="0.25">
      <c r="A89" s="881"/>
      <c r="B89" s="875"/>
      <c r="C89" s="875"/>
      <c r="D89" s="875"/>
      <c r="E89" s="875"/>
      <c r="F89" s="875"/>
      <c r="G89" s="875"/>
      <c r="H89" s="875"/>
    </row>
    <row r="90" spans="1:8" ht="17.75" customHeight="1" x14ac:dyDescent="0.25">
      <c r="A90" s="881"/>
      <c r="B90" s="875"/>
      <c r="C90" s="875"/>
      <c r="D90" s="875"/>
      <c r="E90" s="875"/>
      <c r="F90" s="875"/>
      <c r="G90" s="875"/>
      <c r="H90" s="875"/>
    </row>
    <row r="91" spans="1:8" ht="18" x14ac:dyDescent="0.3">
      <c r="A91" s="1253"/>
      <c r="B91" s="1439"/>
      <c r="C91" s="1440"/>
      <c r="D91" s="1440"/>
      <c r="E91" s="1440"/>
      <c r="F91" s="1440"/>
      <c r="G91" s="1440"/>
      <c r="H91" s="1440"/>
    </row>
    <row r="92" spans="1:8" ht="18" x14ac:dyDescent="0.3">
      <c r="A92" s="1253"/>
      <c r="B92" s="1439"/>
      <c r="C92" s="1440"/>
      <c r="D92" s="1440"/>
      <c r="E92" s="1440"/>
      <c r="F92" s="1440"/>
      <c r="G92" s="1440"/>
      <c r="H92" s="1440"/>
    </row>
    <row r="93" spans="1:8" ht="42" customHeight="1" x14ac:dyDescent="0.25">
      <c r="A93" s="1258"/>
      <c r="B93" s="1268"/>
      <c r="C93" s="1269"/>
      <c r="D93" s="1268"/>
      <c r="E93" s="1270"/>
      <c r="F93" s="1270"/>
      <c r="G93" s="1268"/>
      <c r="H93" s="1270"/>
    </row>
    <row r="94" spans="1:8" ht="14.25" customHeight="1" x14ac:dyDescent="0.25">
      <c r="A94" s="881"/>
      <c r="B94" s="1271"/>
      <c r="C94" s="1271"/>
      <c r="D94" s="1271"/>
      <c r="E94" s="1272"/>
      <c r="F94" s="1273"/>
      <c r="G94" s="1274"/>
      <c r="H94" s="1275"/>
    </row>
    <row r="95" spans="1:8" ht="14.25" customHeight="1" x14ac:dyDescent="0.25">
      <c r="A95" s="881"/>
      <c r="B95" s="1271"/>
      <c r="C95" s="1271"/>
      <c r="D95" s="1271"/>
      <c r="E95" s="1272"/>
      <c r="F95" s="1273"/>
      <c r="G95" s="1274"/>
      <c r="H95" s="1275"/>
    </row>
    <row r="96" spans="1:8" ht="14.25" customHeight="1" x14ac:dyDescent="0.25">
      <c r="A96" s="881"/>
      <c r="B96" s="1271"/>
      <c r="C96" s="1271"/>
      <c r="D96" s="1271"/>
      <c r="E96" s="1272"/>
      <c r="F96" s="1273"/>
      <c r="G96" s="1274"/>
      <c r="H96" s="1275"/>
    </row>
    <row r="97" spans="1:8" ht="14.25" customHeight="1" x14ac:dyDescent="0.25">
      <c r="A97" s="881"/>
      <c r="B97" s="1271"/>
      <c r="C97" s="1271"/>
      <c r="D97" s="1271"/>
      <c r="E97" s="1272"/>
      <c r="F97" s="1273"/>
      <c r="G97" s="1274"/>
      <c r="H97" s="1275"/>
    </row>
    <row r="98" spans="1:8" ht="14.25" customHeight="1" x14ac:dyDescent="0.25">
      <c r="A98" s="881"/>
      <c r="B98" s="1271"/>
      <c r="C98" s="1271"/>
      <c r="D98" s="1271"/>
      <c r="E98" s="1272"/>
      <c r="F98" s="1273"/>
      <c r="G98" s="1274"/>
      <c r="H98" s="1275"/>
    </row>
    <row r="99" spans="1:8" ht="14.25" customHeight="1" x14ac:dyDescent="0.25">
      <c r="A99" s="881"/>
      <c r="B99" s="1271"/>
      <c r="C99" s="1271"/>
      <c r="D99" s="1271"/>
      <c r="E99" s="1272"/>
      <c r="F99" s="1273"/>
      <c r="G99" s="1274"/>
      <c r="H99" s="1275"/>
    </row>
    <row r="100" spans="1:8" ht="14.25" customHeight="1" x14ac:dyDescent="0.25">
      <c r="A100" s="881"/>
      <c r="B100" s="1271"/>
      <c r="C100" s="1271"/>
      <c r="D100" s="1271"/>
      <c r="E100" s="1272"/>
      <c r="F100" s="1273"/>
      <c r="G100" s="1274"/>
      <c r="H100" s="1275"/>
    </row>
    <row r="101" spans="1:8" ht="14" x14ac:dyDescent="0.25">
      <c r="A101" s="881"/>
      <c r="B101" s="1271"/>
      <c r="C101" s="1271"/>
      <c r="D101" s="1271"/>
      <c r="E101" s="1272"/>
      <c r="F101" s="1273"/>
      <c r="G101" s="1274"/>
      <c r="H101" s="1275"/>
    </row>
    <row r="102" spans="1:8" ht="21.5" customHeight="1" x14ac:dyDescent="0.25">
      <c r="A102" s="881"/>
      <c r="B102" s="900"/>
      <c r="C102" s="881"/>
      <c r="D102" s="881"/>
      <c r="E102" s="881"/>
      <c r="F102" s="881"/>
      <c r="G102" s="881"/>
      <c r="H102" s="881"/>
    </row>
    <row r="103" spans="1:8" ht="20" x14ac:dyDescent="0.4">
      <c r="A103" s="881"/>
      <c r="B103" s="901"/>
      <c r="C103" s="881"/>
      <c r="D103" s="881"/>
      <c r="E103" s="881"/>
      <c r="F103" s="881"/>
      <c r="G103" s="881"/>
      <c r="H103" s="881"/>
    </row>
  </sheetData>
  <mergeCells count="10">
    <mergeCell ref="AE2:AG3"/>
    <mergeCell ref="B91:H91"/>
    <mergeCell ref="B92:H92"/>
    <mergeCell ref="B77:H77"/>
    <mergeCell ref="B62:H62"/>
    <mergeCell ref="R26:T26"/>
    <mergeCell ref="B2:H3"/>
    <mergeCell ref="R25:T25"/>
    <mergeCell ref="B76:H76"/>
    <mergeCell ref="B63:H63"/>
  </mergeCells>
  <printOptions horizontalCentered="1"/>
  <pageMargins left="0.5" right="0.5" top="1" bottom="0.5" header="0.3" footer="0.511811023622047"/>
  <pageSetup paperSize="9" scale="33"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4B47F-D714-41FE-BE41-B4CF3CBD53F0}">
  <sheetPr codeName="Sheet83">
    <tabColor rgb="FFFFFF00"/>
    <outlinePr summaryBelow="0" summaryRight="0"/>
    <pageSetUpPr fitToPage="1"/>
  </sheetPr>
  <dimension ref="A1:AD963"/>
  <sheetViews>
    <sheetView topLeftCell="G1" zoomScale="85" zoomScaleNormal="85" workbookViewId="0">
      <selection activeCell="F20" sqref="F16:O20"/>
    </sheetView>
  </sheetViews>
  <sheetFormatPr defaultColWidth="12.5" defaultRowHeight="13" x14ac:dyDescent="0.3"/>
  <cols>
    <col min="1" max="1" width="12.5" style="667"/>
    <col min="2" max="2" width="31.33203125" style="667" bestFit="1" customWidth="1"/>
    <col min="3" max="3" width="24" style="667" customWidth="1"/>
    <col min="4" max="4" width="19" style="667" customWidth="1"/>
    <col min="5" max="5" width="16.1640625" style="667" bestFit="1" customWidth="1"/>
    <col min="6" max="6" width="23" style="667" customWidth="1"/>
    <col min="7" max="7" width="25.1640625" style="667" customWidth="1"/>
    <col min="8" max="8" width="36.1640625" style="667" bestFit="1" customWidth="1"/>
    <col min="9" max="10" width="12.5" style="667"/>
    <col min="11" max="11" width="7.08203125" style="667" customWidth="1"/>
    <col min="12" max="12" width="8.33203125" style="667" customWidth="1"/>
    <col min="13" max="13" width="5.75" style="667" customWidth="1"/>
    <col min="14" max="15" width="16.75" style="667" bestFit="1" customWidth="1"/>
    <col min="16" max="27" width="12.5" style="667"/>
    <col min="28" max="28" width="6.75" style="667" customWidth="1"/>
    <col min="29" max="16384" width="12.5" style="667"/>
  </cols>
  <sheetData>
    <row r="1" spans="1:30" ht="28.5" customHeight="1" x14ac:dyDescent="0.3">
      <c r="A1" s="14"/>
      <c r="B1" s="658" t="s">
        <v>243</v>
      </c>
      <c r="C1" s="663">
        <v>1000</v>
      </c>
      <c r="D1" s="664" t="s">
        <v>244</v>
      </c>
      <c r="E1" s="665">
        <f>S29</f>
        <v>40070</v>
      </c>
      <c r="F1" s="658" t="s">
        <v>245</v>
      </c>
      <c r="G1" s="665">
        <f>E1/C1</f>
        <v>40.07</v>
      </c>
      <c r="H1" s="658" t="s">
        <v>246</v>
      </c>
      <c r="I1" s="770">
        <f>G1/K1</f>
        <v>13.356666666666667</v>
      </c>
      <c r="J1" s="771" t="s">
        <v>247</v>
      </c>
      <c r="K1" s="772">
        <v>3</v>
      </c>
      <c r="L1" s="666"/>
      <c r="M1" s="666"/>
      <c r="N1" s="666"/>
      <c r="O1" s="666"/>
      <c r="P1" s="666"/>
      <c r="Q1" s="666"/>
      <c r="R1" s="666"/>
      <c r="S1" s="666"/>
      <c r="T1" s="666"/>
      <c r="U1" s="666"/>
      <c r="V1" s="666"/>
      <c r="Y1" s="91" t="s">
        <v>479</v>
      </c>
      <c r="Z1" s="847">
        <v>40070</v>
      </c>
      <c r="AA1" s="91" t="s">
        <v>600</v>
      </c>
      <c r="AB1" s="847">
        <v>0</v>
      </c>
      <c r="AC1" s="91" t="s">
        <v>587</v>
      </c>
      <c r="AD1" s="847">
        <v>274</v>
      </c>
    </row>
    <row r="2" spans="1:30" ht="12.75" customHeight="1" x14ac:dyDescent="0.3">
      <c r="A2" s="330"/>
      <c r="B2" s="1441" t="s">
        <v>554</v>
      </c>
      <c r="C2" s="1441"/>
      <c r="D2" s="1441"/>
      <c r="E2" s="1441"/>
      <c r="F2" s="1441"/>
      <c r="G2" s="1441"/>
      <c r="H2" s="1441"/>
      <c r="I2" s="773"/>
      <c r="J2" s="773"/>
      <c r="K2" s="773"/>
      <c r="L2" s="666"/>
      <c r="M2" s="666"/>
      <c r="N2" s="666"/>
      <c r="O2" s="666"/>
      <c r="P2" s="666"/>
      <c r="Q2" s="666"/>
      <c r="R2" s="666"/>
      <c r="S2" s="666"/>
      <c r="T2" s="666"/>
      <c r="U2" s="666"/>
    </row>
    <row r="3" spans="1:30" ht="12.75" customHeight="1" x14ac:dyDescent="0.3">
      <c r="A3" s="330"/>
      <c r="B3" s="1442"/>
      <c r="C3" s="1442"/>
      <c r="D3" s="1442"/>
      <c r="E3" s="1442"/>
      <c r="F3" s="1442"/>
      <c r="G3" s="1442"/>
      <c r="H3" s="1442"/>
      <c r="I3" s="773"/>
      <c r="J3" s="773"/>
      <c r="K3" s="773"/>
      <c r="L3" s="666"/>
      <c r="M3" s="666"/>
      <c r="N3" s="666"/>
      <c r="O3" s="666"/>
      <c r="P3" s="666"/>
      <c r="Q3" s="666"/>
      <c r="R3" s="666"/>
      <c r="S3" s="666"/>
      <c r="T3" s="666"/>
      <c r="U3" s="666"/>
    </row>
    <row r="4" spans="1:30" ht="68.75" customHeight="1" x14ac:dyDescent="0.3">
      <c r="A4" s="91" t="s">
        <v>1</v>
      </c>
      <c r="B4" s="668" t="s">
        <v>253</v>
      </c>
      <c r="C4" s="669" t="s">
        <v>254</v>
      </c>
      <c r="D4" s="668" t="s">
        <v>243</v>
      </c>
      <c r="E4" s="670" t="s">
        <v>246</v>
      </c>
      <c r="F4" s="671" t="s">
        <v>255</v>
      </c>
      <c r="G4" s="668" t="s">
        <v>256</v>
      </c>
      <c r="H4" s="768" t="s">
        <v>550</v>
      </c>
      <c r="I4" s="91" t="s">
        <v>258</v>
      </c>
      <c r="J4" s="91" t="s">
        <v>259</v>
      </c>
      <c r="K4" s="91" t="s">
        <v>260</v>
      </c>
      <c r="L4" s="91" t="s">
        <v>261</v>
      </c>
      <c r="M4" s="666"/>
      <c r="N4" s="666"/>
      <c r="O4" s="666"/>
      <c r="P4" s="666"/>
      <c r="Q4" s="666"/>
      <c r="R4" s="666"/>
      <c r="S4" s="666"/>
      <c r="T4" s="666"/>
      <c r="U4" s="666"/>
    </row>
    <row r="5" spans="1:30" x14ac:dyDescent="0.3">
      <c r="A5" s="371"/>
      <c r="B5" s="774"/>
      <c r="C5" s="775"/>
      <c r="D5" s="774"/>
      <c r="E5" s="776"/>
      <c r="F5" s="774"/>
      <c r="G5" s="774"/>
      <c r="H5" s="777"/>
      <c r="I5" s="81"/>
      <c r="J5" s="119"/>
      <c r="K5" s="122"/>
      <c r="L5" s="122"/>
    </row>
    <row r="6" spans="1:30" ht="14.5" x14ac:dyDescent="0.3">
      <c r="B6" s="672" t="s">
        <v>555</v>
      </c>
      <c r="C6" s="673" t="s">
        <v>14</v>
      </c>
      <c r="D6" s="1128">
        <v>330</v>
      </c>
      <c r="E6" s="675">
        <f>$I$1</f>
        <v>13.356666666666667</v>
      </c>
      <c r="F6" s="676">
        <v>1</v>
      </c>
      <c r="G6" s="677">
        <f>D6*E6</f>
        <v>4407.7</v>
      </c>
      <c r="H6" s="769">
        <f>G6*F6</f>
        <v>4407.7</v>
      </c>
      <c r="I6" s="81">
        <f>VLOOKUP(B6,All_Ingredients!$A$1:$F$151,6,FALSE())</f>
        <v>1</v>
      </c>
      <c r="J6" s="119">
        <f>VLOOKUP(B6,All_Ingredients!$A$1:$J$151,10,FALSE())</f>
        <v>9.0740740740740726</v>
      </c>
      <c r="K6" s="122">
        <f t="shared" ref="K6" si="0">(H6/I6)/1000</f>
        <v>4.4077000000000002</v>
      </c>
      <c r="L6" s="122">
        <f t="shared" ref="L6" si="1">K6*J6</f>
        <v>39.995796296296291</v>
      </c>
    </row>
    <row r="7" spans="1:30" ht="14.5" x14ac:dyDescent="0.3">
      <c r="B7" s="672" t="s">
        <v>209</v>
      </c>
      <c r="C7" s="673" t="s">
        <v>211</v>
      </c>
      <c r="D7" s="674">
        <v>8</v>
      </c>
      <c r="E7" s="674">
        <f>$I$1</f>
        <v>13.356666666666667</v>
      </c>
      <c r="F7" s="676">
        <v>1</v>
      </c>
      <c r="G7" s="677">
        <f>D7*E7</f>
        <v>106.85333333333334</v>
      </c>
      <c r="H7" s="769">
        <f>G7*F7</f>
        <v>106.85333333333334</v>
      </c>
      <c r="I7" s="81">
        <f>VLOOKUP(B7,All_Ingredients!$A$1:$F$151,6,FALSE())</f>
        <v>1</v>
      </c>
      <c r="J7" s="119">
        <f>VLOOKUP(B7,All_Ingredients!$A$1:$J$151,10,FALSE())</f>
        <v>0</v>
      </c>
      <c r="K7" s="122">
        <f t="shared" ref="K7:K9" si="2">(H7/I7)/1000</f>
        <v>0.10685333333333334</v>
      </c>
      <c r="L7" s="122">
        <f t="shared" ref="L7:L9" si="3">K7*J7</f>
        <v>0</v>
      </c>
    </row>
    <row r="8" spans="1:30" ht="14.5" x14ac:dyDescent="0.3">
      <c r="B8" s="672" t="s">
        <v>96</v>
      </c>
      <c r="C8" s="673" t="s">
        <v>14</v>
      </c>
      <c r="D8" s="674">
        <v>10</v>
      </c>
      <c r="E8" s="674">
        <f>$I$1</f>
        <v>13.356666666666667</v>
      </c>
      <c r="F8" s="676">
        <v>1</v>
      </c>
      <c r="G8" s="677">
        <f>D8*E8</f>
        <v>133.56666666666666</v>
      </c>
      <c r="H8" s="769">
        <f>G8*F8</f>
        <v>133.56666666666666</v>
      </c>
      <c r="I8" s="81">
        <f>VLOOKUP(B8,All_Ingredients!$A$1:$F$151,6,FALSE())</f>
        <v>1</v>
      </c>
      <c r="J8" s="119">
        <f>VLOOKUP(B8,All_Ingredients!$A$1:$J$151,10,FALSE())</f>
        <v>0.74</v>
      </c>
      <c r="K8" s="122">
        <f t="shared" si="2"/>
        <v>0.13356666666666667</v>
      </c>
      <c r="L8" s="122">
        <f t="shared" si="3"/>
        <v>9.8839333333333335E-2</v>
      </c>
    </row>
    <row r="9" spans="1:30" ht="14.5" x14ac:dyDescent="0.3">
      <c r="B9" s="672" t="s">
        <v>218</v>
      </c>
      <c r="C9" s="673" t="s">
        <v>14</v>
      </c>
      <c r="D9" s="674">
        <v>5</v>
      </c>
      <c r="E9" s="674">
        <f>$I$1</f>
        <v>13.356666666666667</v>
      </c>
      <c r="F9" s="676">
        <v>1</v>
      </c>
      <c r="G9" s="677">
        <f>D9*E9</f>
        <v>66.783333333333331</v>
      </c>
      <c r="H9" s="769">
        <f>G9*F9</f>
        <v>66.783333333333331</v>
      </c>
      <c r="I9" s="81">
        <f>VLOOKUP(B9,All_Ingredients!$A$1:$F$151,6,FALSE())</f>
        <v>1</v>
      </c>
      <c r="J9" s="119">
        <f>VLOOKUP(B9,All_Ingredients!$A$1:$J$151,10,FALSE())</f>
        <v>15.5</v>
      </c>
      <c r="K9" s="122">
        <f t="shared" si="2"/>
        <v>6.6783333333333333E-2</v>
      </c>
      <c r="L9" s="122">
        <f t="shared" si="3"/>
        <v>1.0351416666666666</v>
      </c>
    </row>
    <row r="10" spans="1:30" ht="14.5" x14ac:dyDescent="0.3">
      <c r="B10" s="679"/>
      <c r="C10" s="680"/>
      <c r="D10" s="681"/>
      <c r="E10" s="682"/>
      <c r="F10" s="683"/>
      <c r="G10" s="684"/>
      <c r="H10" s="685"/>
    </row>
    <row r="11" spans="1:30" x14ac:dyDescent="0.3">
      <c r="E11" s="666"/>
      <c r="F11" s="666"/>
      <c r="Q11" s="667">
        <v>3350</v>
      </c>
      <c r="R11" s="667">
        <v>10000</v>
      </c>
    </row>
    <row r="12" spans="1:30" x14ac:dyDescent="0.3">
      <c r="E12" s="666"/>
      <c r="F12" s="666"/>
      <c r="Q12" s="667">
        <v>3350</v>
      </c>
      <c r="R12" s="667">
        <v>10000</v>
      </c>
    </row>
    <row r="13" spans="1:30" x14ac:dyDescent="0.3">
      <c r="E13" s="666"/>
      <c r="F13" s="666"/>
      <c r="Q13" s="667">
        <v>3350</v>
      </c>
      <c r="R13" s="667">
        <v>10000</v>
      </c>
    </row>
    <row r="14" spans="1:30" x14ac:dyDescent="0.3">
      <c r="E14" s="666"/>
      <c r="F14" s="666"/>
      <c r="Q14" s="667">
        <v>1760</v>
      </c>
      <c r="R14" s="667">
        <v>8260</v>
      </c>
    </row>
    <row r="15" spans="1:30" x14ac:dyDescent="0.3">
      <c r="E15" s="666"/>
      <c r="F15" s="666"/>
      <c r="Q15" s="667">
        <f>SUM(Q11:Q14)</f>
        <v>11810</v>
      </c>
      <c r="R15" s="667">
        <f>SUM(R11:R14)</f>
        <v>38260</v>
      </c>
    </row>
    <row r="16" spans="1:30" x14ac:dyDescent="0.3">
      <c r="E16" s="666"/>
      <c r="F16" s="666"/>
    </row>
    <row r="17" spans="2:29" x14ac:dyDescent="0.3">
      <c r="E17" s="666"/>
      <c r="F17" s="666"/>
      <c r="H17" s="1127"/>
    </row>
    <row r="18" spans="2:29" x14ac:dyDescent="0.3">
      <c r="B18" s="666"/>
      <c r="E18" s="666"/>
      <c r="F18" s="666"/>
    </row>
    <row r="23" spans="2:29" x14ac:dyDescent="0.3">
      <c r="Z23" s="1305"/>
    </row>
    <row r="24" spans="2:29" x14ac:dyDescent="0.3">
      <c r="Z24" s="141" t="s">
        <v>14</v>
      </c>
      <c r="AA24" s="142">
        <v>1</v>
      </c>
      <c r="AB24" s="141" t="s">
        <v>261</v>
      </c>
      <c r="AC24" s="143">
        <f>(S30/S29)*AA24</f>
        <v>1.0264481481481479E-3</v>
      </c>
    </row>
    <row r="25" spans="2:29" ht="14" x14ac:dyDescent="0.3">
      <c r="R25" s="1443" t="s">
        <v>556</v>
      </c>
      <c r="S25" s="1443"/>
    </row>
    <row r="26" spans="2:29" ht="14" x14ac:dyDescent="0.3">
      <c r="R26" s="687" t="s">
        <v>266</v>
      </c>
      <c r="S26" s="687" t="s">
        <v>589</v>
      </c>
    </row>
    <row r="27" spans="2:29" ht="14" x14ac:dyDescent="0.3">
      <c r="R27" s="687" t="s">
        <v>549</v>
      </c>
      <c r="S27" s="795">
        <f>$Z$1</f>
        <v>40070</v>
      </c>
    </row>
    <row r="28" spans="2:29" ht="14" x14ac:dyDescent="0.3">
      <c r="R28" s="687" t="s">
        <v>277</v>
      </c>
      <c r="S28" s="794">
        <f>$AB$1</f>
        <v>0</v>
      </c>
    </row>
    <row r="29" spans="2:29" ht="15" thickBot="1" x14ac:dyDescent="0.35">
      <c r="R29" s="687" t="s">
        <v>269</v>
      </c>
      <c r="S29" s="689">
        <f>S27+S28</f>
        <v>40070</v>
      </c>
    </row>
    <row r="30" spans="2:29" ht="13.5" thickBot="1" x14ac:dyDescent="0.35">
      <c r="R30" s="163" t="s">
        <v>261</v>
      </c>
      <c r="S30" s="1144">
        <f>SUM(L5:L9)</f>
        <v>41.12977729629629</v>
      </c>
    </row>
    <row r="32" spans="2:29" x14ac:dyDescent="0.3">
      <c r="U32" s="1130"/>
    </row>
    <row r="34" spans="20:20" x14ac:dyDescent="0.3">
      <c r="T34" s="1129"/>
    </row>
    <row r="35" spans="20:20" ht="14" customHeight="1" x14ac:dyDescent="0.3"/>
    <row r="36" spans="20:20" ht="14" customHeight="1" x14ac:dyDescent="0.3"/>
    <row r="50" spans="1:8" ht="14.5" x14ac:dyDescent="0.35">
      <c r="B50" s="686"/>
      <c r="C50" s="686" t="s">
        <v>245</v>
      </c>
      <c r="D50" s="686" t="s">
        <v>291</v>
      </c>
    </row>
    <row r="51" spans="1:8" ht="14" x14ac:dyDescent="0.3">
      <c r="B51" s="180" t="s">
        <v>295</v>
      </c>
      <c r="C51" s="181">
        <f>10/$K$1</f>
        <v>3.3333333333333335</v>
      </c>
      <c r="D51" s="182">
        <f>$C$1*10</f>
        <v>10000</v>
      </c>
    </row>
    <row r="52" spans="1:8" ht="14.5" x14ac:dyDescent="0.35">
      <c r="B52" s="688" t="s">
        <v>269</v>
      </c>
      <c r="C52" s="659">
        <f>G1</f>
        <v>40.07</v>
      </c>
      <c r="D52" s="659">
        <f>E1</f>
        <v>40070</v>
      </c>
    </row>
    <row r="53" spans="1:8" ht="14.5" x14ac:dyDescent="0.35">
      <c r="B53" s="688" t="s">
        <v>296</v>
      </c>
      <c r="C53" s="660">
        <f>MIN($C$52, $C$51)</f>
        <v>3.3333333333333335</v>
      </c>
      <c r="D53" s="925">
        <f>(C53*$K$1)*$C$1</f>
        <v>10000</v>
      </c>
    </row>
    <row r="54" spans="1:8" ht="14.5" x14ac:dyDescent="0.35">
      <c r="B54" s="688" t="s">
        <v>297</v>
      </c>
      <c r="C54" s="660">
        <f>MIN(MAX($C$52-C53,0),$C$51)</f>
        <v>3.3333333333333335</v>
      </c>
      <c r="D54" s="925">
        <f>(C54*$K$1)*$C$1</f>
        <v>10000</v>
      </c>
    </row>
    <row r="55" spans="1:8" ht="14.5" x14ac:dyDescent="0.35">
      <c r="B55" s="688" t="s">
        <v>298</v>
      </c>
      <c r="C55" s="660">
        <f>MIN(MAX($C$52-C53-C54,0),$C$51)</f>
        <v>3.3333333333333335</v>
      </c>
      <c r="D55" s="925">
        <f>(C55*$K$1)*$C$1</f>
        <v>10000</v>
      </c>
    </row>
    <row r="56" spans="1:8" ht="14.5" x14ac:dyDescent="0.35">
      <c r="B56" s="688" t="s">
        <v>305</v>
      </c>
      <c r="C56" s="660">
        <f>MIN(MAX($C$52-C53-C54-C55,0),$C$51)</f>
        <v>3.3333333333333335</v>
      </c>
      <c r="D56" s="661">
        <f>C56*$K$1</f>
        <v>10</v>
      </c>
    </row>
    <row r="57" spans="1:8" ht="14" customHeight="1" x14ac:dyDescent="0.3"/>
    <row r="58" spans="1:8" ht="14" customHeight="1" x14ac:dyDescent="0.3"/>
    <row r="62" spans="1:8" ht="19.5" customHeight="1" x14ac:dyDescent="0.3">
      <c r="A62" s="942"/>
      <c r="B62" s="1382" t="s">
        <v>844</v>
      </c>
      <c r="C62" s="1383"/>
      <c r="D62" s="1383"/>
      <c r="E62" s="1383"/>
      <c r="F62" s="1383"/>
      <c r="G62" s="1383"/>
      <c r="H62" s="1383"/>
    </row>
    <row r="63" spans="1:8" ht="18" customHeight="1" x14ac:dyDescent="0.3">
      <c r="A63" s="942"/>
      <c r="B63" s="1382" t="s">
        <v>845</v>
      </c>
      <c r="C63" s="1383"/>
      <c r="D63" s="1383"/>
      <c r="E63" s="1383"/>
      <c r="F63" s="1383"/>
      <c r="G63" s="1383"/>
      <c r="H63" s="1383"/>
    </row>
    <row r="64" spans="1:8" ht="26" x14ac:dyDescent="0.3">
      <c r="A64" s="91" t="s">
        <v>1</v>
      </c>
      <c r="B64" s="243" t="s">
        <v>253</v>
      </c>
      <c r="C64" s="244" t="s">
        <v>254</v>
      </c>
      <c r="D64" s="245" t="s">
        <v>243</v>
      </c>
      <c r="E64" s="218" t="s">
        <v>246</v>
      </c>
      <c r="F64" s="218" t="s">
        <v>255</v>
      </c>
      <c r="G64" s="245" t="s">
        <v>256</v>
      </c>
      <c r="H64" s="218" t="s">
        <v>257</v>
      </c>
    </row>
    <row r="65" spans="1:8" ht="14.5" x14ac:dyDescent="0.3">
      <c r="A65" s="935"/>
      <c r="B65" s="672" t="str">
        <f t="shared" ref="B65:D68" si="4">B6</f>
        <v>Pasta Spaghettini  - مكرونة اسباجيتي</v>
      </c>
      <c r="C65" s="673" t="str">
        <f t="shared" si="4"/>
        <v>gm</v>
      </c>
      <c r="D65" s="690">
        <f t="shared" si="4"/>
        <v>330</v>
      </c>
      <c r="E65" s="674">
        <f>$C$52</f>
        <v>40.07</v>
      </c>
      <c r="F65" s="676">
        <f>F6</f>
        <v>1</v>
      </c>
      <c r="G65" s="677">
        <f>D65*E65</f>
        <v>13223.1</v>
      </c>
      <c r="H65" s="678">
        <f>G65*F65</f>
        <v>13223.1</v>
      </c>
    </row>
    <row r="66" spans="1:8" ht="14.5" x14ac:dyDescent="0.3">
      <c r="A66" s="935"/>
      <c r="B66" s="672" t="str">
        <f t="shared" si="4"/>
        <v>Water - ماء</v>
      </c>
      <c r="C66" s="673" t="str">
        <f t="shared" si="4"/>
        <v>L</v>
      </c>
      <c r="D66" s="690">
        <f t="shared" si="4"/>
        <v>8</v>
      </c>
      <c r="E66" s="674">
        <f>$C$52</f>
        <v>40.07</v>
      </c>
      <c r="F66" s="676">
        <f>F7</f>
        <v>1</v>
      </c>
      <c r="G66" s="677">
        <f>D66*E66</f>
        <v>320.56</v>
      </c>
      <c r="H66" s="678">
        <f>G66*F66</f>
        <v>320.56</v>
      </c>
    </row>
    <row r="67" spans="1:8" ht="14.5" x14ac:dyDescent="0.3">
      <c r="A67" s="935"/>
      <c r="B67" s="672" t="str">
        <f t="shared" si="4"/>
        <v>Salt - ملح</v>
      </c>
      <c r="C67" s="673" t="str">
        <f t="shared" si="4"/>
        <v>gm</v>
      </c>
      <c r="D67" s="690">
        <f t="shared" si="4"/>
        <v>10</v>
      </c>
      <c r="E67" s="674">
        <f>$C$52</f>
        <v>40.07</v>
      </c>
      <c r="F67" s="676">
        <f>F8</f>
        <v>1</v>
      </c>
      <c r="G67" s="677">
        <f>D67*E67</f>
        <v>400.7</v>
      </c>
      <c r="H67" s="678">
        <f>G67*F67</f>
        <v>400.7</v>
      </c>
    </row>
    <row r="68" spans="1:8" ht="14.5" x14ac:dyDescent="0.3">
      <c r="A68" s="935"/>
      <c r="B68" s="672" t="str">
        <f t="shared" si="4"/>
        <v>Olive Oil - زيت زيتون</v>
      </c>
      <c r="C68" s="673" t="str">
        <f t="shared" si="4"/>
        <v>gm</v>
      </c>
      <c r="D68" s="690">
        <f t="shared" si="4"/>
        <v>5</v>
      </c>
      <c r="E68" s="674">
        <f>$C$52</f>
        <v>40.07</v>
      </c>
      <c r="F68" s="676">
        <f>F9</f>
        <v>1</v>
      </c>
      <c r="G68" s="677">
        <f>D68*E68</f>
        <v>200.35</v>
      </c>
      <c r="H68" s="678">
        <f>G68*F68</f>
        <v>200.35</v>
      </c>
    </row>
    <row r="69" spans="1:8" ht="18" x14ac:dyDescent="0.3">
      <c r="B69" s="198" t="s">
        <v>766</v>
      </c>
      <c r="C69" s="485"/>
      <c r="D69" s="14"/>
      <c r="E69" s="485"/>
      <c r="F69" s="14"/>
      <c r="G69" s="485"/>
      <c r="H69" s="485"/>
    </row>
    <row r="70" spans="1:8" ht="20" x14ac:dyDescent="0.4">
      <c r="B70" s="199">
        <f>D52</f>
        <v>40070</v>
      </c>
      <c r="C70" s="484"/>
      <c r="D70" s="930"/>
      <c r="E70" s="484"/>
      <c r="F70" s="934"/>
      <c r="G70" s="484"/>
      <c r="H70" s="484"/>
    </row>
    <row r="71" spans="1:8" x14ac:dyDescent="0.3">
      <c r="B71" s="666"/>
      <c r="E71" s="666"/>
      <c r="F71" s="666"/>
    </row>
    <row r="72" spans="1:8" s="1254" customFormat="1" x14ac:dyDescent="0.3">
      <c r="B72" s="1255"/>
      <c r="C72" s="1255"/>
      <c r="D72" s="1255"/>
      <c r="E72" s="1255"/>
      <c r="F72" s="1255"/>
      <c r="G72" s="1255"/>
      <c r="H72" s="1255"/>
    </row>
    <row r="73" spans="1:8" s="1254" customFormat="1" ht="18" x14ac:dyDescent="0.3">
      <c r="A73" s="1253"/>
      <c r="B73" s="1439"/>
      <c r="C73" s="1440"/>
      <c r="D73" s="1440"/>
      <c r="E73" s="1440"/>
      <c r="F73" s="1440"/>
      <c r="G73" s="1440"/>
      <c r="H73" s="1440"/>
    </row>
    <row r="74" spans="1:8" s="1254" customFormat="1" ht="18" x14ac:dyDescent="0.3">
      <c r="A74" s="1253"/>
      <c r="B74" s="1439"/>
      <c r="C74" s="1440"/>
      <c r="D74" s="1440"/>
      <c r="E74" s="1440"/>
      <c r="F74" s="1440"/>
      <c r="G74" s="1440"/>
      <c r="H74" s="1440"/>
    </row>
    <row r="75" spans="1:8" s="1254" customFormat="1" x14ac:dyDescent="0.3">
      <c r="A75" s="1258"/>
      <c r="B75" s="1259"/>
      <c r="C75" s="1260"/>
      <c r="D75" s="1259"/>
      <c r="E75" s="1259"/>
      <c r="F75" s="1259"/>
      <c r="G75" s="1259"/>
      <c r="H75" s="1259"/>
    </row>
    <row r="76" spans="1:8" s="1254" customFormat="1" ht="14.5" x14ac:dyDescent="0.3">
      <c r="B76" s="1261"/>
      <c r="C76" s="1261"/>
      <c r="D76" s="1261"/>
      <c r="E76" s="1262"/>
      <c r="F76" s="1263"/>
      <c r="G76" s="1264"/>
      <c r="H76" s="1265"/>
    </row>
    <row r="77" spans="1:8" s="1254" customFormat="1" ht="14.5" x14ac:dyDescent="0.3">
      <c r="B77" s="1261"/>
      <c r="C77" s="1261"/>
      <c r="D77" s="1261"/>
      <c r="E77" s="1262"/>
      <c r="F77" s="1263"/>
      <c r="G77" s="1264"/>
      <c r="H77" s="1265"/>
    </row>
    <row r="78" spans="1:8" s="1254" customFormat="1" ht="14.5" x14ac:dyDescent="0.3">
      <c r="B78" s="1261"/>
      <c r="C78" s="1261"/>
      <c r="D78" s="1261"/>
      <c r="E78" s="1262"/>
      <c r="F78" s="1263"/>
      <c r="G78" s="1264"/>
      <c r="H78" s="1265"/>
    </row>
    <row r="79" spans="1:8" s="1254" customFormat="1" ht="14.5" x14ac:dyDescent="0.3">
      <c r="B79" s="1261"/>
      <c r="C79" s="1261"/>
      <c r="D79" s="1261"/>
      <c r="E79" s="1262"/>
      <c r="F79" s="1263"/>
      <c r="G79" s="1264"/>
      <c r="H79" s="1265"/>
    </row>
    <row r="80" spans="1:8" s="1254" customFormat="1" ht="15.5" x14ac:dyDescent="0.3">
      <c r="B80" s="900"/>
      <c r="E80" s="1255"/>
      <c r="F80" s="1255"/>
    </row>
    <row r="81" spans="1:8" s="1254" customFormat="1" ht="20" x14ac:dyDescent="0.4">
      <c r="B81" s="901"/>
      <c r="C81" s="1255"/>
      <c r="D81" s="1255"/>
      <c r="E81" s="1255"/>
      <c r="F81" s="1256"/>
    </row>
    <row r="82" spans="1:8" s="1254" customFormat="1" x14ac:dyDescent="0.3">
      <c r="B82" s="1255"/>
      <c r="C82" s="1255"/>
      <c r="D82" s="1255"/>
      <c r="E82" s="1255"/>
      <c r="F82" s="1255"/>
      <c r="G82" s="1255"/>
      <c r="H82" s="1255"/>
    </row>
    <row r="83" spans="1:8" s="1254" customFormat="1" x14ac:dyDescent="0.3">
      <c r="B83" s="1255"/>
      <c r="C83" s="1255"/>
      <c r="D83" s="1255"/>
      <c r="E83" s="1255"/>
      <c r="F83" s="1255"/>
      <c r="G83" s="1255"/>
      <c r="H83" s="1255"/>
    </row>
    <row r="84" spans="1:8" s="1254" customFormat="1" ht="18" x14ac:dyDescent="0.3">
      <c r="A84" s="1253"/>
      <c r="B84" s="1439"/>
      <c r="C84" s="1440"/>
      <c r="D84" s="1440"/>
      <c r="E84" s="1440"/>
      <c r="F84" s="1440"/>
      <c r="G84" s="1440"/>
      <c r="H84" s="1440"/>
    </row>
    <row r="85" spans="1:8" s="1254" customFormat="1" ht="18" x14ac:dyDescent="0.3">
      <c r="A85" s="1253"/>
      <c r="B85" s="1439"/>
      <c r="C85" s="1440"/>
      <c r="D85" s="1440"/>
      <c r="E85" s="1440"/>
      <c r="F85" s="1440"/>
      <c r="G85" s="1440"/>
      <c r="H85" s="1440"/>
    </row>
    <row r="86" spans="1:8" s="1254" customFormat="1" x14ac:dyDescent="0.3">
      <c r="A86" s="1258"/>
      <c r="B86" s="1259"/>
      <c r="C86" s="1260"/>
      <c r="D86" s="1259"/>
      <c r="E86" s="1259"/>
      <c r="F86" s="1259"/>
      <c r="G86" s="1259"/>
      <c r="H86" s="1259"/>
    </row>
    <row r="87" spans="1:8" s="1254" customFormat="1" ht="14.5" x14ac:dyDescent="0.3">
      <c r="B87" s="1261"/>
      <c r="C87" s="1261"/>
      <c r="D87" s="1261"/>
      <c r="E87" s="1266"/>
      <c r="F87" s="1267"/>
      <c r="G87" s="1264"/>
      <c r="H87" s="1265"/>
    </row>
    <row r="88" spans="1:8" s="1254" customFormat="1" ht="14.5" x14ac:dyDescent="0.3">
      <c r="B88" s="1261"/>
      <c r="C88" s="1261"/>
      <c r="D88" s="1261"/>
      <c r="E88" s="1266"/>
      <c r="F88" s="1267"/>
      <c r="G88" s="1264"/>
      <c r="H88" s="1265"/>
    </row>
    <row r="89" spans="1:8" s="1254" customFormat="1" ht="14.5" x14ac:dyDescent="0.3">
      <c r="B89" s="1261"/>
      <c r="C89" s="1261"/>
      <c r="D89" s="1261"/>
      <c r="E89" s="1266"/>
      <c r="F89" s="1267"/>
      <c r="G89" s="1264"/>
      <c r="H89" s="1265"/>
    </row>
    <row r="90" spans="1:8" s="1254" customFormat="1" ht="14.5" x14ac:dyDescent="0.3">
      <c r="B90" s="1261"/>
      <c r="C90" s="1261"/>
      <c r="D90" s="1261"/>
      <c r="E90" s="1266"/>
      <c r="F90" s="1267"/>
      <c r="G90" s="1264"/>
      <c r="H90" s="1265"/>
    </row>
    <row r="91" spans="1:8" s="1254" customFormat="1" ht="15.5" x14ac:dyDescent="0.3">
      <c r="B91" s="900"/>
      <c r="E91" s="1255"/>
      <c r="F91" s="1255"/>
    </row>
    <row r="92" spans="1:8" s="1254" customFormat="1" ht="20" x14ac:dyDescent="0.4">
      <c r="B92" s="901"/>
    </row>
    <row r="93" spans="1:8" s="1254" customFormat="1" ht="20" x14ac:dyDescent="0.4">
      <c r="B93" s="1257"/>
    </row>
    <row r="94" spans="1:8" s="1254" customFormat="1" ht="18" x14ac:dyDescent="0.3">
      <c r="A94" s="1253"/>
      <c r="B94" s="1439"/>
      <c r="C94" s="1440"/>
      <c r="D94" s="1440"/>
      <c r="E94" s="1440"/>
      <c r="F94" s="1440"/>
      <c r="G94" s="1440"/>
      <c r="H94" s="1440"/>
    </row>
    <row r="95" spans="1:8" s="1254" customFormat="1" ht="18" x14ac:dyDescent="0.3">
      <c r="A95" s="1253"/>
      <c r="B95" s="1439"/>
      <c r="C95" s="1440"/>
      <c r="D95" s="1440"/>
      <c r="E95" s="1440"/>
      <c r="F95" s="1440"/>
      <c r="G95" s="1440"/>
      <c r="H95" s="1440"/>
    </row>
    <row r="96" spans="1:8" s="1254" customFormat="1" x14ac:dyDescent="0.3">
      <c r="A96" s="1258"/>
      <c r="B96" s="1259"/>
      <c r="C96" s="1260"/>
      <c r="D96" s="1259"/>
      <c r="E96" s="1259"/>
      <c r="F96" s="1259"/>
      <c r="G96" s="1259"/>
      <c r="H96" s="1259"/>
    </row>
    <row r="97" spans="2:8" s="1254" customFormat="1" ht="14.5" x14ac:dyDescent="0.3">
      <c r="B97" s="1261"/>
      <c r="C97" s="1261"/>
      <c r="D97" s="1261"/>
      <c r="E97" s="1266"/>
      <c r="F97" s="1267"/>
      <c r="G97" s="1264"/>
      <c r="H97" s="1265"/>
    </row>
    <row r="98" spans="2:8" s="1254" customFormat="1" ht="14.5" x14ac:dyDescent="0.3">
      <c r="B98" s="1261"/>
      <c r="C98" s="1261"/>
      <c r="D98" s="1261"/>
      <c r="E98" s="1266"/>
      <c r="F98" s="1267"/>
      <c r="G98" s="1264"/>
      <c r="H98" s="1265"/>
    </row>
    <row r="99" spans="2:8" s="1254" customFormat="1" ht="14.5" x14ac:dyDescent="0.3">
      <c r="B99" s="1261"/>
      <c r="C99" s="1261"/>
      <c r="D99" s="1261"/>
      <c r="E99" s="1266"/>
      <c r="F99" s="1267"/>
      <c r="G99" s="1264"/>
      <c r="H99" s="1265"/>
    </row>
    <row r="100" spans="2:8" s="1254" customFormat="1" ht="14.5" x14ac:dyDescent="0.3">
      <c r="B100" s="1261"/>
      <c r="C100" s="1261"/>
      <c r="D100" s="1261"/>
      <c r="E100" s="1266"/>
      <c r="F100" s="1267"/>
      <c r="G100" s="1264"/>
      <c r="H100" s="1265"/>
    </row>
    <row r="101" spans="2:8" s="1254" customFormat="1" ht="15.5" x14ac:dyDescent="0.3">
      <c r="B101" s="900"/>
      <c r="E101" s="1255"/>
      <c r="F101" s="1255"/>
    </row>
    <row r="102" spans="2:8" s="1254" customFormat="1" ht="20" x14ac:dyDescent="0.4">
      <c r="B102" s="901"/>
      <c r="E102" s="1255"/>
      <c r="F102" s="1255"/>
    </row>
    <row r="103" spans="2:8" s="1254" customFormat="1" x14ac:dyDescent="0.3">
      <c r="B103" s="1255"/>
      <c r="E103" s="1255"/>
      <c r="F103" s="1255"/>
    </row>
    <row r="104" spans="2:8" s="1254" customFormat="1" x14ac:dyDescent="0.3">
      <c r="B104" s="1255"/>
      <c r="E104" s="1255"/>
      <c r="F104" s="1255"/>
    </row>
    <row r="105" spans="2:8" s="1254" customFormat="1" x14ac:dyDescent="0.3">
      <c r="B105" s="1255"/>
      <c r="E105" s="1255"/>
      <c r="F105" s="1255"/>
    </row>
    <row r="106" spans="2:8" s="1254" customFormat="1" x14ac:dyDescent="0.3">
      <c r="B106" s="1255"/>
      <c r="E106" s="1255"/>
      <c r="F106" s="1255"/>
    </row>
    <row r="107" spans="2:8" s="1254" customFormat="1" x14ac:dyDescent="0.3">
      <c r="B107" s="1255"/>
      <c r="E107" s="1255"/>
      <c r="F107" s="1255"/>
    </row>
    <row r="108" spans="2:8" s="1254" customFormat="1" x14ac:dyDescent="0.3">
      <c r="B108" s="1255"/>
      <c r="E108" s="1255"/>
      <c r="F108" s="1255"/>
    </row>
    <row r="109" spans="2:8" s="1254" customFormat="1" x14ac:dyDescent="0.3">
      <c r="B109" s="1255"/>
      <c r="E109" s="1255"/>
      <c r="F109" s="1255"/>
    </row>
    <row r="110" spans="2:8" s="1254" customFormat="1" x14ac:dyDescent="0.3">
      <c r="B110" s="1255"/>
      <c r="E110" s="1255"/>
      <c r="F110" s="1255"/>
    </row>
    <row r="111" spans="2:8" s="1254" customFormat="1" x14ac:dyDescent="0.3">
      <c r="B111" s="1255"/>
      <c r="E111" s="1255"/>
      <c r="F111" s="1255"/>
    </row>
    <row r="112" spans="2:8" s="1254" customFormat="1" x14ac:dyDescent="0.3">
      <c r="B112" s="1255"/>
      <c r="E112" s="1255"/>
      <c r="F112" s="1255"/>
    </row>
    <row r="113" spans="2:6" s="1254" customFormat="1" x14ac:dyDescent="0.3">
      <c r="B113" s="1255"/>
      <c r="E113" s="1255"/>
      <c r="F113" s="1255"/>
    </row>
    <row r="114" spans="2:6" s="1254" customFormat="1" x14ac:dyDescent="0.3">
      <c r="B114" s="1255"/>
      <c r="E114" s="1255"/>
      <c r="F114" s="1255"/>
    </row>
    <row r="115" spans="2:6" s="1254" customFormat="1" x14ac:dyDescent="0.3">
      <c r="B115" s="1255"/>
      <c r="E115" s="1255"/>
      <c r="F115" s="1255"/>
    </row>
    <row r="116" spans="2:6" s="1254" customFormat="1" x14ac:dyDescent="0.3">
      <c r="B116" s="1255"/>
      <c r="E116" s="1255"/>
      <c r="F116" s="1255"/>
    </row>
    <row r="117" spans="2:6" s="1254" customFormat="1" x14ac:dyDescent="0.3">
      <c r="B117" s="1255"/>
      <c r="E117" s="1255"/>
      <c r="F117" s="1255"/>
    </row>
    <row r="118" spans="2:6" s="1254" customFormat="1" x14ac:dyDescent="0.3">
      <c r="B118" s="1255"/>
      <c r="E118" s="1255"/>
      <c r="F118" s="1255"/>
    </row>
    <row r="119" spans="2:6" s="1254" customFormat="1" x14ac:dyDescent="0.3">
      <c r="B119" s="1255"/>
      <c r="E119" s="1255"/>
      <c r="F119" s="1255"/>
    </row>
    <row r="120" spans="2:6" s="1254" customFormat="1" x14ac:dyDescent="0.3">
      <c r="B120" s="1255"/>
      <c r="E120" s="1255"/>
      <c r="F120" s="1255"/>
    </row>
    <row r="121" spans="2:6" s="1254" customFormat="1" x14ac:dyDescent="0.3">
      <c r="B121" s="1255"/>
      <c r="E121" s="1255"/>
      <c r="F121" s="1255"/>
    </row>
    <row r="122" spans="2:6" s="1254" customFormat="1" x14ac:dyDescent="0.3">
      <c r="B122" s="1255"/>
      <c r="E122" s="1255"/>
      <c r="F122" s="1255"/>
    </row>
    <row r="123" spans="2:6" s="1254" customFormat="1" x14ac:dyDescent="0.3">
      <c r="B123" s="1255"/>
      <c r="E123" s="1255"/>
      <c r="F123" s="1255"/>
    </row>
    <row r="124" spans="2:6" s="1254" customFormat="1" x14ac:dyDescent="0.3">
      <c r="B124" s="1255"/>
      <c r="E124" s="1255"/>
      <c r="F124" s="1255"/>
    </row>
    <row r="125" spans="2:6" s="1254" customFormat="1" x14ac:dyDescent="0.3">
      <c r="B125" s="1255"/>
      <c r="E125" s="1255"/>
      <c r="F125" s="1255"/>
    </row>
    <row r="126" spans="2:6" s="1254" customFormat="1" x14ac:dyDescent="0.3">
      <c r="B126" s="1255"/>
      <c r="E126" s="1255"/>
      <c r="F126" s="1255"/>
    </row>
    <row r="127" spans="2:6" s="1254" customFormat="1" x14ac:dyDescent="0.3">
      <c r="B127" s="1255"/>
      <c r="E127" s="1255"/>
      <c r="F127" s="1255"/>
    </row>
    <row r="128" spans="2:6" s="1254" customFormat="1" x14ac:dyDescent="0.3">
      <c r="B128" s="1255"/>
      <c r="E128" s="1255"/>
      <c r="F128" s="1255"/>
    </row>
    <row r="129" spans="2:6" s="1254" customFormat="1" x14ac:dyDescent="0.3">
      <c r="B129" s="1255"/>
      <c r="E129" s="1255"/>
      <c r="F129" s="1255"/>
    </row>
    <row r="130" spans="2:6" s="1254" customFormat="1" x14ac:dyDescent="0.3">
      <c r="B130" s="1255"/>
      <c r="E130" s="1255"/>
      <c r="F130" s="1255"/>
    </row>
    <row r="131" spans="2:6" s="1254" customFormat="1" x14ac:dyDescent="0.3">
      <c r="B131" s="1255"/>
      <c r="E131" s="1255"/>
      <c r="F131" s="1255"/>
    </row>
    <row r="132" spans="2:6" s="1254" customFormat="1" x14ac:dyDescent="0.3">
      <c r="B132" s="1255"/>
      <c r="E132" s="1255"/>
      <c r="F132" s="1255"/>
    </row>
    <row r="133" spans="2:6" s="1254" customFormat="1" x14ac:dyDescent="0.3">
      <c r="B133" s="1255"/>
      <c r="E133" s="1255"/>
      <c r="F133" s="1255"/>
    </row>
    <row r="134" spans="2:6" s="1254" customFormat="1" x14ac:dyDescent="0.3">
      <c r="B134" s="1255"/>
      <c r="E134" s="1255"/>
      <c r="F134" s="1255"/>
    </row>
    <row r="135" spans="2:6" s="1254" customFormat="1" x14ac:dyDescent="0.3">
      <c r="B135" s="1255"/>
      <c r="E135" s="1255"/>
      <c r="F135" s="1255"/>
    </row>
    <row r="136" spans="2:6" s="1254" customFormat="1" x14ac:dyDescent="0.3">
      <c r="B136" s="1255"/>
      <c r="E136" s="1255"/>
      <c r="F136" s="1255"/>
    </row>
    <row r="137" spans="2:6" s="1254" customFormat="1" x14ac:dyDescent="0.3">
      <c r="B137" s="1255"/>
      <c r="E137" s="1255"/>
      <c r="F137" s="1255"/>
    </row>
    <row r="138" spans="2:6" s="1254" customFormat="1" x14ac:dyDescent="0.3">
      <c r="B138" s="1255"/>
      <c r="E138" s="1255"/>
      <c r="F138" s="1255"/>
    </row>
    <row r="139" spans="2:6" s="1254" customFormat="1" x14ac:dyDescent="0.3">
      <c r="B139" s="1255"/>
      <c r="E139" s="1255"/>
      <c r="F139" s="1255"/>
    </row>
    <row r="140" spans="2:6" s="1254" customFormat="1" x14ac:dyDescent="0.3">
      <c r="B140" s="1255"/>
      <c r="E140" s="1255"/>
      <c r="F140" s="1255"/>
    </row>
    <row r="141" spans="2:6" s="1254" customFormat="1" x14ac:dyDescent="0.3">
      <c r="B141" s="1255"/>
      <c r="E141" s="1255"/>
      <c r="F141" s="1255"/>
    </row>
    <row r="142" spans="2:6" s="1254" customFormat="1" x14ac:dyDescent="0.3">
      <c r="B142" s="1255"/>
      <c r="E142" s="1255"/>
      <c r="F142" s="1255"/>
    </row>
    <row r="143" spans="2:6" s="1254" customFormat="1" x14ac:dyDescent="0.3">
      <c r="B143" s="1255"/>
      <c r="E143" s="1255"/>
      <c r="F143" s="1255"/>
    </row>
    <row r="144" spans="2:6" s="1254" customFormat="1" x14ac:dyDescent="0.3">
      <c r="B144" s="1255"/>
      <c r="E144" s="1255"/>
      <c r="F144" s="1255"/>
    </row>
    <row r="145" spans="2:6" s="1254" customFormat="1" x14ac:dyDescent="0.3">
      <c r="B145" s="1255"/>
      <c r="E145" s="1255"/>
      <c r="F145" s="1255"/>
    </row>
    <row r="146" spans="2:6" s="1254" customFormat="1" x14ac:dyDescent="0.3">
      <c r="B146" s="1255"/>
      <c r="E146" s="1255"/>
      <c r="F146" s="1255"/>
    </row>
    <row r="147" spans="2:6" s="1254" customFormat="1" x14ac:dyDescent="0.3">
      <c r="B147" s="1255"/>
      <c r="E147" s="1255"/>
      <c r="F147" s="1255"/>
    </row>
    <row r="148" spans="2:6" s="1254" customFormat="1" x14ac:dyDescent="0.3">
      <c r="B148" s="1255"/>
      <c r="E148" s="1255"/>
      <c r="F148" s="1255"/>
    </row>
    <row r="149" spans="2:6" s="1254" customFormat="1" x14ac:dyDescent="0.3">
      <c r="B149" s="1255"/>
      <c r="E149" s="1255"/>
      <c r="F149" s="1255"/>
    </row>
    <row r="150" spans="2:6" s="1254" customFormat="1" x14ac:dyDescent="0.3">
      <c r="B150" s="1255"/>
      <c r="E150" s="1255"/>
      <c r="F150" s="1255"/>
    </row>
    <row r="151" spans="2:6" s="1254" customFormat="1" x14ac:dyDescent="0.3">
      <c r="B151" s="1255"/>
      <c r="E151" s="1255"/>
      <c r="F151" s="1255"/>
    </row>
    <row r="152" spans="2:6" s="1254" customFormat="1" x14ac:dyDescent="0.3">
      <c r="B152" s="1255"/>
      <c r="E152" s="1255"/>
      <c r="F152" s="1255"/>
    </row>
    <row r="153" spans="2:6" s="1254" customFormat="1" x14ac:dyDescent="0.3">
      <c r="B153" s="1255"/>
      <c r="E153" s="1255"/>
      <c r="F153" s="1255"/>
    </row>
    <row r="154" spans="2:6" s="1254" customFormat="1" x14ac:dyDescent="0.3">
      <c r="B154" s="1255"/>
      <c r="E154" s="1255"/>
      <c r="F154" s="1255"/>
    </row>
    <row r="155" spans="2:6" s="1254" customFormat="1" x14ac:dyDescent="0.3">
      <c r="B155" s="1255"/>
      <c r="E155" s="1255"/>
      <c r="F155" s="1255"/>
    </row>
    <row r="156" spans="2:6" s="1254" customFormat="1" x14ac:dyDescent="0.3">
      <c r="B156" s="1255"/>
      <c r="E156" s="1255"/>
      <c r="F156" s="1255"/>
    </row>
    <row r="157" spans="2:6" s="1254" customFormat="1" x14ac:dyDescent="0.3">
      <c r="B157" s="1255"/>
      <c r="E157" s="1255"/>
      <c r="F157" s="1255"/>
    </row>
    <row r="158" spans="2:6" s="1254" customFormat="1" x14ac:dyDescent="0.3">
      <c r="B158" s="1255"/>
      <c r="E158" s="1255"/>
      <c r="F158" s="1255"/>
    </row>
    <row r="159" spans="2:6" s="1254" customFormat="1" x14ac:dyDescent="0.3">
      <c r="B159" s="1255"/>
      <c r="E159" s="1255"/>
      <c r="F159" s="1255"/>
    </row>
    <row r="160" spans="2:6" s="1254" customFormat="1" x14ac:dyDescent="0.3">
      <c r="B160" s="1255"/>
      <c r="E160" s="1255"/>
      <c r="F160" s="1255"/>
    </row>
    <row r="161" spans="2:6" s="1254" customFormat="1" x14ac:dyDescent="0.3">
      <c r="B161" s="1255"/>
      <c r="E161" s="1255"/>
      <c r="F161" s="1255"/>
    </row>
    <row r="162" spans="2:6" s="1254" customFormat="1" x14ac:dyDescent="0.3">
      <c r="B162" s="1255"/>
      <c r="E162" s="1255"/>
      <c r="F162" s="1255"/>
    </row>
    <row r="163" spans="2:6" s="1254" customFormat="1" x14ac:dyDescent="0.3">
      <c r="B163" s="1255"/>
      <c r="E163" s="1255"/>
      <c r="F163" s="1255"/>
    </row>
    <row r="164" spans="2:6" s="1254" customFormat="1" x14ac:dyDescent="0.3">
      <c r="B164" s="1255"/>
      <c r="E164" s="1255"/>
      <c r="F164" s="1255"/>
    </row>
    <row r="165" spans="2:6" s="1254" customFormat="1" x14ac:dyDescent="0.3">
      <c r="B165" s="1255"/>
      <c r="E165" s="1255"/>
      <c r="F165" s="1255"/>
    </row>
    <row r="166" spans="2:6" s="1254" customFormat="1" x14ac:dyDescent="0.3">
      <c r="B166" s="1255"/>
      <c r="E166" s="1255"/>
      <c r="F166" s="1255"/>
    </row>
    <row r="167" spans="2:6" s="1254" customFormat="1" x14ac:dyDescent="0.3">
      <c r="B167" s="1255"/>
      <c r="E167" s="1255"/>
      <c r="F167" s="1255"/>
    </row>
    <row r="168" spans="2:6" s="1254" customFormat="1" x14ac:dyDescent="0.3">
      <c r="B168" s="1255"/>
      <c r="E168" s="1255"/>
      <c r="F168" s="1255"/>
    </row>
    <row r="169" spans="2:6" s="1254" customFormat="1" x14ac:dyDescent="0.3">
      <c r="B169" s="1255"/>
      <c r="E169" s="1255"/>
      <c r="F169" s="1255"/>
    </row>
    <row r="170" spans="2:6" s="1254" customFormat="1" x14ac:dyDescent="0.3">
      <c r="B170" s="1255"/>
      <c r="E170" s="1255"/>
      <c r="F170" s="1255"/>
    </row>
    <row r="171" spans="2:6" s="1254" customFormat="1" x14ac:dyDescent="0.3">
      <c r="B171" s="1255"/>
      <c r="E171" s="1255"/>
      <c r="F171" s="1255"/>
    </row>
    <row r="172" spans="2:6" s="1254" customFormat="1" x14ac:dyDescent="0.3">
      <c r="B172" s="1255"/>
      <c r="E172" s="1255"/>
      <c r="F172" s="1255"/>
    </row>
    <row r="173" spans="2:6" s="1254" customFormat="1" x14ac:dyDescent="0.3">
      <c r="B173" s="1255"/>
      <c r="E173" s="1255"/>
      <c r="F173" s="1255"/>
    </row>
    <row r="174" spans="2:6" s="1254" customFormat="1" x14ac:dyDescent="0.3">
      <c r="B174" s="1255"/>
      <c r="E174" s="1255"/>
      <c r="F174" s="1255"/>
    </row>
    <row r="175" spans="2:6" s="1254" customFormat="1" x14ac:dyDescent="0.3">
      <c r="B175" s="1255"/>
      <c r="E175" s="1255"/>
      <c r="F175" s="1255"/>
    </row>
    <row r="176" spans="2:6" s="1254" customFormat="1" x14ac:dyDescent="0.3">
      <c r="B176" s="1255"/>
      <c r="E176" s="1255"/>
      <c r="F176" s="1255"/>
    </row>
    <row r="177" spans="2:6" s="1254" customFormat="1" x14ac:dyDescent="0.3">
      <c r="B177" s="1255"/>
      <c r="E177" s="1255"/>
      <c r="F177" s="1255"/>
    </row>
    <row r="178" spans="2:6" s="1254" customFormat="1" x14ac:dyDescent="0.3">
      <c r="B178" s="1255"/>
      <c r="E178" s="1255"/>
      <c r="F178" s="1255"/>
    </row>
    <row r="179" spans="2:6" s="1254" customFormat="1" x14ac:dyDescent="0.3">
      <c r="B179" s="1255"/>
      <c r="E179" s="1255"/>
      <c r="F179" s="1255"/>
    </row>
    <row r="180" spans="2:6" s="1254" customFormat="1" x14ac:dyDescent="0.3">
      <c r="B180" s="1255"/>
      <c r="E180" s="1255"/>
      <c r="F180" s="1255"/>
    </row>
    <row r="181" spans="2:6" s="1254" customFormat="1" x14ac:dyDescent="0.3">
      <c r="B181" s="1255"/>
      <c r="E181" s="1255"/>
      <c r="F181" s="1255"/>
    </row>
    <row r="182" spans="2:6" x14ac:dyDescent="0.3">
      <c r="B182" s="666"/>
      <c r="E182" s="666"/>
      <c r="F182" s="666"/>
    </row>
    <row r="183" spans="2:6" x14ac:dyDescent="0.3">
      <c r="B183" s="666"/>
      <c r="E183" s="666"/>
      <c r="F183" s="666"/>
    </row>
    <row r="184" spans="2:6" x14ac:dyDescent="0.3">
      <c r="B184" s="666"/>
      <c r="E184" s="666"/>
      <c r="F184" s="666"/>
    </row>
    <row r="185" spans="2:6" x14ac:dyDescent="0.3">
      <c r="B185" s="666"/>
      <c r="E185" s="666"/>
      <c r="F185" s="666"/>
    </row>
    <row r="186" spans="2:6" x14ac:dyDescent="0.3">
      <c r="B186" s="666"/>
      <c r="E186" s="666"/>
      <c r="F186" s="666"/>
    </row>
    <row r="187" spans="2:6" x14ac:dyDescent="0.3">
      <c r="B187" s="666"/>
      <c r="E187" s="666"/>
      <c r="F187" s="666"/>
    </row>
    <row r="188" spans="2:6" x14ac:dyDescent="0.3">
      <c r="B188" s="666"/>
      <c r="E188" s="666"/>
      <c r="F188" s="666"/>
    </row>
    <row r="189" spans="2:6" x14ac:dyDescent="0.3">
      <c r="B189" s="666"/>
      <c r="E189" s="666"/>
      <c r="F189" s="666"/>
    </row>
    <row r="190" spans="2:6" x14ac:dyDescent="0.3">
      <c r="B190" s="666"/>
      <c r="E190" s="666"/>
      <c r="F190" s="666"/>
    </row>
    <row r="191" spans="2:6" x14ac:dyDescent="0.3">
      <c r="B191" s="666"/>
      <c r="E191" s="666"/>
      <c r="F191" s="666"/>
    </row>
    <row r="192" spans="2:6" x14ac:dyDescent="0.3">
      <c r="B192" s="666"/>
      <c r="E192" s="666"/>
      <c r="F192" s="666"/>
    </row>
    <row r="193" spans="2:6" x14ac:dyDescent="0.3">
      <c r="B193" s="666"/>
      <c r="E193" s="666"/>
      <c r="F193" s="666"/>
    </row>
    <row r="194" spans="2:6" x14ac:dyDescent="0.3">
      <c r="B194" s="666"/>
      <c r="E194" s="666"/>
      <c r="F194" s="666"/>
    </row>
    <row r="195" spans="2:6" x14ac:dyDescent="0.3">
      <c r="B195" s="666"/>
      <c r="E195" s="666"/>
      <c r="F195" s="666"/>
    </row>
    <row r="196" spans="2:6" x14ac:dyDescent="0.3">
      <c r="B196" s="666"/>
      <c r="E196" s="666"/>
      <c r="F196" s="666"/>
    </row>
    <row r="197" spans="2:6" x14ac:dyDescent="0.3">
      <c r="B197" s="666"/>
      <c r="E197" s="666"/>
      <c r="F197" s="666"/>
    </row>
    <row r="198" spans="2:6" x14ac:dyDescent="0.3">
      <c r="B198" s="666"/>
      <c r="E198" s="666"/>
      <c r="F198" s="666"/>
    </row>
    <row r="199" spans="2:6" x14ac:dyDescent="0.3">
      <c r="B199" s="666"/>
      <c r="E199" s="666"/>
      <c r="F199" s="666"/>
    </row>
    <row r="200" spans="2:6" x14ac:dyDescent="0.3">
      <c r="B200" s="666"/>
      <c r="E200" s="666"/>
      <c r="F200" s="666"/>
    </row>
    <row r="201" spans="2:6" x14ac:dyDescent="0.3">
      <c r="B201" s="666"/>
      <c r="E201" s="666"/>
      <c r="F201" s="666"/>
    </row>
    <row r="202" spans="2:6" x14ac:dyDescent="0.3">
      <c r="B202" s="666"/>
      <c r="E202" s="666"/>
      <c r="F202" s="666"/>
    </row>
    <row r="203" spans="2:6" x14ac:dyDescent="0.3">
      <c r="B203" s="666"/>
      <c r="E203" s="666"/>
      <c r="F203" s="666"/>
    </row>
    <row r="204" spans="2:6" x14ac:dyDescent="0.3">
      <c r="B204" s="666"/>
      <c r="E204" s="666"/>
      <c r="F204" s="666"/>
    </row>
    <row r="205" spans="2:6" x14ac:dyDescent="0.3">
      <c r="B205" s="666"/>
      <c r="E205" s="666"/>
      <c r="F205" s="666"/>
    </row>
    <row r="206" spans="2:6" x14ac:dyDescent="0.3">
      <c r="B206" s="666"/>
      <c r="E206" s="666"/>
      <c r="F206" s="666"/>
    </row>
    <row r="207" spans="2:6" x14ac:dyDescent="0.3">
      <c r="B207" s="666"/>
      <c r="E207" s="666"/>
      <c r="F207" s="666"/>
    </row>
    <row r="208" spans="2:6" x14ac:dyDescent="0.3">
      <c r="B208" s="666"/>
      <c r="E208" s="666"/>
      <c r="F208" s="666"/>
    </row>
    <row r="209" spans="2:6" x14ac:dyDescent="0.3">
      <c r="B209" s="666"/>
      <c r="E209" s="666"/>
      <c r="F209" s="666"/>
    </row>
    <row r="210" spans="2:6" x14ac:dyDescent="0.3">
      <c r="B210" s="666"/>
      <c r="E210" s="666"/>
      <c r="F210" s="666"/>
    </row>
    <row r="211" spans="2:6" x14ac:dyDescent="0.3">
      <c r="B211" s="666"/>
      <c r="E211" s="666"/>
      <c r="F211" s="666"/>
    </row>
    <row r="212" spans="2:6" x14ac:dyDescent="0.3">
      <c r="B212" s="666"/>
      <c r="E212" s="666"/>
      <c r="F212" s="666"/>
    </row>
    <row r="213" spans="2:6" x14ac:dyDescent="0.3">
      <c r="B213" s="666"/>
      <c r="E213" s="666"/>
      <c r="F213" s="666"/>
    </row>
    <row r="214" spans="2:6" x14ac:dyDescent="0.3">
      <c r="B214" s="666"/>
      <c r="E214" s="666"/>
      <c r="F214" s="666"/>
    </row>
    <row r="215" spans="2:6" x14ac:dyDescent="0.3">
      <c r="B215" s="666"/>
      <c r="E215" s="666"/>
      <c r="F215" s="666"/>
    </row>
    <row r="216" spans="2:6" x14ac:dyDescent="0.3">
      <c r="B216" s="666"/>
      <c r="E216" s="666"/>
      <c r="F216" s="666"/>
    </row>
    <row r="217" spans="2:6" x14ac:dyDescent="0.3">
      <c r="B217" s="666"/>
      <c r="E217" s="666"/>
      <c r="F217" s="666"/>
    </row>
    <row r="218" spans="2:6" x14ac:dyDescent="0.3">
      <c r="B218" s="666"/>
      <c r="E218" s="666"/>
      <c r="F218" s="666"/>
    </row>
    <row r="219" spans="2:6" x14ac:dyDescent="0.3">
      <c r="B219" s="666"/>
      <c r="E219" s="666"/>
      <c r="F219" s="666"/>
    </row>
    <row r="220" spans="2:6" x14ac:dyDescent="0.3">
      <c r="B220" s="666"/>
      <c r="E220" s="666"/>
      <c r="F220" s="666"/>
    </row>
    <row r="221" spans="2:6" x14ac:dyDescent="0.3">
      <c r="B221" s="666"/>
      <c r="E221" s="666"/>
      <c r="F221" s="666"/>
    </row>
    <row r="222" spans="2:6" x14ac:dyDescent="0.3">
      <c r="B222" s="666"/>
      <c r="E222" s="666"/>
      <c r="F222" s="666"/>
    </row>
    <row r="223" spans="2:6" x14ac:dyDescent="0.3">
      <c r="B223" s="666"/>
      <c r="E223" s="666"/>
      <c r="F223" s="666"/>
    </row>
    <row r="224" spans="2:6" x14ac:dyDescent="0.3">
      <c r="B224" s="666"/>
      <c r="E224" s="666"/>
      <c r="F224" s="666"/>
    </row>
    <row r="225" spans="2:6" x14ac:dyDescent="0.3">
      <c r="B225" s="666"/>
      <c r="E225" s="666"/>
      <c r="F225" s="666"/>
    </row>
    <row r="226" spans="2:6" x14ac:dyDescent="0.3">
      <c r="B226" s="666"/>
      <c r="E226" s="666"/>
      <c r="F226" s="666"/>
    </row>
    <row r="227" spans="2:6" x14ac:dyDescent="0.3">
      <c r="B227" s="666"/>
      <c r="E227" s="666"/>
      <c r="F227" s="666"/>
    </row>
    <row r="228" spans="2:6" x14ac:dyDescent="0.3">
      <c r="B228" s="666"/>
      <c r="E228" s="666"/>
      <c r="F228" s="666"/>
    </row>
    <row r="229" spans="2:6" x14ac:dyDescent="0.3">
      <c r="B229" s="666"/>
      <c r="E229" s="666"/>
      <c r="F229" s="666"/>
    </row>
    <row r="230" spans="2:6" x14ac:dyDescent="0.3">
      <c r="B230" s="666"/>
      <c r="E230" s="666"/>
      <c r="F230" s="666"/>
    </row>
    <row r="231" spans="2:6" x14ac:dyDescent="0.3">
      <c r="B231" s="666"/>
      <c r="E231" s="666"/>
      <c r="F231" s="666"/>
    </row>
    <row r="232" spans="2:6" x14ac:dyDescent="0.3">
      <c r="B232" s="666"/>
      <c r="E232" s="666"/>
      <c r="F232" s="666"/>
    </row>
    <row r="233" spans="2:6" x14ac:dyDescent="0.3">
      <c r="B233" s="666"/>
      <c r="E233" s="666"/>
      <c r="F233" s="666"/>
    </row>
    <row r="234" spans="2:6" x14ac:dyDescent="0.3">
      <c r="B234" s="666"/>
      <c r="E234" s="666"/>
      <c r="F234" s="666"/>
    </row>
    <row r="235" spans="2:6" x14ac:dyDescent="0.3">
      <c r="B235" s="666"/>
      <c r="E235" s="666"/>
      <c r="F235" s="666"/>
    </row>
    <row r="236" spans="2:6" x14ac:dyDescent="0.3">
      <c r="B236" s="666"/>
      <c r="E236" s="666"/>
      <c r="F236" s="666"/>
    </row>
    <row r="237" spans="2:6" x14ac:dyDescent="0.3">
      <c r="B237" s="666"/>
      <c r="E237" s="666"/>
      <c r="F237" s="666"/>
    </row>
    <row r="238" spans="2:6" x14ac:dyDescent="0.3">
      <c r="B238" s="666"/>
      <c r="E238" s="666"/>
      <c r="F238" s="666"/>
    </row>
    <row r="239" spans="2:6" x14ac:dyDescent="0.3">
      <c r="B239" s="666"/>
      <c r="E239" s="666"/>
      <c r="F239" s="666"/>
    </row>
    <row r="240" spans="2:6" x14ac:dyDescent="0.3">
      <c r="B240" s="666"/>
      <c r="E240" s="666"/>
      <c r="F240" s="666"/>
    </row>
    <row r="241" spans="2:6" x14ac:dyDescent="0.3">
      <c r="B241" s="666"/>
      <c r="E241" s="666"/>
      <c r="F241" s="666"/>
    </row>
    <row r="242" spans="2:6" x14ac:dyDescent="0.3">
      <c r="B242" s="666"/>
      <c r="E242" s="666"/>
      <c r="F242" s="666"/>
    </row>
    <row r="243" spans="2:6" x14ac:dyDescent="0.3">
      <c r="B243" s="666"/>
      <c r="E243" s="666"/>
      <c r="F243" s="666"/>
    </row>
    <row r="244" spans="2:6" x14ac:dyDescent="0.3">
      <c r="B244" s="666"/>
      <c r="E244" s="666"/>
      <c r="F244" s="666"/>
    </row>
    <row r="245" spans="2:6" x14ac:dyDescent="0.3">
      <c r="B245" s="666"/>
      <c r="E245" s="666"/>
      <c r="F245" s="666"/>
    </row>
    <row r="246" spans="2:6" x14ac:dyDescent="0.3">
      <c r="B246" s="666"/>
      <c r="E246" s="666"/>
      <c r="F246" s="666"/>
    </row>
    <row r="247" spans="2:6" x14ac:dyDescent="0.3">
      <c r="B247" s="666"/>
      <c r="E247" s="666"/>
      <c r="F247" s="666"/>
    </row>
    <row r="248" spans="2:6" x14ac:dyDescent="0.3">
      <c r="B248" s="666"/>
      <c r="E248" s="666"/>
      <c r="F248" s="666"/>
    </row>
    <row r="249" spans="2:6" x14ac:dyDescent="0.3">
      <c r="B249" s="666"/>
      <c r="E249" s="666"/>
      <c r="F249" s="666"/>
    </row>
    <row r="250" spans="2:6" x14ac:dyDescent="0.3">
      <c r="B250" s="666"/>
      <c r="E250" s="666"/>
      <c r="F250" s="666"/>
    </row>
    <row r="251" spans="2:6" x14ac:dyDescent="0.3">
      <c r="B251" s="666"/>
      <c r="E251" s="666"/>
      <c r="F251" s="666"/>
    </row>
    <row r="252" spans="2:6" x14ac:dyDescent="0.3">
      <c r="B252" s="666"/>
      <c r="E252" s="666"/>
      <c r="F252" s="666"/>
    </row>
    <row r="253" spans="2:6" x14ac:dyDescent="0.3">
      <c r="B253" s="666"/>
      <c r="E253" s="666"/>
      <c r="F253" s="666"/>
    </row>
    <row r="254" spans="2:6" x14ac:dyDescent="0.3">
      <c r="B254" s="666"/>
      <c r="E254" s="666"/>
      <c r="F254" s="666"/>
    </row>
    <row r="255" spans="2:6" x14ac:dyDescent="0.3">
      <c r="B255" s="666"/>
      <c r="E255" s="666"/>
      <c r="F255" s="666"/>
    </row>
    <row r="256" spans="2:6" x14ac:dyDescent="0.3">
      <c r="B256" s="666"/>
      <c r="E256" s="666"/>
      <c r="F256" s="666"/>
    </row>
    <row r="257" spans="2:6" x14ac:dyDescent="0.3">
      <c r="B257" s="666"/>
      <c r="E257" s="666"/>
      <c r="F257" s="666"/>
    </row>
    <row r="258" spans="2:6" x14ac:dyDescent="0.3">
      <c r="B258" s="666"/>
      <c r="E258" s="666"/>
      <c r="F258" s="666"/>
    </row>
    <row r="259" spans="2:6" x14ac:dyDescent="0.3">
      <c r="B259" s="666"/>
      <c r="E259" s="666"/>
      <c r="F259" s="666"/>
    </row>
    <row r="260" spans="2:6" x14ac:dyDescent="0.3">
      <c r="B260" s="666"/>
      <c r="E260" s="666"/>
      <c r="F260" s="666"/>
    </row>
    <row r="261" spans="2:6" x14ac:dyDescent="0.3">
      <c r="B261" s="666"/>
      <c r="E261" s="666"/>
      <c r="F261" s="666"/>
    </row>
    <row r="262" spans="2:6" x14ac:dyDescent="0.3">
      <c r="B262" s="666"/>
      <c r="E262" s="666"/>
      <c r="F262" s="666"/>
    </row>
    <row r="263" spans="2:6" x14ac:dyDescent="0.3">
      <c r="B263" s="666"/>
      <c r="E263" s="666"/>
      <c r="F263" s="666"/>
    </row>
    <row r="264" spans="2:6" x14ac:dyDescent="0.3">
      <c r="B264" s="666"/>
      <c r="E264" s="666"/>
      <c r="F264" s="666"/>
    </row>
    <row r="265" spans="2:6" x14ac:dyDescent="0.3">
      <c r="B265" s="666"/>
      <c r="E265" s="666"/>
      <c r="F265" s="666"/>
    </row>
    <row r="266" spans="2:6" x14ac:dyDescent="0.3">
      <c r="B266" s="666"/>
      <c r="E266" s="666"/>
      <c r="F266" s="666"/>
    </row>
    <row r="267" spans="2:6" x14ac:dyDescent="0.3">
      <c r="B267" s="666"/>
      <c r="E267" s="666"/>
      <c r="F267" s="666"/>
    </row>
    <row r="268" spans="2:6" x14ac:dyDescent="0.3">
      <c r="B268" s="666"/>
      <c r="E268" s="666"/>
      <c r="F268" s="666"/>
    </row>
    <row r="269" spans="2:6" x14ac:dyDescent="0.3">
      <c r="B269" s="666"/>
      <c r="E269" s="666"/>
      <c r="F269" s="666"/>
    </row>
    <row r="270" spans="2:6" x14ac:dyDescent="0.3">
      <c r="B270" s="666"/>
      <c r="E270" s="666"/>
      <c r="F270" s="666"/>
    </row>
    <row r="271" spans="2:6" x14ac:dyDescent="0.3">
      <c r="B271" s="666"/>
      <c r="E271" s="666"/>
      <c r="F271" s="666"/>
    </row>
    <row r="272" spans="2:6" x14ac:dyDescent="0.3">
      <c r="B272" s="666"/>
      <c r="E272" s="666"/>
      <c r="F272" s="666"/>
    </row>
    <row r="273" spans="2:6" x14ac:dyDescent="0.3">
      <c r="B273" s="666"/>
      <c r="E273" s="666"/>
      <c r="F273" s="666"/>
    </row>
    <row r="274" spans="2:6" x14ac:dyDescent="0.3">
      <c r="B274" s="666"/>
      <c r="E274" s="666"/>
      <c r="F274" s="666"/>
    </row>
    <row r="275" spans="2:6" x14ac:dyDescent="0.3">
      <c r="B275" s="666"/>
      <c r="E275" s="666"/>
      <c r="F275" s="666"/>
    </row>
    <row r="276" spans="2:6" x14ac:dyDescent="0.3">
      <c r="B276" s="666"/>
      <c r="E276" s="666"/>
      <c r="F276" s="666"/>
    </row>
    <row r="277" spans="2:6" x14ac:dyDescent="0.3">
      <c r="B277" s="666"/>
      <c r="E277" s="666"/>
      <c r="F277" s="666"/>
    </row>
    <row r="278" spans="2:6" x14ac:dyDescent="0.3">
      <c r="B278" s="666"/>
      <c r="E278" s="666"/>
      <c r="F278" s="666"/>
    </row>
    <row r="279" spans="2:6" x14ac:dyDescent="0.3">
      <c r="B279" s="666"/>
      <c r="E279" s="666"/>
      <c r="F279" s="666"/>
    </row>
    <row r="280" spans="2:6" x14ac:dyDescent="0.3">
      <c r="B280" s="666"/>
      <c r="E280" s="666"/>
      <c r="F280" s="666"/>
    </row>
    <row r="281" spans="2:6" x14ac:dyDescent="0.3">
      <c r="B281" s="666"/>
      <c r="E281" s="666"/>
      <c r="F281" s="666"/>
    </row>
    <row r="282" spans="2:6" x14ac:dyDescent="0.3">
      <c r="B282" s="666"/>
      <c r="E282" s="666"/>
      <c r="F282" s="666"/>
    </row>
    <row r="283" spans="2:6" x14ac:dyDescent="0.3">
      <c r="B283" s="666"/>
      <c r="E283" s="666"/>
      <c r="F283" s="666"/>
    </row>
    <row r="284" spans="2:6" x14ac:dyDescent="0.3">
      <c r="B284" s="666"/>
      <c r="E284" s="666"/>
      <c r="F284" s="666"/>
    </row>
    <row r="285" spans="2:6" x14ac:dyDescent="0.3">
      <c r="B285" s="666"/>
      <c r="E285" s="666"/>
      <c r="F285" s="666"/>
    </row>
    <row r="286" spans="2:6" x14ac:dyDescent="0.3">
      <c r="B286" s="666"/>
      <c r="E286" s="666"/>
      <c r="F286" s="666"/>
    </row>
    <row r="287" spans="2:6" x14ac:dyDescent="0.3">
      <c r="B287" s="666"/>
      <c r="E287" s="666"/>
      <c r="F287" s="666"/>
    </row>
    <row r="288" spans="2:6" x14ac:dyDescent="0.3">
      <c r="B288" s="666"/>
      <c r="E288" s="666"/>
      <c r="F288" s="666"/>
    </row>
    <row r="289" spans="2:6" x14ac:dyDescent="0.3">
      <c r="B289" s="666"/>
      <c r="E289" s="666"/>
      <c r="F289" s="666"/>
    </row>
    <row r="290" spans="2:6" x14ac:dyDescent="0.3">
      <c r="B290" s="666"/>
      <c r="E290" s="666"/>
      <c r="F290" s="666"/>
    </row>
    <row r="291" spans="2:6" x14ac:dyDescent="0.3">
      <c r="B291" s="666"/>
      <c r="E291" s="666"/>
      <c r="F291" s="666"/>
    </row>
    <row r="292" spans="2:6" x14ac:dyDescent="0.3">
      <c r="B292" s="666"/>
      <c r="E292" s="666"/>
      <c r="F292" s="666"/>
    </row>
    <row r="293" spans="2:6" x14ac:dyDescent="0.3">
      <c r="B293" s="666"/>
      <c r="E293" s="666"/>
      <c r="F293" s="666"/>
    </row>
    <row r="294" spans="2:6" x14ac:dyDescent="0.3">
      <c r="B294" s="666"/>
      <c r="E294" s="666"/>
      <c r="F294" s="666"/>
    </row>
    <row r="295" spans="2:6" x14ac:dyDescent="0.3">
      <c r="B295" s="666"/>
      <c r="E295" s="666"/>
      <c r="F295" s="666"/>
    </row>
    <row r="296" spans="2:6" x14ac:dyDescent="0.3">
      <c r="B296" s="666"/>
      <c r="E296" s="666"/>
      <c r="F296" s="666"/>
    </row>
    <row r="297" spans="2:6" x14ac:dyDescent="0.3">
      <c r="B297" s="666"/>
      <c r="E297" s="666"/>
      <c r="F297" s="666"/>
    </row>
    <row r="298" spans="2:6" x14ac:dyDescent="0.3">
      <c r="B298" s="666"/>
      <c r="E298" s="666"/>
      <c r="F298" s="666"/>
    </row>
    <row r="299" spans="2:6" x14ac:dyDescent="0.3">
      <c r="B299" s="666"/>
      <c r="E299" s="666"/>
      <c r="F299" s="666"/>
    </row>
    <row r="300" spans="2:6" x14ac:dyDescent="0.3">
      <c r="B300" s="666"/>
      <c r="E300" s="666"/>
      <c r="F300" s="666"/>
    </row>
    <row r="301" spans="2:6" x14ac:dyDescent="0.3">
      <c r="B301" s="666"/>
      <c r="E301" s="666"/>
      <c r="F301" s="666"/>
    </row>
    <row r="302" spans="2:6" x14ac:dyDescent="0.3">
      <c r="B302" s="666"/>
      <c r="E302" s="666"/>
      <c r="F302" s="666"/>
    </row>
    <row r="303" spans="2:6" x14ac:dyDescent="0.3">
      <c r="B303" s="666"/>
      <c r="E303" s="666"/>
      <c r="F303" s="666"/>
    </row>
    <row r="304" spans="2:6" x14ac:dyDescent="0.3">
      <c r="B304" s="666"/>
      <c r="E304" s="666"/>
      <c r="F304" s="666"/>
    </row>
    <row r="305" spans="2:6" x14ac:dyDescent="0.3">
      <c r="B305" s="666"/>
      <c r="E305" s="666"/>
      <c r="F305" s="666"/>
    </row>
    <row r="306" spans="2:6" x14ac:dyDescent="0.3">
      <c r="B306" s="666"/>
      <c r="E306" s="666"/>
      <c r="F306" s="666"/>
    </row>
    <row r="307" spans="2:6" x14ac:dyDescent="0.3">
      <c r="B307" s="666"/>
      <c r="E307" s="666"/>
      <c r="F307" s="666"/>
    </row>
    <row r="308" spans="2:6" x14ac:dyDescent="0.3">
      <c r="B308" s="666"/>
      <c r="E308" s="666"/>
      <c r="F308" s="666"/>
    </row>
    <row r="309" spans="2:6" x14ac:dyDescent="0.3">
      <c r="B309" s="666"/>
      <c r="E309" s="666"/>
      <c r="F309" s="666"/>
    </row>
    <row r="310" spans="2:6" x14ac:dyDescent="0.3">
      <c r="B310" s="666"/>
      <c r="E310" s="666"/>
      <c r="F310" s="666"/>
    </row>
    <row r="311" spans="2:6" x14ac:dyDescent="0.3">
      <c r="B311" s="666"/>
      <c r="E311" s="666"/>
      <c r="F311" s="666"/>
    </row>
    <row r="312" spans="2:6" x14ac:dyDescent="0.3">
      <c r="B312" s="666"/>
      <c r="E312" s="666"/>
      <c r="F312" s="666"/>
    </row>
    <row r="313" spans="2:6" x14ac:dyDescent="0.3">
      <c r="B313" s="666"/>
      <c r="E313" s="666"/>
      <c r="F313" s="666"/>
    </row>
    <row r="314" spans="2:6" x14ac:dyDescent="0.3">
      <c r="B314" s="666"/>
      <c r="E314" s="666"/>
      <c r="F314" s="666"/>
    </row>
    <row r="315" spans="2:6" x14ac:dyDescent="0.3">
      <c r="B315" s="666"/>
      <c r="E315" s="666"/>
      <c r="F315" s="666"/>
    </row>
    <row r="316" spans="2:6" x14ac:dyDescent="0.3">
      <c r="B316" s="666"/>
      <c r="E316" s="666"/>
      <c r="F316" s="666"/>
    </row>
    <row r="317" spans="2:6" x14ac:dyDescent="0.3">
      <c r="B317" s="666"/>
      <c r="E317" s="666"/>
      <c r="F317" s="666"/>
    </row>
    <row r="318" spans="2:6" x14ac:dyDescent="0.3">
      <c r="B318" s="666"/>
      <c r="E318" s="666"/>
      <c r="F318" s="666"/>
    </row>
    <row r="319" spans="2:6" x14ac:dyDescent="0.3">
      <c r="B319" s="666"/>
      <c r="E319" s="666"/>
      <c r="F319" s="666"/>
    </row>
    <row r="320" spans="2:6" x14ac:dyDescent="0.3">
      <c r="B320" s="666"/>
      <c r="E320" s="666"/>
      <c r="F320" s="666"/>
    </row>
    <row r="321" spans="2:6" x14ac:dyDescent="0.3">
      <c r="B321" s="666"/>
      <c r="E321" s="666"/>
      <c r="F321" s="666"/>
    </row>
    <row r="322" spans="2:6" x14ac:dyDescent="0.3">
      <c r="B322" s="666"/>
      <c r="E322" s="666"/>
      <c r="F322" s="666"/>
    </row>
    <row r="323" spans="2:6" x14ac:dyDescent="0.3">
      <c r="B323" s="666"/>
      <c r="E323" s="666"/>
      <c r="F323" s="666"/>
    </row>
    <row r="324" spans="2:6" x14ac:dyDescent="0.3">
      <c r="B324" s="666"/>
      <c r="E324" s="666"/>
      <c r="F324" s="666"/>
    </row>
    <row r="325" spans="2:6" x14ac:dyDescent="0.3">
      <c r="B325" s="666"/>
      <c r="E325" s="666"/>
      <c r="F325" s="666"/>
    </row>
    <row r="326" spans="2:6" x14ac:dyDescent="0.3">
      <c r="B326" s="666"/>
      <c r="E326" s="666"/>
      <c r="F326" s="666"/>
    </row>
    <row r="327" spans="2:6" x14ac:dyDescent="0.3">
      <c r="B327" s="666"/>
      <c r="E327" s="666"/>
      <c r="F327" s="666"/>
    </row>
    <row r="328" spans="2:6" x14ac:dyDescent="0.3">
      <c r="B328" s="666"/>
      <c r="E328" s="666"/>
      <c r="F328" s="666"/>
    </row>
    <row r="329" spans="2:6" x14ac:dyDescent="0.3">
      <c r="B329" s="666"/>
      <c r="E329" s="666"/>
      <c r="F329" s="666"/>
    </row>
    <row r="330" spans="2:6" x14ac:dyDescent="0.3">
      <c r="B330" s="666"/>
      <c r="E330" s="666"/>
      <c r="F330" s="666"/>
    </row>
    <row r="331" spans="2:6" x14ac:dyDescent="0.3">
      <c r="B331" s="666"/>
      <c r="E331" s="666"/>
      <c r="F331" s="666"/>
    </row>
    <row r="332" spans="2:6" x14ac:dyDescent="0.3">
      <c r="B332" s="666"/>
      <c r="E332" s="666"/>
      <c r="F332" s="666"/>
    </row>
    <row r="333" spans="2:6" x14ac:dyDescent="0.3">
      <c r="B333" s="666"/>
      <c r="E333" s="666"/>
      <c r="F333" s="666"/>
    </row>
    <row r="334" spans="2:6" x14ac:dyDescent="0.3">
      <c r="B334" s="666"/>
      <c r="E334" s="666"/>
      <c r="F334" s="666"/>
    </row>
    <row r="335" spans="2:6" x14ac:dyDescent="0.3">
      <c r="B335" s="666"/>
      <c r="E335" s="666"/>
      <c r="F335" s="666"/>
    </row>
    <row r="336" spans="2:6" x14ac:dyDescent="0.3">
      <c r="B336" s="666"/>
      <c r="E336" s="666"/>
      <c r="F336" s="666"/>
    </row>
    <row r="337" spans="2:6" x14ac:dyDescent="0.3">
      <c r="B337" s="666"/>
      <c r="E337" s="666"/>
      <c r="F337" s="666"/>
    </row>
    <row r="338" spans="2:6" x14ac:dyDescent="0.3">
      <c r="B338" s="666"/>
      <c r="E338" s="666"/>
      <c r="F338" s="666"/>
    </row>
    <row r="339" spans="2:6" x14ac:dyDescent="0.3">
      <c r="B339" s="666"/>
      <c r="E339" s="666"/>
      <c r="F339" s="666"/>
    </row>
    <row r="340" spans="2:6" x14ac:dyDescent="0.3">
      <c r="B340" s="666"/>
      <c r="E340" s="666"/>
      <c r="F340" s="666"/>
    </row>
    <row r="341" spans="2:6" x14ac:dyDescent="0.3">
      <c r="B341" s="666"/>
      <c r="E341" s="666"/>
      <c r="F341" s="666"/>
    </row>
    <row r="342" spans="2:6" x14ac:dyDescent="0.3">
      <c r="B342" s="666"/>
      <c r="E342" s="666"/>
      <c r="F342" s="666"/>
    </row>
    <row r="343" spans="2:6" x14ac:dyDescent="0.3">
      <c r="B343" s="666"/>
      <c r="E343" s="666"/>
      <c r="F343" s="666"/>
    </row>
    <row r="344" spans="2:6" x14ac:dyDescent="0.3">
      <c r="B344" s="666"/>
      <c r="E344" s="666"/>
      <c r="F344" s="666"/>
    </row>
    <row r="345" spans="2:6" x14ac:dyDescent="0.3">
      <c r="B345" s="666"/>
      <c r="E345" s="666"/>
      <c r="F345" s="666"/>
    </row>
    <row r="346" spans="2:6" x14ac:dyDescent="0.3">
      <c r="B346" s="666"/>
      <c r="E346" s="666"/>
      <c r="F346" s="666"/>
    </row>
    <row r="347" spans="2:6" x14ac:dyDescent="0.3">
      <c r="B347" s="666"/>
      <c r="E347" s="666"/>
      <c r="F347" s="666"/>
    </row>
    <row r="348" spans="2:6" x14ac:dyDescent="0.3">
      <c r="B348" s="666"/>
      <c r="E348" s="666"/>
      <c r="F348" s="666"/>
    </row>
    <row r="349" spans="2:6" x14ac:dyDescent="0.3">
      <c r="B349" s="666"/>
      <c r="E349" s="666"/>
      <c r="F349" s="666"/>
    </row>
    <row r="350" spans="2:6" x14ac:dyDescent="0.3">
      <c r="B350" s="666"/>
      <c r="E350" s="666"/>
      <c r="F350" s="666"/>
    </row>
    <row r="351" spans="2:6" x14ac:dyDescent="0.3">
      <c r="B351" s="666"/>
      <c r="E351" s="666"/>
      <c r="F351" s="666"/>
    </row>
    <row r="352" spans="2:6" x14ac:dyDescent="0.3">
      <c r="B352" s="666"/>
      <c r="E352" s="666"/>
      <c r="F352" s="666"/>
    </row>
    <row r="353" spans="2:6" x14ac:dyDescent="0.3">
      <c r="B353" s="666"/>
      <c r="E353" s="666"/>
      <c r="F353" s="666"/>
    </row>
    <row r="354" spans="2:6" x14ac:dyDescent="0.3">
      <c r="B354" s="666"/>
      <c r="E354" s="666"/>
      <c r="F354" s="666"/>
    </row>
    <row r="355" spans="2:6" x14ac:dyDescent="0.3">
      <c r="B355" s="666"/>
      <c r="E355" s="666"/>
      <c r="F355" s="666"/>
    </row>
    <row r="356" spans="2:6" x14ac:dyDescent="0.3">
      <c r="B356" s="666"/>
      <c r="E356" s="666"/>
      <c r="F356" s="666"/>
    </row>
    <row r="357" spans="2:6" x14ac:dyDescent="0.3">
      <c r="B357" s="666"/>
      <c r="E357" s="666"/>
      <c r="F357" s="666"/>
    </row>
    <row r="358" spans="2:6" x14ac:dyDescent="0.3">
      <c r="B358" s="666"/>
      <c r="E358" s="666"/>
      <c r="F358" s="666"/>
    </row>
    <row r="359" spans="2:6" x14ac:dyDescent="0.3">
      <c r="B359" s="666"/>
      <c r="E359" s="666"/>
      <c r="F359" s="666"/>
    </row>
    <row r="360" spans="2:6" x14ac:dyDescent="0.3">
      <c r="B360" s="666"/>
      <c r="E360" s="666"/>
      <c r="F360" s="666"/>
    </row>
    <row r="361" spans="2:6" x14ac:dyDescent="0.3">
      <c r="B361" s="666"/>
      <c r="E361" s="666"/>
      <c r="F361" s="666"/>
    </row>
    <row r="362" spans="2:6" x14ac:dyDescent="0.3">
      <c r="B362" s="666"/>
      <c r="E362" s="666"/>
      <c r="F362" s="666"/>
    </row>
    <row r="363" spans="2:6" x14ac:dyDescent="0.3">
      <c r="B363" s="666"/>
      <c r="E363" s="666"/>
      <c r="F363" s="666"/>
    </row>
    <row r="364" spans="2:6" x14ac:dyDescent="0.3">
      <c r="B364" s="666"/>
      <c r="E364" s="666"/>
      <c r="F364" s="666"/>
    </row>
    <row r="365" spans="2:6" x14ac:dyDescent="0.3">
      <c r="B365" s="666"/>
      <c r="E365" s="666"/>
      <c r="F365" s="666"/>
    </row>
    <row r="366" spans="2:6" x14ac:dyDescent="0.3">
      <c r="B366" s="666"/>
      <c r="E366" s="666"/>
      <c r="F366" s="666"/>
    </row>
    <row r="367" spans="2:6" x14ac:dyDescent="0.3">
      <c r="B367" s="666"/>
      <c r="E367" s="666"/>
      <c r="F367" s="666"/>
    </row>
    <row r="368" spans="2:6" x14ac:dyDescent="0.3">
      <c r="B368" s="666"/>
      <c r="E368" s="666"/>
      <c r="F368" s="666"/>
    </row>
    <row r="369" spans="2:6" x14ac:dyDescent="0.3">
      <c r="B369" s="666"/>
      <c r="E369" s="666"/>
      <c r="F369" s="666"/>
    </row>
    <row r="370" spans="2:6" x14ac:dyDescent="0.3">
      <c r="B370" s="666"/>
      <c r="E370" s="666"/>
      <c r="F370" s="666"/>
    </row>
    <row r="371" spans="2:6" x14ac:dyDescent="0.3">
      <c r="B371" s="666"/>
      <c r="E371" s="666"/>
      <c r="F371" s="666"/>
    </row>
    <row r="372" spans="2:6" x14ac:dyDescent="0.3">
      <c r="B372" s="666"/>
      <c r="E372" s="666"/>
      <c r="F372" s="666"/>
    </row>
    <row r="373" spans="2:6" x14ac:dyDescent="0.3">
      <c r="B373" s="666"/>
      <c r="E373" s="666"/>
      <c r="F373" s="666"/>
    </row>
    <row r="374" spans="2:6" x14ac:dyDescent="0.3">
      <c r="B374" s="666"/>
      <c r="E374" s="666"/>
      <c r="F374" s="666"/>
    </row>
    <row r="375" spans="2:6" x14ac:dyDescent="0.3">
      <c r="B375" s="666"/>
      <c r="E375" s="666"/>
      <c r="F375" s="666"/>
    </row>
    <row r="376" spans="2:6" x14ac:dyDescent="0.3">
      <c r="B376" s="666"/>
      <c r="E376" s="666"/>
      <c r="F376" s="666"/>
    </row>
    <row r="377" spans="2:6" x14ac:dyDescent="0.3">
      <c r="B377" s="666"/>
      <c r="E377" s="666"/>
      <c r="F377" s="666"/>
    </row>
    <row r="378" spans="2:6" x14ac:dyDescent="0.3">
      <c r="B378" s="666"/>
      <c r="E378" s="666"/>
      <c r="F378" s="666"/>
    </row>
    <row r="379" spans="2:6" x14ac:dyDescent="0.3">
      <c r="B379" s="666"/>
      <c r="E379" s="666"/>
      <c r="F379" s="666"/>
    </row>
    <row r="380" spans="2:6" x14ac:dyDescent="0.3">
      <c r="B380" s="666"/>
      <c r="E380" s="666"/>
      <c r="F380" s="666"/>
    </row>
    <row r="381" spans="2:6" x14ac:dyDescent="0.3">
      <c r="B381" s="666"/>
      <c r="E381" s="666"/>
      <c r="F381" s="666"/>
    </row>
    <row r="382" spans="2:6" x14ac:dyDescent="0.3">
      <c r="B382" s="666"/>
      <c r="E382" s="666"/>
      <c r="F382" s="666"/>
    </row>
    <row r="383" spans="2:6" x14ac:dyDescent="0.3">
      <c r="B383" s="666"/>
      <c r="E383" s="666"/>
      <c r="F383" s="666"/>
    </row>
    <row r="384" spans="2:6" x14ac:dyDescent="0.3">
      <c r="B384" s="666"/>
      <c r="E384" s="666"/>
      <c r="F384" s="666"/>
    </row>
    <row r="385" spans="2:6" x14ac:dyDescent="0.3">
      <c r="B385" s="666"/>
      <c r="E385" s="666"/>
      <c r="F385" s="666"/>
    </row>
    <row r="386" spans="2:6" x14ac:dyDescent="0.3">
      <c r="B386" s="666"/>
      <c r="E386" s="666"/>
      <c r="F386" s="666"/>
    </row>
    <row r="387" spans="2:6" x14ac:dyDescent="0.3">
      <c r="B387" s="666"/>
      <c r="E387" s="666"/>
      <c r="F387" s="666"/>
    </row>
    <row r="388" spans="2:6" x14ac:dyDescent="0.3">
      <c r="B388" s="666"/>
      <c r="E388" s="666"/>
      <c r="F388" s="666"/>
    </row>
    <row r="389" spans="2:6" x14ac:dyDescent="0.3">
      <c r="B389" s="666"/>
      <c r="E389" s="666"/>
      <c r="F389" s="666"/>
    </row>
    <row r="390" spans="2:6" x14ac:dyDescent="0.3">
      <c r="B390" s="666"/>
      <c r="E390" s="666"/>
      <c r="F390" s="666"/>
    </row>
    <row r="391" spans="2:6" x14ac:dyDescent="0.3">
      <c r="B391" s="666"/>
      <c r="E391" s="666"/>
      <c r="F391" s="666"/>
    </row>
    <row r="392" spans="2:6" x14ac:dyDescent="0.3">
      <c r="B392" s="666"/>
      <c r="E392" s="666"/>
      <c r="F392" s="666"/>
    </row>
    <row r="393" spans="2:6" x14ac:dyDescent="0.3">
      <c r="B393" s="666"/>
      <c r="E393" s="666"/>
      <c r="F393" s="666"/>
    </row>
    <row r="394" spans="2:6" x14ac:dyDescent="0.3">
      <c r="B394" s="666"/>
      <c r="E394" s="666"/>
      <c r="F394" s="666"/>
    </row>
    <row r="395" spans="2:6" x14ac:dyDescent="0.3">
      <c r="B395" s="666"/>
      <c r="E395" s="666"/>
      <c r="F395" s="666"/>
    </row>
    <row r="396" spans="2:6" x14ac:dyDescent="0.3">
      <c r="B396" s="666"/>
      <c r="E396" s="666"/>
      <c r="F396" s="666"/>
    </row>
    <row r="397" spans="2:6" x14ac:dyDescent="0.3">
      <c r="B397" s="666"/>
      <c r="E397" s="666"/>
      <c r="F397" s="666"/>
    </row>
    <row r="398" spans="2:6" x14ac:dyDescent="0.3">
      <c r="B398" s="666"/>
      <c r="E398" s="666"/>
      <c r="F398" s="666"/>
    </row>
    <row r="399" spans="2:6" x14ac:dyDescent="0.3">
      <c r="B399" s="666"/>
      <c r="E399" s="666"/>
      <c r="F399" s="666"/>
    </row>
    <row r="400" spans="2:6" x14ac:dyDescent="0.3">
      <c r="B400" s="666"/>
      <c r="E400" s="666"/>
      <c r="F400" s="666"/>
    </row>
    <row r="401" spans="2:6" x14ac:dyDescent="0.3">
      <c r="B401" s="666"/>
      <c r="E401" s="666"/>
      <c r="F401" s="666"/>
    </row>
    <row r="402" spans="2:6" x14ac:dyDescent="0.3">
      <c r="B402" s="666"/>
      <c r="E402" s="666"/>
      <c r="F402" s="666"/>
    </row>
    <row r="403" spans="2:6" x14ac:dyDescent="0.3">
      <c r="B403" s="666"/>
      <c r="E403" s="666"/>
      <c r="F403" s="666"/>
    </row>
    <row r="404" spans="2:6" x14ac:dyDescent="0.3">
      <c r="B404" s="666"/>
      <c r="E404" s="666"/>
      <c r="F404" s="666"/>
    </row>
    <row r="405" spans="2:6" x14ac:dyDescent="0.3">
      <c r="B405" s="666"/>
      <c r="E405" s="666"/>
      <c r="F405" s="666"/>
    </row>
    <row r="406" spans="2:6" x14ac:dyDescent="0.3">
      <c r="B406" s="666"/>
      <c r="E406" s="666"/>
      <c r="F406" s="666"/>
    </row>
    <row r="407" spans="2:6" x14ac:dyDescent="0.3">
      <c r="B407" s="666"/>
      <c r="E407" s="666"/>
      <c r="F407" s="666"/>
    </row>
    <row r="408" spans="2:6" x14ac:dyDescent="0.3">
      <c r="B408" s="666"/>
      <c r="E408" s="666"/>
      <c r="F408" s="666"/>
    </row>
    <row r="409" spans="2:6" x14ac:dyDescent="0.3">
      <c r="B409" s="666"/>
      <c r="E409" s="666"/>
      <c r="F409" s="666"/>
    </row>
    <row r="410" spans="2:6" x14ac:dyDescent="0.3">
      <c r="B410" s="666"/>
      <c r="E410" s="666"/>
      <c r="F410" s="666"/>
    </row>
    <row r="411" spans="2:6" x14ac:dyDescent="0.3">
      <c r="B411" s="666"/>
      <c r="E411" s="666"/>
      <c r="F411" s="666"/>
    </row>
    <row r="412" spans="2:6" x14ac:dyDescent="0.3">
      <c r="B412" s="666"/>
      <c r="E412" s="666"/>
      <c r="F412" s="666"/>
    </row>
    <row r="413" spans="2:6" x14ac:dyDescent="0.3">
      <c r="B413" s="666"/>
      <c r="E413" s="666"/>
      <c r="F413" s="666"/>
    </row>
    <row r="414" spans="2:6" x14ac:dyDescent="0.3">
      <c r="B414" s="666"/>
      <c r="E414" s="666"/>
      <c r="F414" s="666"/>
    </row>
    <row r="415" spans="2:6" x14ac:dyDescent="0.3">
      <c r="B415" s="666"/>
      <c r="E415" s="666"/>
      <c r="F415" s="666"/>
    </row>
    <row r="416" spans="2:6" x14ac:dyDescent="0.3">
      <c r="B416" s="666"/>
      <c r="E416" s="666"/>
      <c r="F416" s="666"/>
    </row>
    <row r="417" spans="2:6" x14ac:dyDescent="0.3">
      <c r="B417" s="666"/>
      <c r="E417" s="666"/>
      <c r="F417" s="666"/>
    </row>
    <row r="418" spans="2:6" x14ac:dyDescent="0.3">
      <c r="B418" s="666"/>
      <c r="E418" s="666"/>
      <c r="F418" s="666"/>
    </row>
    <row r="419" spans="2:6" x14ac:dyDescent="0.3">
      <c r="B419" s="666"/>
      <c r="E419" s="666"/>
      <c r="F419" s="666"/>
    </row>
    <row r="420" spans="2:6" x14ac:dyDescent="0.3">
      <c r="B420" s="666"/>
      <c r="E420" s="666"/>
      <c r="F420" s="666"/>
    </row>
    <row r="421" spans="2:6" x14ac:dyDescent="0.3">
      <c r="B421" s="666"/>
      <c r="E421" s="666"/>
      <c r="F421" s="666"/>
    </row>
    <row r="422" spans="2:6" x14ac:dyDescent="0.3">
      <c r="B422" s="666"/>
      <c r="E422" s="666"/>
      <c r="F422" s="666"/>
    </row>
    <row r="423" spans="2:6" x14ac:dyDescent="0.3">
      <c r="B423" s="666"/>
      <c r="E423" s="666"/>
      <c r="F423" s="666"/>
    </row>
    <row r="424" spans="2:6" x14ac:dyDescent="0.3">
      <c r="B424" s="666"/>
      <c r="E424" s="666"/>
      <c r="F424" s="666"/>
    </row>
    <row r="425" spans="2:6" x14ac:dyDescent="0.3">
      <c r="B425" s="666"/>
      <c r="E425" s="666"/>
      <c r="F425" s="666"/>
    </row>
    <row r="426" spans="2:6" x14ac:dyDescent="0.3">
      <c r="B426" s="666"/>
      <c r="E426" s="666"/>
      <c r="F426" s="666"/>
    </row>
    <row r="427" spans="2:6" x14ac:dyDescent="0.3">
      <c r="B427" s="666"/>
      <c r="E427" s="666"/>
      <c r="F427" s="666"/>
    </row>
    <row r="428" spans="2:6" x14ac:dyDescent="0.3">
      <c r="B428" s="666"/>
      <c r="E428" s="666"/>
      <c r="F428" s="666"/>
    </row>
    <row r="429" spans="2:6" x14ac:dyDescent="0.3">
      <c r="B429" s="666"/>
      <c r="E429" s="666"/>
      <c r="F429" s="666"/>
    </row>
    <row r="430" spans="2:6" x14ac:dyDescent="0.3">
      <c r="B430" s="666"/>
      <c r="E430" s="666"/>
      <c r="F430" s="666"/>
    </row>
    <row r="431" spans="2:6" x14ac:dyDescent="0.3">
      <c r="B431" s="666"/>
      <c r="E431" s="666"/>
      <c r="F431" s="666"/>
    </row>
    <row r="432" spans="2:6" x14ac:dyDescent="0.3">
      <c r="B432" s="666"/>
      <c r="E432" s="666"/>
      <c r="F432" s="666"/>
    </row>
    <row r="433" spans="2:6" x14ac:dyDescent="0.3">
      <c r="B433" s="666"/>
      <c r="E433" s="666"/>
      <c r="F433" s="666"/>
    </row>
    <row r="434" spans="2:6" x14ac:dyDescent="0.3">
      <c r="B434" s="666"/>
      <c r="E434" s="666"/>
      <c r="F434" s="666"/>
    </row>
    <row r="435" spans="2:6" x14ac:dyDescent="0.3">
      <c r="B435" s="666"/>
      <c r="E435" s="666"/>
      <c r="F435" s="666"/>
    </row>
    <row r="436" spans="2:6" x14ac:dyDescent="0.3">
      <c r="B436" s="666"/>
      <c r="E436" s="666"/>
      <c r="F436" s="666"/>
    </row>
    <row r="437" spans="2:6" x14ac:dyDescent="0.3">
      <c r="B437" s="666"/>
      <c r="E437" s="666"/>
      <c r="F437" s="666"/>
    </row>
    <row r="438" spans="2:6" x14ac:dyDescent="0.3">
      <c r="B438" s="666"/>
      <c r="E438" s="666"/>
      <c r="F438" s="666"/>
    </row>
    <row r="439" spans="2:6" x14ac:dyDescent="0.3">
      <c r="B439" s="666"/>
      <c r="E439" s="666"/>
      <c r="F439" s="666"/>
    </row>
    <row r="440" spans="2:6" x14ac:dyDescent="0.3">
      <c r="B440" s="666"/>
      <c r="E440" s="666"/>
      <c r="F440" s="666"/>
    </row>
    <row r="441" spans="2:6" x14ac:dyDescent="0.3">
      <c r="B441" s="666"/>
      <c r="E441" s="666"/>
      <c r="F441" s="666"/>
    </row>
    <row r="442" spans="2:6" x14ac:dyDescent="0.3">
      <c r="B442" s="666"/>
      <c r="E442" s="666"/>
      <c r="F442" s="666"/>
    </row>
    <row r="443" spans="2:6" x14ac:dyDescent="0.3">
      <c r="B443" s="666"/>
      <c r="E443" s="666"/>
      <c r="F443" s="666"/>
    </row>
    <row r="444" spans="2:6" x14ac:dyDescent="0.3">
      <c r="B444" s="666"/>
      <c r="E444" s="666"/>
      <c r="F444" s="666"/>
    </row>
    <row r="445" spans="2:6" x14ac:dyDescent="0.3">
      <c r="B445" s="666"/>
      <c r="E445" s="666"/>
      <c r="F445" s="666"/>
    </row>
    <row r="446" spans="2:6" x14ac:dyDescent="0.3">
      <c r="B446" s="666"/>
      <c r="E446" s="666"/>
      <c r="F446" s="666"/>
    </row>
    <row r="447" spans="2:6" x14ac:dyDescent="0.3">
      <c r="B447" s="666"/>
      <c r="E447" s="666"/>
      <c r="F447" s="666"/>
    </row>
    <row r="448" spans="2:6" x14ac:dyDescent="0.3">
      <c r="B448" s="666"/>
      <c r="E448" s="666"/>
      <c r="F448" s="666"/>
    </row>
    <row r="449" spans="2:6" x14ac:dyDescent="0.3">
      <c r="B449" s="666"/>
      <c r="E449" s="666"/>
      <c r="F449" s="666"/>
    </row>
    <row r="450" spans="2:6" x14ac:dyDescent="0.3">
      <c r="B450" s="666"/>
      <c r="E450" s="666"/>
      <c r="F450" s="666"/>
    </row>
    <row r="451" spans="2:6" x14ac:dyDescent="0.3">
      <c r="B451" s="666"/>
      <c r="E451" s="666"/>
      <c r="F451" s="666"/>
    </row>
    <row r="452" spans="2:6" x14ac:dyDescent="0.3">
      <c r="B452" s="666"/>
      <c r="E452" s="666"/>
      <c r="F452" s="666"/>
    </row>
    <row r="453" spans="2:6" x14ac:dyDescent="0.3">
      <c r="B453" s="666"/>
      <c r="E453" s="666"/>
      <c r="F453" s="666"/>
    </row>
    <row r="454" spans="2:6" x14ac:dyDescent="0.3">
      <c r="B454" s="666"/>
      <c r="E454" s="666"/>
      <c r="F454" s="666"/>
    </row>
    <row r="455" spans="2:6" x14ac:dyDescent="0.3">
      <c r="B455" s="666"/>
      <c r="E455" s="666"/>
      <c r="F455" s="666"/>
    </row>
    <row r="456" spans="2:6" x14ac:dyDescent="0.3">
      <c r="B456" s="666"/>
      <c r="E456" s="666"/>
      <c r="F456" s="666"/>
    </row>
    <row r="457" spans="2:6" x14ac:dyDescent="0.3">
      <c r="B457" s="666"/>
      <c r="E457" s="666"/>
      <c r="F457" s="666"/>
    </row>
    <row r="458" spans="2:6" x14ac:dyDescent="0.3">
      <c r="B458" s="666"/>
      <c r="E458" s="666"/>
      <c r="F458" s="666"/>
    </row>
    <row r="459" spans="2:6" x14ac:dyDescent="0.3">
      <c r="B459" s="666"/>
      <c r="E459" s="666"/>
      <c r="F459" s="666"/>
    </row>
    <row r="460" spans="2:6" x14ac:dyDescent="0.3">
      <c r="B460" s="666"/>
      <c r="E460" s="666"/>
      <c r="F460" s="666"/>
    </row>
    <row r="461" spans="2:6" x14ac:dyDescent="0.3">
      <c r="B461" s="666"/>
      <c r="E461" s="666"/>
      <c r="F461" s="666"/>
    </row>
    <row r="462" spans="2:6" x14ac:dyDescent="0.3">
      <c r="B462" s="666"/>
      <c r="E462" s="666"/>
      <c r="F462" s="666"/>
    </row>
    <row r="463" spans="2:6" x14ac:dyDescent="0.3">
      <c r="B463" s="666"/>
      <c r="E463" s="666"/>
      <c r="F463" s="666"/>
    </row>
    <row r="464" spans="2:6" x14ac:dyDescent="0.3">
      <c r="B464" s="666"/>
      <c r="E464" s="666"/>
      <c r="F464" s="666"/>
    </row>
    <row r="465" spans="2:6" x14ac:dyDescent="0.3">
      <c r="B465" s="666"/>
      <c r="E465" s="666"/>
      <c r="F465" s="666"/>
    </row>
    <row r="466" spans="2:6" x14ac:dyDescent="0.3">
      <c r="B466" s="666"/>
      <c r="E466" s="666"/>
      <c r="F466" s="666"/>
    </row>
    <row r="467" spans="2:6" x14ac:dyDescent="0.3">
      <c r="B467" s="666"/>
      <c r="E467" s="666"/>
      <c r="F467" s="666"/>
    </row>
    <row r="468" spans="2:6" x14ac:dyDescent="0.3">
      <c r="B468" s="666"/>
      <c r="E468" s="666"/>
      <c r="F468" s="666"/>
    </row>
    <row r="469" spans="2:6" x14ac:dyDescent="0.3">
      <c r="B469" s="666"/>
      <c r="E469" s="666"/>
      <c r="F469" s="666"/>
    </row>
    <row r="470" spans="2:6" x14ac:dyDescent="0.3">
      <c r="B470" s="666"/>
      <c r="E470" s="666"/>
      <c r="F470" s="666"/>
    </row>
    <row r="471" spans="2:6" x14ac:dyDescent="0.3">
      <c r="B471" s="666"/>
      <c r="E471" s="666"/>
      <c r="F471" s="666"/>
    </row>
    <row r="472" spans="2:6" x14ac:dyDescent="0.3">
      <c r="B472" s="666"/>
      <c r="E472" s="666"/>
      <c r="F472" s="666"/>
    </row>
    <row r="473" spans="2:6" x14ac:dyDescent="0.3">
      <c r="B473" s="666"/>
      <c r="E473" s="666"/>
      <c r="F473" s="666"/>
    </row>
    <row r="474" spans="2:6" x14ac:dyDescent="0.3">
      <c r="B474" s="666"/>
      <c r="E474" s="666"/>
      <c r="F474" s="666"/>
    </row>
    <row r="475" spans="2:6" x14ac:dyDescent="0.3">
      <c r="B475" s="666"/>
      <c r="E475" s="666"/>
      <c r="F475" s="666"/>
    </row>
    <row r="476" spans="2:6" x14ac:dyDescent="0.3">
      <c r="B476" s="666"/>
      <c r="E476" s="666"/>
      <c r="F476" s="666"/>
    </row>
    <row r="477" spans="2:6" x14ac:dyDescent="0.3">
      <c r="B477" s="666"/>
      <c r="E477" s="666"/>
      <c r="F477" s="666"/>
    </row>
    <row r="478" spans="2:6" x14ac:dyDescent="0.3">
      <c r="B478" s="666"/>
      <c r="E478" s="666"/>
      <c r="F478" s="666"/>
    </row>
    <row r="479" spans="2:6" x14ac:dyDescent="0.3">
      <c r="B479" s="666"/>
      <c r="E479" s="666"/>
      <c r="F479" s="666"/>
    </row>
    <row r="480" spans="2:6" x14ac:dyDescent="0.3">
      <c r="B480" s="666"/>
      <c r="E480" s="666"/>
      <c r="F480" s="666"/>
    </row>
    <row r="481" spans="2:6" x14ac:dyDescent="0.3">
      <c r="B481" s="666"/>
      <c r="E481" s="666"/>
      <c r="F481" s="666"/>
    </row>
    <row r="482" spans="2:6" x14ac:dyDescent="0.3">
      <c r="B482" s="666"/>
      <c r="E482" s="666"/>
      <c r="F482" s="666"/>
    </row>
    <row r="483" spans="2:6" x14ac:dyDescent="0.3">
      <c r="B483" s="666"/>
      <c r="E483" s="666"/>
      <c r="F483" s="666"/>
    </row>
    <row r="484" spans="2:6" x14ac:dyDescent="0.3">
      <c r="B484" s="666"/>
      <c r="E484" s="666"/>
      <c r="F484" s="666"/>
    </row>
    <row r="485" spans="2:6" x14ac:dyDescent="0.3">
      <c r="B485" s="666"/>
      <c r="E485" s="666"/>
      <c r="F485" s="666"/>
    </row>
    <row r="486" spans="2:6" x14ac:dyDescent="0.3">
      <c r="B486" s="666"/>
      <c r="E486" s="666"/>
      <c r="F486" s="666"/>
    </row>
    <row r="487" spans="2:6" x14ac:dyDescent="0.3">
      <c r="B487" s="666"/>
      <c r="E487" s="666"/>
      <c r="F487" s="666"/>
    </row>
    <row r="488" spans="2:6" x14ac:dyDescent="0.3">
      <c r="B488" s="666"/>
      <c r="E488" s="666"/>
      <c r="F488" s="666"/>
    </row>
    <row r="489" spans="2:6" x14ac:dyDescent="0.3">
      <c r="B489" s="666"/>
      <c r="E489" s="666"/>
      <c r="F489" s="666"/>
    </row>
    <row r="490" spans="2:6" x14ac:dyDescent="0.3">
      <c r="B490" s="666"/>
      <c r="E490" s="666"/>
      <c r="F490" s="666"/>
    </row>
    <row r="491" spans="2:6" x14ac:dyDescent="0.3">
      <c r="B491" s="666"/>
      <c r="E491" s="666"/>
      <c r="F491" s="666"/>
    </row>
    <row r="492" spans="2:6" x14ac:dyDescent="0.3">
      <c r="B492" s="666"/>
      <c r="E492" s="666"/>
      <c r="F492" s="666"/>
    </row>
    <row r="493" spans="2:6" x14ac:dyDescent="0.3">
      <c r="B493" s="666"/>
      <c r="E493" s="666"/>
      <c r="F493" s="666"/>
    </row>
    <row r="494" spans="2:6" x14ac:dyDescent="0.3">
      <c r="B494" s="666"/>
      <c r="E494" s="666"/>
      <c r="F494" s="666"/>
    </row>
    <row r="495" spans="2:6" x14ac:dyDescent="0.3">
      <c r="B495" s="666"/>
      <c r="E495" s="666"/>
      <c r="F495" s="666"/>
    </row>
    <row r="496" spans="2:6" x14ac:dyDescent="0.3">
      <c r="B496" s="666"/>
      <c r="E496" s="666"/>
      <c r="F496" s="666"/>
    </row>
    <row r="497" spans="2:6" x14ac:dyDescent="0.3">
      <c r="B497" s="666"/>
      <c r="E497" s="666"/>
      <c r="F497" s="666"/>
    </row>
    <row r="498" spans="2:6" x14ac:dyDescent="0.3">
      <c r="B498" s="666"/>
      <c r="E498" s="666"/>
      <c r="F498" s="666"/>
    </row>
    <row r="499" spans="2:6" x14ac:dyDescent="0.3">
      <c r="B499" s="666"/>
      <c r="E499" s="666"/>
      <c r="F499" s="666"/>
    </row>
    <row r="500" spans="2:6" x14ac:dyDescent="0.3">
      <c r="B500" s="666"/>
      <c r="E500" s="666"/>
      <c r="F500" s="666"/>
    </row>
    <row r="501" spans="2:6" x14ac:dyDescent="0.3">
      <c r="B501" s="666"/>
      <c r="E501" s="666"/>
      <c r="F501" s="666"/>
    </row>
    <row r="502" spans="2:6" x14ac:dyDescent="0.3">
      <c r="B502" s="666"/>
      <c r="E502" s="666"/>
      <c r="F502" s="666"/>
    </row>
    <row r="503" spans="2:6" x14ac:dyDescent="0.3">
      <c r="B503" s="666"/>
      <c r="E503" s="666"/>
      <c r="F503" s="666"/>
    </row>
    <row r="504" spans="2:6" x14ac:dyDescent="0.3">
      <c r="B504" s="666"/>
      <c r="E504" s="666"/>
      <c r="F504" s="666"/>
    </row>
    <row r="505" spans="2:6" x14ac:dyDescent="0.3">
      <c r="B505" s="666"/>
      <c r="E505" s="666"/>
      <c r="F505" s="666"/>
    </row>
    <row r="506" spans="2:6" x14ac:dyDescent="0.3">
      <c r="B506" s="666"/>
      <c r="E506" s="666"/>
      <c r="F506" s="666"/>
    </row>
    <row r="507" spans="2:6" x14ac:dyDescent="0.3">
      <c r="B507" s="666"/>
      <c r="E507" s="666"/>
      <c r="F507" s="666"/>
    </row>
    <row r="508" spans="2:6" x14ac:dyDescent="0.3">
      <c r="B508" s="666"/>
      <c r="E508" s="666"/>
      <c r="F508" s="666"/>
    </row>
    <row r="509" spans="2:6" x14ac:dyDescent="0.3">
      <c r="B509" s="666"/>
      <c r="E509" s="666"/>
      <c r="F509" s="666"/>
    </row>
    <row r="510" spans="2:6" x14ac:dyDescent="0.3">
      <c r="B510" s="666"/>
      <c r="E510" s="666"/>
      <c r="F510" s="666"/>
    </row>
    <row r="511" spans="2:6" x14ac:dyDescent="0.3">
      <c r="B511" s="666"/>
      <c r="E511" s="666"/>
      <c r="F511" s="666"/>
    </row>
    <row r="512" spans="2:6" x14ac:dyDescent="0.3">
      <c r="B512" s="666"/>
      <c r="E512" s="666"/>
      <c r="F512" s="666"/>
    </row>
    <row r="513" spans="2:6" x14ac:dyDescent="0.3">
      <c r="B513" s="666"/>
      <c r="E513" s="666"/>
      <c r="F513" s="666"/>
    </row>
    <row r="514" spans="2:6" x14ac:dyDescent="0.3">
      <c r="B514" s="666"/>
      <c r="E514" s="666"/>
      <c r="F514" s="666"/>
    </row>
    <row r="515" spans="2:6" x14ac:dyDescent="0.3">
      <c r="B515" s="666"/>
      <c r="E515" s="666"/>
      <c r="F515" s="666"/>
    </row>
    <row r="516" spans="2:6" x14ac:dyDescent="0.3">
      <c r="B516" s="666"/>
      <c r="E516" s="666"/>
      <c r="F516" s="666"/>
    </row>
    <row r="517" spans="2:6" x14ac:dyDescent="0.3">
      <c r="B517" s="666"/>
      <c r="E517" s="666"/>
      <c r="F517" s="666"/>
    </row>
    <row r="518" spans="2:6" x14ac:dyDescent="0.3">
      <c r="B518" s="666"/>
      <c r="E518" s="666"/>
      <c r="F518" s="666"/>
    </row>
    <row r="519" spans="2:6" x14ac:dyDescent="0.3">
      <c r="B519" s="666"/>
      <c r="E519" s="666"/>
      <c r="F519" s="666"/>
    </row>
    <row r="520" spans="2:6" x14ac:dyDescent="0.3">
      <c r="B520" s="666"/>
      <c r="E520" s="666"/>
      <c r="F520" s="666"/>
    </row>
    <row r="521" spans="2:6" x14ac:dyDescent="0.3">
      <c r="B521" s="666"/>
      <c r="E521" s="666"/>
      <c r="F521" s="666"/>
    </row>
    <row r="522" spans="2:6" x14ac:dyDescent="0.3">
      <c r="B522" s="666"/>
      <c r="E522" s="666"/>
      <c r="F522" s="666"/>
    </row>
    <row r="523" spans="2:6" x14ac:dyDescent="0.3">
      <c r="B523" s="666"/>
      <c r="E523" s="666"/>
      <c r="F523" s="666"/>
    </row>
    <row r="524" spans="2:6" x14ac:dyDescent="0.3">
      <c r="B524" s="666"/>
      <c r="E524" s="666"/>
      <c r="F524" s="666"/>
    </row>
    <row r="525" spans="2:6" x14ac:dyDescent="0.3">
      <c r="B525" s="666"/>
      <c r="E525" s="666"/>
      <c r="F525" s="666"/>
    </row>
    <row r="526" spans="2:6" x14ac:dyDescent="0.3">
      <c r="B526" s="666"/>
      <c r="E526" s="666"/>
      <c r="F526" s="666"/>
    </row>
    <row r="527" spans="2:6" x14ac:dyDescent="0.3">
      <c r="B527" s="666"/>
      <c r="E527" s="666"/>
      <c r="F527" s="666"/>
    </row>
    <row r="528" spans="2:6" x14ac:dyDescent="0.3">
      <c r="B528" s="666"/>
      <c r="E528" s="666"/>
      <c r="F528" s="666"/>
    </row>
    <row r="529" spans="2:6" x14ac:dyDescent="0.3">
      <c r="B529" s="666"/>
      <c r="E529" s="666"/>
      <c r="F529" s="666"/>
    </row>
    <row r="530" spans="2:6" x14ac:dyDescent="0.3">
      <c r="B530" s="666"/>
      <c r="E530" s="666"/>
      <c r="F530" s="666"/>
    </row>
    <row r="531" spans="2:6" x14ac:dyDescent="0.3">
      <c r="B531" s="666"/>
      <c r="E531" s="666"/>
      <c r="F531" s="666"/>
    </row>
    <row r="532" spans="2:6" x14ac:dyDescent="0.3">
      <c r="B532" s="666"/>
      <c r="E532" s="666"/>
      <c r="F532" s="666"/>
    </row>
    <row r="533" spans="2:6" x14ac:dyDescent="0.3">
      <c r="B533" s="666"/>
      <c r="E533" s="666"/>
      <c r="F533" s="666"/>
    </row>
    <row r="534" spans="2:6" x14ac:dyDescent="0.3">
      <c r="B534" s="666"/>
      <c r="E534" s="666"/>
      <c r="F534" s="666"/>
    </row>
    <row r="535" spans="2:6" x14ac:dyDescent="0.3">
      <c r="B535" s="666"/>
      <c r="E535" s="666"/>
      <c r="F535" s="666"/>
    </row>
    <row r="536" spans="2:6" x14ac:dyDescent="0.3">
      <c r="B536" s="666"/>
      <c r="E536" s="666"/>
      <c r="F536" s="666"/>
    </row>
    <row r="537" spans="2:6" x14ac:dyDescent="0.3">
      <c r="B537" s="666"/>
      <c r="E537" s="666"/>
      <c r="F537" s="666"/>
    </row>
    <row r="538" spans="2:6" x14ac:dyDescent="0.3">
      <c r="B538" s="666"/>
      <c r="E538" s="666"/>
      <c r="F538" s="666"/>
    </row>
    <row r="539" spans="2:6" x14ac:dyDescent="0.3">
      <c r="B539" s="666"/>
      <c r="E539" s="666"/>
      <c r="F539" s="666"/>
    </row>
    <row r="540" spans="2:6" x14ac:dyDescent="0.3">
      <c r="B540" s="666"/>
      <c r="E540" s="666"/>
      <c r="F540" s="666"/>
    </row>
    <row r="541" spans="2:6" x14ac:dyDescent="0.3">
      <c r="B541" s="666"/>
      <c r="E541" s="666"/>
      <c r="F541" s="666"/>
    </row>
    <row r="542" spans="2:6" x14ac:dyDescent="0.3">
      <c r="B542" s="666"/>
      <c r="E542" s="666"/>
      <c r="F542" s="666"/>
    </row>
    <row r="543" spans="2:6" x14ac:dyDescent="0.3">
      <c r="B543" s="666"/>
      <c r="E543" s="666"/>
      <c r="F543" s="666"/>
    </row>
    <row r="544" spans="2:6" x14ac:dyDescent="0.3">
      <c r="B544" s="666"/>
      <c r="E544" s="666"/>
      <c r="F544" s="666"/>
    </row>
    <row r="545" spans="2:6" x14ac:dyDescent="0.3">
      <c r="B545" s="666"/>
      <c r="E545" s="666"/>
      <c r="F545" s="666"/>
    </row>
    <row r="546" spans="2:6" x14ac:dyDescent="0.3">
      <c r="B546" s="666"/>
      <c r="E546" s="666"/>
      <c r="F546" s="666"/>
    </row>
    <row r="547" spans="2:6" x14ac:dyDescent="0.3">
      <c r="B547" s="666"/>
      <c r="E547" s="666"/>
      <c r="F547" s="666"/>
    </row>
    <row r="548" spans="2:6" x14ac:dyDescent="0.3">
      <c r="B548" s="666"/>
      <c r="E548" s="666"/>
      <c r="F548" s="666"/>
    </row>
    <row r="549" spans="2:6" x14ac:dyDescent="0.3">
      <c r="B549" s="666"/>
      <c r="E549" s="666"/>
      <c r="F549" s="666"/>
    </row>
    <row r="550" spans="2:6" x14ac:dyDescent="0.3">
      <c r="B550" s="666"/>
      <c r="E550" s="666"/>
      <c r="F550" s="666"/>
    </row>
    <row r="551" spans="2:6" x14ac:dyDescent="0.3">
      <c r="B551" s="666"/>
      <c r="E551" s="666"/>
      <c r="F551" s="666"/>
    </row>
    <row r="552" spans="2:6" x14ac:dyDescent="0.3">
      <c r="B552" s="666"/>
      <c r="E552" s="666"/>
      <c r="F552" s="666"/>
    </row>
    <row r="553" spans="2:6" x14ac:dyDescent="0.3">
      <c r="B553" s="666"/>
      <c r="E553" s="666"/>
      <c r="F553" s="666"/>
    </row>
    <row r="554" spans="2:6" x14ac:dyDescent="0.3">
      <c r="B554" s="666"/>
      <c r="E554" s="666"/>
      <c r="F554" s="666"/>
    </row>
    <row r="555" spans="2:6" x14ac:dyDescent="0.3">
      <c r="B555" s="666"/>
      <c r="E555" s="666"/>
      <c r="F555" s="666"/>
    </row>
    <row r="556" spans="2:6" x14ac:dyDescent="0.3">
      <c r="B556" s="666"/>
      <c r="E556" s="666"/>
      <c r="F556" s="666"/>
    </row>
    <row r="557" spans="2:6" x14ac:dyDescent="0.3">
      <c r="B557" s="666"/>
      <c r="E557" s="666"/>
      <c r="F557" s="666"/>
    </row>
    <row r="558" spans="2:6" x14ac:dyDescent="0.3">
      <c r="B558" s="666"/>
      <c r="E558" s="666"/>
      <c r="F558" s="666"/>
    </row>
    <row r="559" spans="2:6" x14ac:dyDescent="0.3">
      <c r="B559" s="666"/>
      <c r="E559" s="666"/>
      <c r="F559" s="666"/>
    </row>
    <row r="560" spans="2:6" x14ac:dyDescent="0.3">
      <c r="B560" s="666"/>
      <c r="E560" s="666"/>
      <c r="F560" s="666"/>
    </row>
    <row r="561" spans="2:6" x14ac:dyDescent="0.3">
      <c r="B561" s="666"/>
      <c r="E561" s="666"/>
      <c r="F561" s="666"/>
    </row>
    <row r="562" spans="2:6" x14ac:dyDescent="0.3">
      <c r="B562" s="666"/>
      <c r="E562" s="666"/>
      <c r="F562" s="666"/>
    </row>
    <row r="563" spans="2:6" x14ac:dyDescent="0.3">
      <c r="B563" s="666"/>
      <c r="E563" s="666"/>
      <c r="F563" s="666"/>
    </row>
    <row r="564" spans="2:6" x14ac:dyDescent="0.3">
      <c r="B564" s="666"/>
      <c r="E564" s="666"/>
      <c r="F564" s="666"/>
    </row>
    <row r="565" spans="2:6" x14ac:dyDescent="0.3">
      <c r="B565" s="666"/>
      <c r="E565" s="666"/>
      <c r="F565" s="666"/>
    </row>
    <row r="566" spans="2:6" x14ac:dyDescent="0.3">
      <c r="B566" s="666"/>
      <c r="E566" s="666"/>
      <c r="F566" s="666"/>
    </row>
    <row r="567" spans="2:6" x14ac:dyDescent="0.3">
      <c r="B567" s="666"/>
      <c r="E567" s="666"/>
      <c r="F567" s="666"/>
    </row>
    <row r="568" spans="2:6" x14ac:dyDescent="0.3">
      <c r="B568" s="666"/>
      <c r="E568" s="666"/>
      <c r="F568" s="666"/>
    </row>
    <row r="569" spans="2:6" x14ac:dyDescent="0.3">
      <c r="B569" s="666"/>
      <c r="E569" s="666"/>
      <c r="F569" s="666"/>
    </row>
    <row r="570" spans="2:6" x14ac:dyDescent="0.3">
      <c r="B570" s="666"/>
      <c r="E570" s="666"/>
      <c r="F570" s="666"/>
    </row>
    <row r="571" spans="2:6" x14ac:dyDescent="0.3">
      <c r="B571" s="666"/>
      <c r="E571" s="666"/>
      <c r="F571" s="666"/>
    </row>
    <row r="572" spans="2:6" x14ac:dyDescent="0.3">
      <c r="B572" s="666"/>
      <c r="E572" s="666"/>
      <c r="F572" s="666"/>
    </row>
    <row r="573" spans="2:6" x14ac:dyDescent="0.3">
      <c r="B573" s="666"/>
      <c r="E573" s="666"/>
      <c r="F573" s="666"/>
    </row>
    <row r="574" spans="2:6" x14ac:dyDescent="0.3">
      <c r="B574" s="666"/>
      <c r="E574" s="666"/>
      <c r="F574" s="666"/>
    </row>
    <row r="575" spans="2:6" x14ac:dyDescent="0.3">
      <c r="B575" s="666"/>
      <c r="E575" s="666"/>
      <c r="F575" s="666"/>
    </row>
    <row r="576" spans="2:6" x14ac:dyDescent="0.3">
      <c r="B576" s="666"/>
      <c r="E576" s="666"/>
      <c r="F576" s="666"/>
    </row>
    <row r="577" spans="2:6" x14ac:dyDescent="0.3">
      <c r="B577" s="666"/>
      <c r="E577" s="666"/>
      <c r="F577" s="666"/>
    </row>
    <row r="578" spans="2:6" x14ac:dyDescent="0.3">
      <c r="B578" s="666"/>
      <c r="E578" s="666"/>
      <c r="F578" s="666"/>
    </row>
    <row r="579" spans="2:6" x14ac:dyDescent="0.3">
      <c r="B579" s="666"/>
      <c r="E579" s="666"/>
      <c r="F579" s="666"/>
    </row>
    <row r="580" spans="2:6" x14ac:dyDescent="0.3">
      <c r="B580" s="666"/>
      <c r="E580" s="666"/>
      <c r="F580" s="666"/>
    </row>
    <row r="581" spans="2:6" x14ac:dyDescent="0.3">
      <c r="B581" s="666"/>
      <c r="E581" s="666"/>
      <c r="F581" s="666"/>
    </row>
    <row r="582" spans="2:6" x14ac:dyDescent="0.3">
      <c r="B582" s="666"/>
      <c r="E582" s="666"/>
      <c r="F582" s="666"/>
    </row>
    <row r="583" spans="2:6" x14ac:dyDescent="0.3">
      <c r="B583" s="666"/>
      <c r="E583" s="666"/>
      <c r="F583" s="666"/>
    </row>
    <row r="584" spans="2:6" x14ac:dyDescent="0.3">
      <c r="B584" s="666"/>
      <c r="E584" s="666"/>
      <c r="F584" s="666"/>
    </row>
    <row r="585" spans="2:6" x14ac:dyDescent="0.3">
      <c r="B585" s="666"/>
      <c r="E585" s="666"/>
      <c r="F585" s="666"/>
    </row>
    <row r="586" spans="2:6" x14ac:dyDescent="0.3">
      <c r="B586" s="666"/>
      <c r="E586" s="666"/>
      <c r="F586" s="666"/>
    </row>
    <row r="587" spans="2:6" x14ac:dyDescent="0.3">
      <c r="B587" s="666"/>
      <c r="E587" s="666"/>
      <c r="F587" s="666"/>
    </row>
    <row r="588" spans="2:6" x14ac:dyDescent="0.3">
      <c r="B588" s="666"/>
      <c r="E588" s="666"/>
      <c r="F588" s="666"/>
    </row>
    <row r="589" spans="2:6" x14ac:dyDescent="0.3">
      <c r="B589" s="666"/>
      <c r="E589" s="666"/>
      <c r="F589" s="666"/>
    </row>
    <row r="590" spans="2:6" x14ac:dyDescent="0.3">
      <c r="B590" s="666"/>
      <c r="E590" s="666"/>
      <c r="F590" s="666"/>
    </row>
    <row r="591" spans="2:6" x14ac:dyDescent="0.3">
      <c r="B591" s="666"/>
      <c r="E591" s="666"/>
      <c r="F591" s="666"/>
    </row>
    <row r="592" spans="2:6" x14ac:dyDescent="0.3">
      <c r="B592" s="666"/>
      <c r="E592" s="666"/>
      <c r="F592" s="666"/>
    </row>
    <row r="593" spans="2:6" x14ac:dyDescent="0.3">
      <c r="B593" s="666"/>
      <c r="E593" s="666"/>
      <c r="F593" s="666"/>
    </row>
    <row r="594" spans="2:6" x14ac:dyDescent="0.3">
      <c r="B594" s="666"/>
      <c r="E594" s="666"/>
      <c r="F594" s="666"/>
    </row>
    <row r="595" spans="2:6" x14ac:dyDescent="0.3">
      <c r="B595" s="666"/>
      <c r="E595" s="666"/>
      <c r="F595" s="666"/>
    </row>
    <row r="596" spans="2:6" x14ac:dyDescent="0.3">
      <c r="B596" s="666"/>
      <c r="E596" s="666"/>
      <c r="F596" s="666"/>
    </row>
    <row r="597" spans="2:6" x14ac:dyDescent="0.3">
      <c r="B597" s="666"/>
      <c r="E597" s="666"/>
      <c r="F597" s="666"/>
    </row>
    <row r="598" spans="2:6" x14ac:dyDescent="0.3">
      <c r="B598" s="666"/>
      <c r="E598" s="666"/>
      <c r="F598" s="666"/>
    </row>
    <row r="599" spans="2:6" x14ac:dyDescent="0.3">
      <c r="B599" s="666"/>
      <c r="E599" s="666"/>
      <c r="F599" s="666"/>
    </row>
    <row r="600" spans="2:6" x14ac:dyDescent="0.3">
      <c r="B600" s="666"/>
      <c r="E600" s="666"/>
      <c r="F600" s="666"/>
    </row>
    <row r="601" spans="2:6" x14ac:dyDescent="0.3">
      <c r="B601" s="666"/>
      <c r="E601" s="666"/>
      <c r="F601" s="666"/>
    </row>
    <row r="602" spans="2:6" x14ac:dyDescent="0.3">
      <c r="B602" s="666"/>
      <c r="E602" s="666"/>
      <c r="F602" s="666"/>
    </row>
    <row r="603" spans="2:6" x14ac:dyDescent="0.3">
      <c r="B603" s="666"/>
      <c r="E603" s="666"/>
      <c r="F603" s="666"/>
    </row>
    <row r="604" spans="2:6" x14ac:dyDescent="0.3">
      <c r="B604" s="666"/>
      <c r="E604" s="666"/>
      <c r="F604" s="666"/>
    </row>
    <row r="605" spans="2:6" x14ac:dyDescent="0.3">
      <c r="B605" s="666"/>
      <c r="E605" s="666"/>
      <c r="F605" s="666"/>
    </row>
    <row r="606" spans="2:6" x14ac:dyDescent="0.3">
      <c r="B606" s="666"/>
      <c r="E606" s="666"/>
      <c r="F606" s="666"/>
    </row>
    <row r="607" spans="2:6" x14ac:dyDescent="0.3">
      <c r="B607" s="666"/>
      <c r="E607" s="666"/>
      <c r="F607" s="666"/>
    </row>
    <row r="608" spans="2:6" x14ac:dyDescent="0.3">
      <c r="B608" s="666"/>
      <c r="E608" s="666"/>
      <c r="F608" s="666"/>
    </row>
    <row r="609" spans="2:6" x14ac:dyDescent="0.3">
      <c r="B609" s="666"/>
      <c r="E609" s="666"/>
      <c r="F609" s="666"/>
    </row>
    <row r="610" spans="2:6" x14ac:dyDescent="0.3">
      <c r="B610" s="666"/>
      <c r="E610" s="666"/>
      <c r="F610" s="666"/>
    </row>
    <row r="611" spans="2:6" x14ac:dyDescent="0.3">
      <c r="B611" s="666"/>
      <c r="E611" s="666"/>
      <c r="F611" s="666"/>
    </row>
    <row r="612" spans="2:6" x14ac:dyDescent="0.3">
      <c r="B612" s="666"/>
      <c r="E612" s="666"/>
      <c r="F612" s="666"/>
    </row>
    <row r="613" spans="2:6" x14ac:dyDescent="0.3">
      <c r="B613" s="666"/>
      <c r="E613" s="666"/>
      <c r="F613" s="666"/>
    </row>
    <row r="614" spans="2:6" x14ac:dyDescent="0.3">
      <c r="B614" s="666"/>
      <c r="E614" s="666"/>
      <c r="F614" s="666"/>
    </row>
    <row r="615" spans="2:6" x14ac:dyDescent="0.3">
      <c r="B615" s="666"/>
      <c r="E615" s="666"/>
      <c r="F615" s="666"/>
    </row>
    <row r="616" spans="2:6" x14ac:dyDescent="0.3">
      <c r="B616" s="666"/>
      <c r="E616" s="666"/>
      <c r="F616" s="666"/>
    </row>
    <row r="617" spans="2:6" x14ac:dyDescent="0.3">
      <c r="B617" s="666"/>
      <c r="E617" s="666"/>
      <c r="F617" s="666"/>
    </row>
    <row r="618" spans="2:6" x14ac:dyDescent="0.3">
      <c r="B618" s="666"/>
      <c r="E618" s="666"/>
      <c r="F618" s="666"/>
    </row>
    <row r="619" spans="2:6" x14ac:dyDescent="0.3">
      <c r="B619" s="666"/>
      <c r="E619" s="666"/>
      <c r="F619" s="666"/>
    </row>
    <row r="620" spans="2:6" x14ac:dyDescent="0.3">
      <c r="B620" s="666"/>
      <c r="E620" s="666"/>
      <c r="F620" s="666"/>
    </row>
    <row r="621" spans="2:6" x14ac:dyDescent="0.3">
      <c r="B621" s="666"/>
      <c r="E621" s="666"/>
      <c r="F621" s="666"/>
    </row>
    <row r="622" spans="2:6" x14ac:dyDescent="0.3">
      <c r="B622" s="666"/>
      <c r="E622" s="666"/>
      <c r="F622" s="666"/>
    </row>
    <row r="623" spans="2:6" x14ac:dyDescent="0.3">
      <c r="B623" s="666"/>
      <c r="E623" s="666"/>
      <c r="F623" s="666"/>
    </row>
    <row r="624" spans="2:6" x14ac:dyDescent="0.3">
      <c r="B624" s="666"/>
      <c r="E624" s="666"/>
      <c r="F624" s="666"/>
    </row>
    <row r="625" spans="2:6" x14ac:dyDescent="0.3">
      <c r="B625" s="666"/>
      <c r="E625" s="666"/>
      <c r="F625" s="666"/>
    </row>
    <row r="626" spans="2:6" x14ac:dyDescent="0.3">
      <c r="B626" s="666"/>
      <c r="E626" s="666"/>
      <c r="F626" s="666"/>
    </row>
    <row r="627" spans="2:6" x14ac:dyDescent="0.3">
      <c r="B627" s="666"/>
      <c r="E627" s="666"/>
      <c r="F627" s="666"/>
    </row>
    <row r="628" spans="2:6" x14ac:dyDescent="0.3">
      <c r="B628" s="666"/>
      <c r="E628" s="666"/>
      <c r="F628" s="666"/>
    </row>
    <row r="629" spans="2:6" x14ac:dyDescent="0.3">
      <c r="B629" s="666"/>
      <c r="E629" s="666"/>
      <c r="F629" s="666"/>
    </row>
    <row r="630" spans="2:6" x14ac:dyDescent="0.3">
      <c r="B630" s="666"/>
      <c r="E630" s="666"/>
      <c r="F630" s="666"/>
    </row>
    <row r="631" spans="2:6" x14ac:dyDescent="0.3">
      <c r="B631" s="666"/>
      <c r="E631" s="666"/>
      <c r="F631" s="666"/>
    </row>
    <row r="632" spans="2:6" x14ac:dyDescent="0.3">
      <c r="B632" s="666"/>
      <c r="E632" s="666"/>
      <c r="F632" s="666"/>
    </row>
    <row r="633" spans="2:6" x14ac:dyDescent="0.3">
      <c r="B633" s="666"/>
      <c r="E633" s="666"/>
      <c r="F633" s="666"/>
    </row>
    <row r="634" spans="2:6" x14ac:dyDescent="0.3">
      <c r="B634" s="666"/>
      <c r="E634" s="666"/>
      <c r="F634" s="666"/>
    </row>
    <row r="635" spans="2:6" x14ac:dyDescent="0.3">
      <c r="B635" s="666"/>
      <c r="E635" s="666"/>
      <c r="F635" s="666"/>
    </row>
    <row r="636" spans="2:6" x14ac:dyDescent="0.3">
      <c r="B636" s="666"/>
      <c r="E636" s="666"/>
      <c r="F636" s="666"/>
    </row>
    <row r="637" spans="2:6" x14ac:dyDescent="0.3">
      <c r="B637" s="666"/>
      <c r="E637" s="666"/>
      <c r="F637" s="666"/>
    </row>
    <row r="638" spans="2:6" x14ac:dyDescent="0.3">
      <c r="B638" s="666"/>
      <c r="E638" s="666"/>
      <c r="F638" s="666"/>
    </row>
    <row r="639" spans="2:6" x14ac:dyDescent="0.3">
      <c r="B639" s="666"/>
      <c r="E639" s="666"/>
      <c r="F639" s="666"/>
    </row>
    <row r="640" spans="2:6" x14ac:dyDescent="0.3">
      <c r="B640" s="666"/>
      <c r="E640" s="666"/>
      <c r="F640" s="666"/>
    </row>
    <row r="641" spans="2:6" x14ac:dyDescent="0.3">
      <c r="B641" s="666"/>
      <c r="E641" s="666"/>
      <c r="F641" s="666"/>
    </row>
    <row r="642" spans="2:6" x14ac:dyDescent="0.3">
      <c r="B642" s="666"/>
      <c r="E642" s="666"/>
      <c r="F642" s="666"/>
    </row>
    <row r="643" spans="2:6" x14ac:dyDescent="0.3">
      <c r="B643" s="666"/>
      <c r="E643" s="666"/>
      <c r="F643" s="666"/>
    </row>
    <row r="644" spans="2:6" x14ac:dyDescent="0.3">
      <c r="B644" s="666"/>
      <c r="E644" s="666"/>
      <c r="F644" s="666"/>
    </row>
    <row r="645" spans="2:6" x14ac:dyDescent="0.3">
      <c r="B645" s="666"/>
      <c r="E645" s="666"/>
      <c r="F645" s="666"/>
    </row>
    <row r="646" spans="2:6" x14ac:dyDescent="0.3">
      <c r="B646" s="666"/>
      <c r="E646" s="666"/>
      <c r="F646" s="666"/>
    </row>
    <row r="647" spans="2:6" x14ac:dyDescent="0.3">
      <c r="B647" s="666"/>
      <c r="E647" s="666"/>
      <c r="F647" s="666"/>
    </row>
    <row r="648" spans="2:6" x14ac:dyDescent="0.3">
      <c r="B648" s="666"/>
      <c r="E648" s="666"/>
      <c r="F648" s="666"/>
    </row>
    <row r="649" spans="2:6" x14ac:dyDescent="0.3">
      <c r="B649" s="666"/>
      <c r="E649" s="666"/>
      <c r="F649" s="666"/>
    </row>
    <row r="650" spans="2:6" x14ac:dyDescent="0.3">
      <c r="B650" s="666"/>
      <c r="E650" s="666"/>
      <c r="F650" s="666"/>
    </row>
    <row r="651" spans="2:6" x14ac:dyDescent="0.3">
      <c r="B651" s="666"/>
      <c r="E651" s="666"/>
      <c r="F651" s="666"/>
    </row>
    <row r="652" spans="2:6" x14ac:dyDescent="0.3">
      <c r="B652" s="666"/>
      <c r="E652" s="666"/>
      <c r="F652" s="666"/>
    </row>
    <row r="653" spans="2:6" x14ac:dyDescent="0.3">
      <c r="B653" s="666"/>
      <c r="E653" s="666"/>
      <c r="F653" s="666"/>
    </row>
    <row r="654" spans="2:6" x14ac:dyDescent="0.3">
      <c r="B654" s="666"/>
      <c r="E654" s="666"/>
      <c r="F654" s="666"/>
    </row>
    <row r="655" spans="2:6" x14ac:dyDescent="0.3">
      <c r="B655" s="666"/>
      <c r="E655" s="666"/>
      <c r="F655" s="666"/>
    </row>
    <row r="656" spans="2:6" x14ac:dyDescent="0.3">
      <c r="B656" s="666"/>
      <c r="E656" s="666"/>
      <c r="F656" s="666"/>
    </row>
    <row r="657" spans="2:6" x14ac:dyDescent="0.3">
      <c r="B657" s="666"/>
      <c r="E657" s="666"/>
      <c r="F657" s="666"/>
    </row>
    <row r="658" spans="2:6" x14ac:dyDescent="0.3">
      <c r="B658" s="666"/>
      <c r="E658" s="666"/>
      <c r="F658" s="666"/>
    </row>
    <row r="659" spans="2:6" x14ac:dyDescent="0.3">
      <c r="B659" s="666"/>
      <c r="E659" s="666"/>
      <c r="F659" s="666"/>
    </row>
    <row r="660" spans="2:6" x14ac:dyDescent="0.3">
      <c r="B660" s="666"/>
      <c r="E660" s="666"/>
      <c r="F660" s="666"/>
    </row>
    <row r="661" spans="2:6" x14ac:dyDescent="0.3">
      <c r="B661" s="666"/>
      <c r="E661" s="666"/>
      <c r="F661" s="666"/>
    </row>
    <row r="662" spans="2:6" x14ac:dyDescent="0.3">
      <c r="B662" s="666"/>
      <c r="E662" s="666"/>
      <c r="F662" s="666"/>
    </row>
    <row r="663" spans="2:6" x14ac:dyDescent="0.3">
      <c r="B663" s="666"/>
      <c r="E663" s="666"/>
      <c r="F663" s="666"/>
    </row>
    <row r="664" spans="2:6" x14ac:dyDescent="0.3">
      <c r="B664" s="666"/>
      <c r="E664" s="666"/>
      <c r="F664" s="666"/>
    </row>
    <row r="665" spans="2:6" x14ac:dyDescent="0.3">
      <c r="B665" s="666"/>
      <c r="E665" s="666"/>
      <c r="F665" s="666"/>
    </row>
    <row r="666" spans="2:6" x14ac:dyDescent="0.3">
      <c r="B666" s="666"/>
      <c r="E666" s="666"/>
      <c r="F666" s="666"/>
    </row>
    <row r="667" spans="2:6" x14ac:dyDescent="0.3">
      <c r="B667" s="666"/>
      <c r="E667" s="666"/>
      <c r="F667" s="666"/>
    </row>
    <row r="668" spans="2:6" x14ac:dyDescent="0.3">
      <c r="B668" s="666"/>
      <c r="E668" s="666"/>
      <c r="F668" s="666"/>
    </row>
    <row r="669" spans="2:6" x14ac:dyDescent="0.3">
      <c r="B669" s="666"/>
      <c r="E669" s="666"/>
      <c r="F669" s="666"/>
    </row>
    <row r="670" spans="2:6" x14ac:dyDescent="0.3">
      <c r="B670" s="666"/>
      <c r="E670" s="666"/>
      <c r="F670" s="666"/>
    </row>
    <row r="671" spans="2:6" x14ac:dyDescent="0.3">
      <c r="B671" s="666"/>
      <c r="E671" s="666"/>
      <c r="F671" s="666"/>
    </row>
    <row r="672" spans="2:6" x14ac:dyDescent="0.3">
      <c r="B672" s="666"/>
      <c r="E672" s="666"/>
      <c r="F672" s="666"/>
    </row>
    <row r="673" spans="2:6" x14ac:dyDescent="0.3">
      <c r="B673" s="666"/>
      <c r="E673" s="666"/>
      <c r="F673" s="666"/>
    </row>
    <row r="674" spans="2:6" x14ac:dyDescent="0.3">
      <c r="B674" s="666"/>
      <c r="E674" s="666"/>
      <c r="F674" s="666"/>
    </row>
    <row r="675" spans="2:6" x14ac:dyDescent="0.3">
      <c r="B675" s="666"/>
      <c r="E675" s="666"/>
      <c r="F675" s="666"/>
    </row>
    <row r="676" spans="2:6" x14ac:dyDescent="0.3">
      <c r="B676" s="666"/>
      <c r="E676" s="666"/>
      <c r="F676" s="666"/>
    </row>
    <row r="677" spans="2:6" x14ac:dyDescent="0.3">
      <c r="B677" s="666"/>
      <c r="E677" s="666"/>
      <c r="F677" s="666"/>
    </row>
    <row r="678" spans="2:6" x14ac:dyDescent="0.3">
      <c r="B678" s="666"/>
      <c r="E678" s="666"/>
      <c r="F678" s="666"/>
    </row>
    <row r="679" spans="2:6" x14ac:dyDescent="0.3">
      <c r="B679" s="666"/>
      <c r="E679" s="666"/>
      <c r="F679" s="666"/>
    </row>
    <row r="680" spans="2:6" x14ac:dyDescent="0.3">
      <c r="B680" s="666"/>
      <c r="E680" s="666"/>
      <c r="F680" s="666"/>
    </row>
    <row r="681" spans="2:6" x14ac:dyDescent="0.3">
      <c r="B681" s="666"/>
      <c r="E681" s="666"/>
      <c r="F681" s="666"/>
    </row>
    <row r="682" spans="2:6" x14ac:dyDescent="0.3">
      <c r="B682" s="666"/>
      <c r="E682" s="666"/>
      <c r="F682" s="666"/>
    </row>
    <row r="683" spans="2:6" x14ac:dyDescent="0.3">
      <c r="B683" s="666"/>
      <c r="E683" s="666"/>
      <c r="F683" s="666"/>
    </row>
    <row r="684" spans="2:6" x14ac:dyDescent="0.3">
      <c r="B684" s="666"/>
      <c r="E684" s="666"/>
      <c r="F684" s="666"/>
    </row>
    <row r="685" spans="2:6" x14ac:dyDescent="0.3">
      <c r="B685" s="666"/>
      <c r="E685" s="666"/>
      <c r="F685" s="666"/>
    </row>
    <row r="686" spans="2:6" x14ac:dyDescent="0.3">
      <c r="B686" s="666"/>
      <c r="E686" s="666"/>
      <c r="F686" s="666"/>
    </row>
    <row r="687" spans="2:6" x14ac:dyDescent="0.3">
      <c r="B687" s="666"/>
      <c r="E687" s="666"/>
      <c r="F687" s="666"/>
    </row>
    <row r="688" spans="2:6" x14ac:dyDescent="0.3">
      <c r="B688" s="666"/>
      <c r="E688" s="666"/>
      <c r="F688" s="666"/>
    </row>
    <row r="689" spans="2:6" x14ac:dyDescent="0.3">
      <c r="B689" s="666"/>
      <c r="E689" s="666"/>
      <c r="F689" s="666"/>
    </row>
    <row r="690" spans="2:6" x14ac:dyDescent="0.3">
      <c r="B690" s="666"/>
      <c r="E690" s="666"/>
      <c r="F690" s="666"/>
    </row>
    <row r="691" spans="2:6" x14ac:dyDescent="0.3">
      <c r="B691" s="666"/>
      <c r="E691" s="666"/>
      <c r="F691" s="666"/>
    </row>
    <row r="692" spans="2:6" x14ac:dyDescent="0.3">
      <c r="B692" s="666"/>
      <c r="E692" s="666"/>
      <c r="F692" s="666"/>
    </row>
    <row r="693" spans="2:6" x14ac:dyDescent="0.3">
      <c r="B693" s="666"/>
      <c r="E693" s="666"/>
      <c r="F693" s="666"/>
    </row>
    <row r="694" spans="2:6" x14ac:dyDescent="0.3">
      <c r="B694" s="666"/>
      <c r="E694" s="666"/>
      <c r="F694" s="666"/>
    </row>
    <row r="695" spans="2:6" x14ac:dyDescent="0.3">
      <c r="B695" s="666"/>
      <c r="E695" s="666"/>
      <c r="F695" s="666"/>
    </row>
    <row r="696" spans="2:6" x14ac:dyDescent="0.3">
      <c r="B696" s="666"/>
      <c r="E696" s="666"/>
      <c r="F696" s="666"/>
    </row>
    <row r="697" spans="2:6" x14ac:dyDescent="0.3">
      <c r="B697" s="666"/>
      <c r="E697" s="666"/>
      <c r="F697" s="666"/>
    </row>
    <row r="698" spans="2:6" x14ac:dyDescent="0.3">
      <c r="B698" s="666"/>
      <c r="E698" s="666"/>
      <c r="F698" s="666"/>
    </row>
    <row r="699" spans="2:6" x14ac:dyDescent="0.3">
      <c r="B699" s="666"/>
      <c r="E699" s="666"/>
      <c r="F699" s="666"/>
    </row>
    <row r="700" spans="2:6" x14ac:dyDescent="0.3">
      <c r="B700" s="666"/>
      <c r="E700" s="666"/>
      <c r="F700" s="666"/>
    </row>
    <row r="701" spans="2:6" x14ac:dyDescent="0.3">
      <c r="B701" s="666"/>
      <c r="E701" s="666"/>
      <c r="F701" s="666"/>
    </row>
    <row r="702" spans="2:6" x14ac:dyDescent="0.3">
      <c r="B702" s="666"/>
      <c r="E702" s="666"/>
      <c r="F702" s="666"/>
    </row>
    <row r="703" spans="2:6" x14ac:dyDescent="0.3">
      <c r="B703" s="666"/>
      <c r="E703" s="666"/>
      <c r="F703" s="666"/>
    </row>
    <row r="704" spans="2:6" x14ac:dyDescent="0.3">
      <c r="B704" s="666"/>
      <c r="E704" s="666"/>
      <c r="F704" s="666"/>
    </row>
    <row r="705" spans="2:6" x14ac:dyDescent="0.3">
      <c r="B705" s="666"/>
      <c r="E705" s="666"/>
      <c r="F705" s="666"/>
    </row>
    <row r="706" spans="2:6" x14ac:dyDescent="0.3">
      <c r="B706" s="666"/>
      <c r="E706" s="666"/>
      <c r="F706" s="666"/>
    </row>
    <row r="707" spans="2:6" x14ac:dyDescent="0.3">
      <c r="B707" s="666"/>
      <c r="E707" s="666"/>
      <c r="F707" s="666"/>
    </row>
    <row r="708" spans="2:6" x14ac:dyDescent="0.3">
      <c r="B708" s="666"/>
      <c r="E708" s="666"/>
      <c r="F708" s="666"/>
    </row>
    <row r="709" spans="2:6" x14ac:dyDescent="0.3">
      <c r="B709" s="666"/>
      <c r="E709" s="666"/>
      <c r="F709" s="666"/>
    </row>
    <row r="710" spans="2:6" x14ac:dyDescent="0.3">
      <c r="B710" s="666"/>
      <c r="E710" s="666"/>
      <c r="F710" s="666"/>
    </row>
    <row r="711" spans="2:6" x14ac:dyDescent="0.3">
      <c r="B711" s="666"/>
      <c r="E711" s="666"/>
      <c r="F711" s="666"/>
    </row>
    <row r="712" spans="2:6" x14ac:dyDescent="0.3">
      <c r="B712" s="666"/>
      <c r="E712" s="666"/>
      <c r="F712" s="666"/>
    </row>
    <row r="713" spans="2:6" x14ac:dyDescent="0.3">
      <c r="B713" s="666"/>
      <c r="E713" s="666"/>
      <c r="F713" s="666"/>
    </row>
    <row r="714" spans="2:6" x14ac:dyDescent="0.3">
      <c r="B714" s="666"/>
      <c r="E714" s="666"/>
      <c r="F714" s="666"/>
    </row>
    <row r="715" spans="2:6" x14ac:dyDescent="0.3">
      <c r="B715" s="666"/>
      <c r="E715" s="666"/>
      <c r="F715" s="666"/>
    </row>
    <row r="716" spans="2:6" x14ac:dyDescent="0.3">
      <c r="B716" s="666"/>
      <c r="E716" s="666"/>
      <c r="F716" s="666"/>
    </row>
    <row r="717" spans="2:6" x14ac:dyDescent="0.3">
      <c r="B717" s="666"/>
      <c r="E717" s="666"/>
      <c r="F717" s="666"/>
    </row>
    <row r="718" spans="2:6" x14ac:dyDescent="0.3">
      <c r="B718" s="666"/>
      <c r="E718" s="666"/>
      <c r="F718" s="666"/>
    </row>
    <row r="719" spans="2:6" x14ac:dyDescent="0.3">
      <c r="B719" s="666"/>
      <c r="E719" s="666"/>
      <c r="F719" s="666"/>
    </row>
    <row r="720" spans="2:6" x14ac:dyDescent="0.3">
      <c r="B720" s="666"/>
      <c r="E720" s="666"/>
      <c r="F720" s="666"/>
    </row>
    <row r="721" spans="2:6" x14ac:dyDescent="0.3">
      <c r="B721" s="666"/>
      <c r="E721" s="666"/>
      <c r="F721" s="666"/>
    </row>
    <row r="722" spans="2:6" x14ac:dyDescent="0.3">
      <c r="B722" s="666"/>
      <c r="E722" s="666"/>
      <c r="F722" s="666"/>
    </row>
    <row r="723" spans="2:6" x14ac:dyDescent="0.3">
      <c r="B723" s="666"/>
      <c r="E723" s="666"/>
      <c r="F723" s="666"/>
    </row>
    <row r="724" spans="2:6" x14ac:dyDescent="0.3">
      <c r="B724" s="666"/>
      <c r="E724" s="666"/>
      <c r="F724" s="666"/>
    </row>
    <row r="725" spans="2:6" x14ac:dyDescent="0.3">
      <c r="B725" s="666"/>
      <c r="E725" s="666"/>
      <c r="F725" s="666"/>
    </row>
    <row r="726" spans="2:6" x14ac:dyDescent="0.3">
      <c r="B726" s="666"/>
      <c r="E726" s="666"/>
      <c r="F726" s="666"/>
    </row>
    <row r="727" spans="2:6" x14ac:dyDescent="0.3">
      <c r="B727" s="666"/>
      <c r="E727" s="666"/>
      <c r="F727" s="666"/>
    </row>
    <row r="728" spans="2:6" x14ac:dyDescent="0.3">
      <c r="B728" s="666"/>
      <c r="E728" s="666"/>
      <c r="F728" s="666"/>
    </row>
    <row r="729" spans="2:6" x14ac:dyDescent="0.3">
      <c r="B729" s="666"/>
      <c r="E729" s="666"/>
      <c r="F729" s="666"/>
    </row>
    <row r="730" spans="2:6" x14ac:dyDescent="0.3">
      <c r="B730" s="666"/>
      <c r="E730" s="666"/>
      <c r="F730" s="666"/>
    </row>
    <row r="731" spans="2:6" x14ac:dyDescent="0.3">
      <c r="B731" s="666"/>
      <c r="E731" s="666"/>
      <c r="F731" s="666"/>
    </row>
    <row r="732" spans="2:6" x14ac:dyDescent="0.3">
      <c r="B732" s="666"/>
      <c r="E732" s="666"/>
      <c r="F732" s="666"/>
    </row>
    <row r="733" spans="2:6" x14ac:dyDescent="0.3">
      <c r="B733" s="666"/>
      <c r="E733" s="666"/>
      <c r="F733" s="666"/>
    </row>
    <row r="734" spans="2:6" x14ac:dyDescent="0.3">
      <c r="B734" s="666"/>
      <c r="E734" s="666"/>
      <c r="F734" s="666"/>
    </row>
    <row r="735" spans="2:6" x14ac:dyDescent="0.3">
      <c r="B735" s="666"/>
      <c r="E735" s="666"/>
      <c r="F735" s="666"/>
    </row>
    <row r="736" spans="2:6" x14ac:dyDescent="0.3">
      <c r="B736" s="666"/>
      <c r="E736" s="666"/>
      <c r="F736" s="666"/>
    </row>
    <row r="737" spans="2:6" x14ac:dyDescent="0.3">
      <c r="B737" s="666"/>
      <c r="E737" s="666"/>
      <c r="F737" s="666"/>
    </row>
    <row r="738" spans="2:6" x14ac:dyDescent="0.3">
      <c r="B738" s="666"/>
      <c r="E738" s="666"/>
      <c r="F738" s="666"/>
    </row>
    <row r="739" spans="2:6" x14ac:dyDescent="0.3">
      <c r="B739" s="666"/>
      <c r="E739" s="666"/>
      <c r="F739" s="666"/>
    </row>
    <row r="740" spans="2:6" x14ac:dyDescent="0.3">
      <c r="B740" s="666"/>
      <c r="E740" s="666"/>
      <c r="F740" s="666"/>
    </row>
    <row r="741" spans="2:6" x14ac:dyDescent="0.3">
      <c r="B741" s="666"/>
      <c r="E741" s="666"/>
      <c r="F741" s="666"/>
    </row>
    <row r="742" spans="2:6" x14ac:dyDescent="0.3">
      <c r="B742" s="666"/>
      <c r="E742" s="666"/>
      <c r="F742" s="666"/>
    </row>
    <row r="743" spans="2:6" x14ac:dyDescent="0.3">
      <c r="B743" s="666"/>
      <c r="E743" s="666"/>
      <c r="F743" s="666"/>
    </row>
    <row r="744" spans="2:6" x14ac:dyDescent="0.3">
      <c r="B744" s="666"/>
      <c r="E744" s="666"/>
      <c r="F744" s="666"/>
    </row>
    <row r="745" spans="2:6" x14ac:dyDescent="0.3">
      <c r="B745" s="666"/>
      <c r="E745" s="666"/>
      <c r="F745" s="666"/>
    </row>
    <row r="746" spans="2:6" x14ac:dyDescent="0.3">
      <c r="B746" s="666"/>
      <c r="E746" s="666"/>
      <c r="F746" s="666"/>
    </row>
    <row r="747" spans="2:6" x14ac:dyDescent="0.3">
      <c r="B747" s="666"/>
      <c r="E747" s="666"/>
      <c r="F747" s="666"/>
    </row>
    <row r="748" spans="2:6" x14ac:dyDescent="0.3">
      <c r="B748" s="666"/>
      <c r="E748" s="666"/>
      <c r="F748" s="666"/>
    </row>
    <row r="749" spans="2:6" x14ac:dyDescent="0.3">
      <c r="B749" s="666"/>
      <c r="E749" s="666"/>
      <c r="F749" s="666"/>
    </row>
    <row r="750" spans="2:6" x14ac:dyDescent="0.3">
      <c r="B750" s="666"/>
      <c r="E750" s="666"/>
      <c r="F750" s="666"/>
    </row>
    <row r="751" spans="2:6" x14ac:dyDescent="0.3">
      <c r="B751" s="666"/>
      <c r="E751" s="666"/>
      <c r="F751" s="666"/>
    </row>
    <row r="752" spans="2:6" x14ac:dyDescent="0.3">
      <c r="B752" s="666"/>
      <c r="E752" s="666"/>
      <c r="F752" s="666"/>
    </row>
    <row r="753" spans="2:6" x14ac:dyDescent="0.3">
      <c r="B753" s="666"/>
      <c r="E753" s="666"/>
      <c r="F753" s="666"/>
    </row>
    <row r="754" spans="2:6" x14ac:dyDescent="0.3">
      <c r="B754" s="666"/>
      <c r="E754" s="666"/>
      <c r="F754" s="666"/>
    </row>
    <row r="755" spans="2:6" x14ac:dyDescent="0.3">
      <c r="B755" s="666"/>
      <c r="E755" s="666"/>
      <c r="F755" s="666"/>
    </row>
    <row r="756" spans="2:6" x14ac:dyDescent="0.3">
      <c r="B756" s="666"/>
      <c r="E756" s="666"/>
      <c r="F756" s="666"/>
    </row>
    <row r="757" spans="2:6" x14ac:dyDescent="0.3">
      <c r="B757" s="666"/>
      <c r="E757" s="666"/>
      <c r="F757" s="666"/>
    </row>
    <row r="758" spans="2:6" x14ac:dyDescent="0.3">
      <c r="B758" s="666"/>
      <c r="E758" s="666"/>
      <c r="F758" s="666"/>
    </row>
    <row r="759" spans="2:6" x14ac:dyDescent="0.3">
      <c r="B759" s="666"/>
      <c r="E759" s="666"/>
      <c r="F759" s="666"/>
    </row>
    <row r="760" spans="2:6" x14ac:dyDescent="0.3">
      <c r="B760" s="666"/>
      <c r="E760" s="666"/>
      <c r="F760" s="666"/>
    </row>
    <row r="761" spans="2:6" x14ac:dyDescent="0.3">
      <c r="B761" s="666"/>
      <c r="E761" s="666"/>
      <c r="F761" s="666"/>
    </row>
    <row r="762" spans="2:6" x14ac:dyDescent="0.3">
      <c r="B762" s="666"/>
      <c r="E762" s="666"/>
      <c r="F762" s="666"/>
    </row>
    <row r="763" spans="2:6" x14ac:dyDescent="0.3">
      <c r="B763" s="666"/>
      <c r="E763" s="666"/>
      <c r="F763" s="666"/>
    </row>
    <row r="764" spans="2:6" x14ac:dyDescent="0.3">
      <c r="B764" s="666"/>
      <c r="E764" s="666"/>
      <c r="F764" s="666"/>
    </row>
    <row r="765" spans="2:6" x14ac:dyDescent="0.3">
      <c r="B765" s="666"/>
      <c r="E765" s="666"/>
      <c r="F765" s="666"/>
    </row>
    <row r="766" spans="2:6" x14ac:dyDescent="0.3">
      <c r="B766" s="666"/>
      <c r="E766" s="666"/>
      <c r="F766" s="666"/>
    </row>
    <row r="767" spans="2:6" x14ac:dyDescent="0.3">
      <c r="B767" s="666"/>
      <c r="E767" s="666"/>
      <c r="F767" s="666"/>
    </row>
    <row r="768" spans="2:6" x14ac:dyDescent="0.3">
      <c r="B768" s="666"/>
      <c r="E768" s="666"/>
      <c r="F768" s="666"/>
    </row>
    <row r="769" spans="2:6" x14ac:dyDescent="0.3">
      <c r="B769" s="666"/>
      <c r="E769" s="666"/>
      <c r="F769" s="666"/>
    </row>
    <row r="770" spans="2:6" x14ac:dyDescent="0.3">
      <c r="B770" s="666"/>
      <c r="E770" s="666"/>
      <c r="F770" s="666"/>
    </row>
    <row r="771" spans="2:6" x14ac:dyDescent="0.3">
      <c r="B771" s="666"/>
      <c r="E771" s="666"/>
      <c r="F771" s="666"/>
    </row>
    <row r="772" spans="2:6" x14ac:dyDescent="0.3">
      <c r="B772" s="666"/>
      <c r="E772" s="666"/>
      <c r="F772" s="666"/>
    </row>
    <row r="773" spans="2:6" x14ac:dyDescent="0.3">
      <c r="B773" s="666"/>
      <c r="E773" s="666"/>
      <c r="F773" s="666"/>
    </row>
    <row r="774" spans="2:6" x14ac:dyDescent="0.3">
      <c r="B774" s="666"/>
      <c r="E774" s="666"/>
      <c r="F774" s="666"/>
    </row>
    <row r="775" spans="2:6" x14ac:dyDescent="0.3">
      <c r="B775" s="666"/>
      <c r="E775" s="666"/>
      <c r="F775" s="666"/>
    </row>
    <row r="776" spans="2:6" x14ac:dyDescent="0.3">
      <c r="B776" s="666"/>
      <c r="E776" s="666"/>
      <c r="F776" s="666"/>
    </row>
    <row r="777" spans="2:6" x14ac:dyDescent="0.3">
      <c r="B777" s="666"/>
      <c r="E777" s="666"/>
      <c r="F777" s="666"/>
    </row>
    <row r="778" spans="2:6" x14ac:dyDescent="0.3">
      <c r="B778" s="666"/>
      <c r="E778" s="666"/>
      <c r="F778" s="666"/>
    </row>
    <row r="779" spans="2:6" x14ac:dyDescent="0.3">
      <c r="B779" s="666"/>
      <c r="E779" s="666"/>
      <c r="F779" s="666"/>
    </row>
    <row r="780" spans="2:6" x14ac:dyDescent="0.3">
      <c r="B780" s="666"/>
      <c r="E780" s="666"/>
      <c r="F780" s="666"/>
    </row>
    <row r="781" spans="2:6" x14ac:dyDescent="0.3">
      <c r="B781" s="666"/>
      <c r="E781" s="666"/>
      <c r="F781" s="666"/>
    </row>
    <row r="782" spans="2:6" x14ac:dyDescent="0.3">
      <c r="B782" s="666"/>
      <c r="E782" s="666"/>
      <c r="F782" s="666"/>
    </row>
    <row r="783" spans="2:6" x14ac:dyDescent="0.3">
      <c r="B783" s="666"/>
      <c r="E783" s="666"/>
      <c r="F783" s="666"/>
    </row>
    <row r="784" spans="2:6" x14ac:dyDescent="0.3">
      <c r="B784" s="666"/>
      <c r="E784" s="666"/>
      <c r="F784" s="666"/>
    </row>
    <row r="785" spans="2:6" x14ac:dyDescent="0.3">
      <c r="B785" s="666"/>
      <c r="E785" s="666"/>
      <c r="F785" s="666"/>
    </row>
    <row r="786" spans="2:6" x14ac:dyDescent="0.3">
      <c r="B786" s="666"/>
      <c r="E786" s="666"/>
      <c r="F786" s="666"/>
    </row>
    <row r="787" spans="2:6" x14ac:dyDescent="0.3">
      <c r="B787" s="666"/>
      <c r="E787" s="666"/>
      <c r="F787" s="666"/>
    </row>
    <row r="788" spans="2:6" x14ac:dyDescent="0.3">
      <c r="B788" s="666"/>
      <c r="E788" s="666"/>
      <c r="F788" s="666"/>
    </row>
    <row r="789" spans="2:6" x14ac:dyDescent="0.3">
      <c r="B789" s="666"/>
      <c r="E789" s="666"/>
      <c r="F789" s="666"/>
    </row>
    <row r="790" spans="2:6" x14ac:dyDescent="0.3">
      <c r="B790" s="666"/>
      <c r="E790" s="666"/>
      <c r="F790" s="666"/>
    </row>
    <row r="791" spans="2:6" x14ac:dyDescent="0.3">
      <c r="B791" s="666"/>
      <c r="E791" s="666"/>
      <c r="F791" s="666"/>
    </row>
    <row r="792" spans="2:6" x14ac:dyDescent="0.3">
      <c r="B792" s="666"/>
      <c r="E792" s="666"/>
      <c r="F792" s="666"/>
    </row>
    <row r="793" spans="2:6" x14ac:dyDescent="0.3">
      <c r="B793" s="666"/>
      <c r="E793" s="666"/>
      <c r="F793" s="666"/>
    </row>
    <row r="794" spans="2:6" x14ac:dyDescent="0.3">
      <c r="B794" s="666"/>
      <c r="E794" s="666"/>
      <c r="F794" s="666"/>
    </row>
    <row r="795" spans="2:6" x14ac:dyDescent="0.3">
      <c r="B795" s="666"/>
      <c r="E795" s="666"/>
      <c r="F795" s="666"/>
    </row>
    <row r="796" spans="2:6" x14ac:dyDescent="0.3">
      <c r="B796" s="666"/>
      <c r="E796" s="666"/>
      <c r="F796" s="666"/>
    </row>
    <row r="797" spans="2:6" x14ac:dyDescent="0.3">
      <c r="B797" s="666"/>
      <c r="E797" s="666"/>
      <c r="F797" s="666"/>
    </row>
    <row r="798" spans="2:6" x14ac:dyDescent="0.3">
      <c r="B798" s="666"/>
      <c r="E798" s="666"/>
      <c r="F798" s="666"/>
    </row>
    <row r="799" spans="2:6" x14ac:dyDescent="0.3">
      <c r="B799" s="666"/>
      <c r="E799" s="666"/>
      <c r="F799" s="666"/>
    </row>
    <row r="800" spans="2:6" x14ac:dyDescent="0.3">
      <c r="B800" s="666"/>
      <c r="E800" s="666"/>
      <c r="F800" s="666"/>
    </row>
    <row r="801" spans="2:6" x14ac:dyDescent="0.3">
      <c r="B801" s="666"/>
      <c r="E801" s="666"/>
      <c r="F801" s="666"/>
    </row>
    <row r="802" spans="2:6" x14ac:dyDescent="0.3">
      <c r="B802" s="666"/>
      <c r="E802" s="666"/>
      <c r="F802" s="666"/>
    </row>
    <row r="803" spans="2:6" x14ac:dyDescent="0.3">
      <c r="B803" s="666"/>
      <c r="E803" s="666"/>
      <c r="F803" s="666"/>
    </row>
    <row r="804" spans="2:6" x14ac:dyDescent="0.3">
      <c r="B804" s="666"/>
      <c r="E804" s="666"/>
      <c r="F804" s="666"/>
    </row>
    <row r="805" spans="2:6" x14ac:dyDescent="0.3">
      <c r="B805" s="666"/>
      <c r="E805" s="666"/>
      <c r="F805" s="666"/>
    </row>
    <row r="806" spans="2:6" x14ac:dyDescent="0.3">
      <c r="B806" s="666"/>
      <c r="E806" s="666"/>
      <c r="F806" s="666"/>
    </row>
    <row r="807" spans="2:6" x14ac:dyDescent="0.3">
      <c r="B807" s="666"/>
      <c r="E807" s="666"/>
      <c r="F807" s="666"/>
    </row>
    <row r="808" spans="2:6" x14ac:dyDescent="0.3">
      <c r="B808" s="666"/>
      <c r="E808" s="666"/>
      <c r="F808" s="666"/>
    </row>
    <row r="809" spans="2:6" x14ac:dyDescent="0.3">
      <c r="B809" s="666"/>
      <c r="E809" s="666"/>
      <c r="F809" s="666"/>
    </row>
    <row r="810" spans="2:6" x14ac:dyDescent="0.3">
      <c r="B810" s="666"/>
      <c r="E810" s="666"/>
      <c r="F810" s="666"/>
    </row>
    <row r="811" spans="2:6" x14ac:dyDescent="0.3">
      <c r="B811" s="666"/>
      <c r="E811" s="666"/>
      <c r="F811" s="666"/>
    </row>
    <row r="812" spans="2:6" x14ac:dyDescent="0.3">
      <c r="B812" s="666"/>
      <c r="E812" s="666"/>
      <c r="F812" s="666"/>
    </row>
    <row r="813" spans="2:6" x14ac:dyDescent="0.3">
      <c r="B813" s="666"/>
      <c r="E813" s="666"/>
      <c r="F813" s="666"/>
    </row>
    <row r="814" spans="2:6" x14ac:dyDescent="0.3">
      <c r="B814" s="666"/>
      <c r="E814" s="666"/>
      <c r="F814" s="666"/>
    </row>
    <row r="815" spans="2:6" x14ac:dyDescent="0.3">
      <c r="B815" s="666"/>
      <c r="E815" s="666"/>
      <c r="F815" s="666"/>
    </row>
    <row r="816" spans="2:6" x14ac:dyDescent="0.3">
      <c r="B816" s="666"/>
      <c r="E816" s="666"/>
      <c r="F816" s="666"/>
    </row>
    <row r="817" spans="2:6" x14ac:dyDescent="0.3">
      <c r="B817" s="666"/>
      <c r="E817" s="666"/>
      <c r="F817" s="666"/>
    </row>
    <row r="818" spans="2:6" x14ac:dyDescent="0.3">
      <c r="B818" s="666"/>
      <c r="E818" s="666"/>
      <c r="F818" s="666"/>
    </row>
    <row r="819" spans="2:6" x14ac:dyDescent="0.3">
      <c r="B819" s="666"/>
      <c r="E819" s="666"/>
      <c r="F819" s="666"/>
    </row>
    <row r="820" spans="2:6" x14ac:dyDescent="0.3">
      <c r="B820" s="666"/>
      <c r="E820" s="666"/>
      <c r="F820" s="666"/>
    </row>
    <row r="821" spans="2:6" x14ac:dyDescent="0.3">
      <c r="B821" s="666"/>
      <c r="E821" s="666"/>
      <c r="F821" s="666"/>
    </row>
    <row r="822" spans="2:6" x14ac:dyDescent="0.3">
      <c r="B822" s="666"/>
      <c r="E822" s="666"/>
      <c r="F822" s="666"/>
    </row>
    <row r="823" spans="2:6" x14ac:dyDescent="0.3">
      <c r="B823" s="666"/>
      <c r="E823" s="666"/>
      <c r="F823" s="666"/>
    </row>
    <row r="824" spans="2:6" x14ac:dyDescent="0.3">
      <c r="B824" s="666"/>
      <c r="E824" s="666"/>
      <c r="F824" s="666"/>
    </row>
    <row r="825" spans="2:6" x14ac:dyDescent="0.3">
      <c r="B825" s="666"/>
      <c r="E825" s="666"/>
      <c r="F825" s="666"/>
    </row>
    <row r="826" spans="2:6" x14ac:dyDescent="0.3">
      <c r="B826" s="666"/>
      <c r="E826" s="666"/>
      <c r="F826" s="666"/>
    </row>
    <row r="827" spans="2:6" x14ac:dyDescent="0.3">
      <c r="B827" s="666"/>
      <c r="E827" s="666"/>
      <c r="F827" s="666"/>
    </row>
    <row r="828" spans="2:6" x14ac:dyDescent="0.3">
      <c r="B828" s="666"/>
      <c r="E828" s="666"/>
      <c r="F828" s="666"/>
    </row>
    <row r="829" spans="2:6" x14ac:dyDescent="0.3">
      <c r="B829" s="666"/>
      <c r="E829" s="666"/>
      <c r="F829" s="666"/>
    </row>
    <row r="830" spans="2:6" x14ac:dyDescent="0.3">
      <c r="B830" s="666"/>
      <c r="E830" s="666"/>
      <c r="F830" s="666"/>
    </row>
    <row r="831" spans="2:6" x14ac:dyDescent="0.3">
      <c r="B831" s="666"/>
      <c r="E831" s="666"/>
      <c r="F831" s="666"/>
    </row>
    <row r="832" spans="2:6" x14ac:dyDescent="0.3">
      <c r="B832" s="666"/>
      <c r="E832" s="666"/>
      <c r="F832" s="666"/>
    </row>
    <row r="833" spans="2:6" x14ac:dyDescent="0.3">
      <c r="B833" s="666"/>
      <c r="E833" s="666"/>
      <c r="F833" s="666"/>
    </row>
    <row r="834" spans="2:6" x14ac:dyDescent="0.3">
      <c r="B834" s="666"/>
      <c r="E834" s="666"/>
      <c r="F834" s="666"/>
    </row>
    <row r="835" spans="2:6" x14ac:dyDescent="0.3">
      <c r="B835" s="666"/>
      <c r="E835" s="666"/>
      <c r="F835" s="666"/>
    </row>
    <row r="836" spans="2:6" x14ac:dyDescent="0.3">
      <c r="B836" s="666"/>
      <c r="E836" s="666"/>
      <c r="F836" s="666"/>
    </row>
    <row r="837" spans="2:6" x14ac:dyDescent="0.3">
      <c r="B837" s="666"/>
      <c r="E837" s="666"/>
      <c r="F837" s="666"/>
    </row>
    <row r="838" spans="2:6" x14ac:dyDescent="0.3">
      <c r="B838" s="666"/>
      <c r="E838" s="666"/>
      <c r="F838" s="666"/>
    </row>
    <row r="839" spans="2:6" x14ac:dyDescent="0.3">
      <c r="B839" s="666"/>
      <c r="E839" s="666"/>
      <c r="F839" s="666"/>
    </row>
    <row r="840" spans="2:6" x14ac:dyDescent="0.3">
      <c r="B840" s="666"/>
      <c r="E840" s="666"/>
      <c r="F840" s="666"/>
    </row>
    <row r="841" spans="2:6" x14ac:dyDescent="0.3">
      <c r="B841" s="666"/>
      <c r="E841" s="666"/>
      <c r="F841" s="666"/>
    </row>
    <row r="842" spans="2:6" x14ac:dyDescent="0.3">
      <c r="B842" s="666"/>
      <c r="E842" s="666"/>
      <c r="F842" s="666"/>
    </row>
    <row r="843" spans="2:6" x14ac:dyDescent="0.3">
      <c r="B843" s="666"/>
      <c r="E843" s="666"/>
      <c r="F843" s="666"/>
    </row>
    <row r="844" spans="2:6" x14ac:dyDescent="0.3">
      <c r="B844" s="666"/>
      <c r="E844" s="666"/>
      <c r="F844" s="666"/>
    </row>
    <row r="845" spans="2:6" x14ac:dyDescent="0.3">
      <c r="B845" s="666"/>
      <c r="E845" s="666"/>
      <c r="F845" s="666"/>
    </row>
    <row r="846" spans="2:6" x14ac:dyDescent="0.3">
      <c r="B846" s="666"/>
      <c r="E846" s="666"/>
      <c r="F846" s="666"/>
    </row>
    <row r="847" spans="2:6" x14ac:dyDescent="0.3">
      <c r="B847" s="666"/>
      <c r="E847" s="666"/>
      <c r="F847" s="666"/>
    </row>
    <row r="848" spans="2:6" x14ac:dyDescent="0.3">
      <c r="B848" s="666"/>
      <c r="E848" s="666"/>
      <c r="F848" s="666"/>
    </row>
    <row r="849" spans="2:6" x14ac:dyDescent="0.3">
      <c r="B849" s="666"/>
      <c r="E849" s="666"/>
      <c r="F849" s="666"/>
    </row>
    <row r="850" spans="2:6" x14ac:dyDescent="0.3">
      <c r="B850" s="666"/>
      <c r="E850" s="666"/>
      <c r="F850" s="666"/>
    </row>
    <row r="851" spans="2:6" x14ac:dyDescent="0.3">
      <c r="B851" s="666"/>
      <c r="E851" s="666"/>
      <c r="F851" s="666"/>
    </row>
    <row r="852" spans="2:6" x14ac:dyDescent="0.3">
      <c r="B852" s="666"/>
      <c r="E852" s="666"/>
      <c r="F852" s="666"/>
    </row>
    <row r="853" spans="2:6" x14ac:dyDescent="0.3">
      <c r="B853" s="666"/>
      <c r="E853" s="666"/>
      <c r="F853" s="666"/>
    </row>
    <row r="854" spans="2:6" x14ac:dyDescent="0.3">
      <c r="B854" s="666"/>
      <c r="E854" s="666"/>
      <c r="F854" s="666"/>
    </row>
    <row r="855" spans="2:6" x14ac:dyDescent="0.3">
      <c r="B855" s="666"/>
      <c r="E855" s="666"/>
      <c r="F855" s="666"/>
    </row>
    <row r="856" spans="2:6" x14ac:dyDescent="0.3">
      <c r="B856" s="666"/>
      <c r="E856" s="666"/>
      <c r="F856" s="666"/>
    </row>
    <row r="857" spans="2:6" x14ac:dyDescent="0.3">
      <c r="B857" s="666"/>
      <c r="E857" s="666"/>
      <c r="F857" s="666"/>
    </row>
    <row r="858" spans="2:6" x14ac:dyDescent="0.3">
      <c r="B858" s="666"/>
      <c r="E858" s="666"/>
      <c r="F858" s="666"/>
    </row>
    <row r="859" spans="2:6" x14ac:dyDescent="0.3">
      <c r="B859" s="666"/>
      <c r="E859" s="666"/>
      <c r="F859" s="666"/>
    </row>
    <row r="860" spans="2:6" x14ac:dyDescent="0.3">
      <c r="B860" s="666"/>
      <c r="E860" s="666"/>
      <c r="F860" s="666"/>
    </row>
    <row r="861" spans="2:6" x14ac:dyDescent="0.3">
      <c r="B861" s="666"/>
      <c r="E861" s="666"/>
      <c r="F861" s="666"/>
    </row>
    <row r="862" spans="2:6" x14ac:dyDescent="0.3">
      <c r="B862" s="666"/>
      <c r="E862" s="666"/>
      <c r="F862" s="666"/>
    </row>
    <row r="863" spans="2:6" x14ac:dyDescent="0.3">
      <c r="B863" s="666"/>
      <c r="E863" s="666"/>
      <c r="F863" s="666"/>
    </row>
    <row r="864" spans="2:6" x14ac:dyDescent="0.3">
      <c r="B864" s="666"/>
      <c r="E864" s="666"/>
      <c r="F864" s="666"/>
    </row>
    <row r="865" spans="2:6" x14ac:dyDescent="0.3">
      <c r="B865" s="666"/>
      <c r="E865" s="666"/>
      <c r="F865" s="666"/>
    </row>
    <row r="866" spans="2:6" x14ac:dyDescent="0.3">
      <c r="B866" s="666"/>
      <c r="E866" s="666"/>
      <c r="F866" s="666"/>
    </row>
    <row r="867" spans="2:6" x14ac:dyDescent="0.3">
      <c r="B867" s="666"/>
      <c r="E867" s="666"/>
      <c r="F867" s="666"/>
    </row>
    <row r="868" spans="2:6" x14ac:dyDescent="0.3">
      <c r="B868" s="666"/>
      <c r="E868" s="666"/>
      <c r="F868" s="666"/>
    </row>
    <row r="869" spans="2:6" x14ac:dyDescent="0.3">
      <c r="B869" s="666"/>
      <c r="E869" s="666"/>
      <c r="F869" s="666"/>
    </row>
    <row r="870" spans="2:6" x14ac:dyDescent="0.3">
      <c r="B870" s="666"/>
      <c r="E870" s="666"/>
      <c r="F870" s="666"/>
    </row>
    <row r="871" spans="2:6" x14ac:dyDescent="0.3">
      <c r="B871" s="666"/>
      <c r="E871" s="666"/>
      <c r="F871" s="666"/>
    </row>
    <row r="872" spans="2:6" x14ac:dyDescent="0.3">
      <c r="B872" s="666"/>
      <c r="E872" s="666"/>
      <c r="F872" s="666"/>
    </row>
    <row r="873" spans="2:6" x14ac:dyDescent="0.3">
      <c r="B873" s="666"/>
      <c r="E873" s="666"/>
      <c r="F873" s="666"/>
    </row>
    <row r="874" spans="2:6" x14ac:dyDescent="0.3">
      <c r="B874" s="666"/>
      <c r="E874" s="666"/>
      <c r="F874" s="666"/>
    </row>
    <row r="875" spans="2:6" x14ac:dyDescent="0.3">
      <c r="B875" s="666"/>
      <c r="E875" s="666"/>
      <c r="F875" s="666"/>
    </row>
    <row r="876" spans="2:6" x14ac:dyDescent="0.3">
      <c r="B876" s="666"/>
      <c r="E876" s="666"/>
      <c r="F876" s="666"/>
    </row>
    <row r="877" spans="2:6" x14ac:dyDescent="0.3">
      <c r="B877" s="666"/>
      <c r="E877" s="666"/>
      <c r="F877" s="666"/>
    </row>
    <row r="878" spans="2:6" x14ac:dyDescent="0.3">
      <c r="B878" s="666"/>
      <c r="E878" s="666"/>
      <c r="F878" s="666"/>
    </row>
    <row r="879" spans="2:6" x14ac:dyDescent="0.3">
      <c r="B879" s="666"/>
      <c r="E879" s="666"/>
      <c r="F879" s="666"/>
    </row>
    <row r="880" spans="2:6" x14ac:dyDescent="0.3">
      <c r="B880" s="666"/>
      <c r="E880" s="666"/>
      <c r="F880" s="666"/>
    </row>
    <row r="881" spans="2:6" x14ac:dyDescent="0.3">
      <c r="B881" s="666"/>
      <c r="E881" s="666"/>
      <c r="F881" s="666"/>
    </row>
    <row r="882" spans="2:6" x14ac:dyDescent="0.3">
      <c r="B882" s="666"/>
      <c r="E882" s="666"/>
      <c r="F882" s="666"/>
    </row>
    <row r="883" spans="2:6" x14ac:dyDescent="0.3">
      <c r="B883" s="666"/>
      <c r="E883" s="666"/>
      <c r="F883" s="666"/>
    </row>
    <row r="884" spans="2:6" x14ac:dyDescent="0.3">
      <c r="B884" s="666"/>
      <c r="E884" s="666"/>
      <c r="F884" s="666"/>
    </row>
    <row r="885" spans="2:6" x14ac:dyDescent="0.3">
      <c r="B885" s="666"/>
      <c r="E885" s="666"/>
      <c r="F885" s="666"/>
    </row>
    <row r="886" spans="2:6" x14ac:dyDescent="0.3">
      <c r="B886" s="666"/>
      <c r="E886" s="666"/>
      <c r="F886" s="666"/>
    </row>
    <row r="887" spans="2:6" x14ac:dyDescent="0.3">
      <c r="B887" s="666"/>
      <c r="E887" s="666"/>
      <c r="F887" s="666"/>
    </row>
    <row r="888" spans="2:6" x14ac:dyDescent="0.3">
      <c r="B888" s="666"/>
      <c r="E888" s="666"/>
      <c r="F888" s="666"/>
    </row>
    <row r="889" spans="2:6" x14ac:dyDescent="0.3">
      <c r="B889" s="666"/>
      <c r="E889" s="666"/>
      <c r="F889" s="666"/>
    </row>
    <row r="890" spans="2:6" x14ac:dyDescent="0.3">
      <c r="B890" s="666"/>
      <c r="E890" s="666"/>
      <c r="F890" s="666"/>
    </row>
    <row r="891" spans="2:6" x14ac:dyDescent="0.3">
      <c r="B891" s="666"/>
      <c r="E891" s="666"/>
      <c r="F891" s="666"/>
    </row>
    <row r="892" spans="2:6" x14ac:dyDescent="0.3">
      <c r="B892" s="666"/>
      <c r="E892" s="666"/>
      <c r="F892" s="666"/>
    </row>
    <row r="893" spans="2:6" x14ac:dyDescent="0.3">
      <c r="B893" s="666"/>
      <c r="E893" s="666"/>
      <c r="F893" s="666"/>
    </row>
    <row r="894" spans="2:6" x14ac:dyDescent="0.3">
      <c r="B894" s="666"/>
      <c r="E894" s="666"/>
      <c r="F894" s="666"/>
    </row>
    <row r="895" spans="2:6" x14ac:dyDescent="0.3">
      <c r="B895" s="666"/>
      <c r="E895" s="666"/>
      <c r="F895" s="666"/>
    </row>
    <row r="896" spans="2:6" x14ac:dyDescent="0.3">
      <c r="B896" s="666"/>
      <c r="E896" s="666"/>
      <c r="F896" s="666"/>
    </row>
    <row r="897" spans="2:6" x14ac:dyDescent="0.3">
      <c r="B897" s="666"/>
      <c r="E897" s="666"/>
      <c r="F897" s="666"/>
    </row>
    <row r="898" spans="2:6" x14ac:dyDescent="0.3">
      <c r="B898" s="666"/>
      <c r="E898" s="666"/>
      <c r="F898" s="666"/>
    </row>
    <row r="899" spans="2:6" x14ac:dyDescent="0.3">
      <c r="B899" s="666"/>
      <c r="E899" s="666"/>
      <c r="F899" s="666"/>
    </row>
    <row r="900" spans="2:6" x14ac:dyDescent="0.3">
      <c r="B900" s="666"/>
      <c r="E900" s="666"/>
      <c r="F900" s="666"/>
    </row>
    <row r="901" spans="2:6" x14ac:dyDescent="0.3">
      <c r="B901" s="666"/>
      <c r="E901" s="666"/>
      <c r="F901" s="666"/>
    </row>
    <row r="902" spans="2:6" x14ac:dyDescent="0.3">
      <c r="B902" s="666"/>
      <c r="E902" s="666"/>
      <c r="F902" s="666"/>
    </row>
    <row r="903" spans="2:6" x14ac:dyDescent="0.3">
      <c r="B903" s="666"/>
      <c r="E903" s="666"/>
      <c r="F903" s="666"/>
    </row>
    <row r="904" spans="2:6" x14ac:dyDescent="0.3">
      <c r="B904" s="666"/>
      <c r="E904" s="666"/>
      <c r="F904" s="666"/>
    </row>
    <row r="905" spans="2:6" x14ac:dyDescent="0.3">
      <c r="B905" s="666"/>
      <c r="E905" s="666"/>
      <c r="F905" s="666"/>
    </row>
    <row r="906" spans="2:6" x14ac:dyDescent="0.3">
      <c r="B906" s="666"/>
      <c r="E906" s="666"/>
      <c r="F906" s="666"/>
    </row>
    <row r="907" spans="2:6" x14ac:dyDescent="0.3">
      <c r="B907" s="666"/>
      <c r="E907" s="666"/>
      <c r="F907" s="666"/>
    </row>
    <row r="908" spans="2:6" x14ac:dyDescent="0.3">
      <c r="B908" s="666"/>
      <c r="E908" s="666"/>
      <c r="F908" s="666"/>
    </row>
    <row r="909" spans="2:6" x14ac:dyDescent="0.3">
      <c r="B909" s="666"/>
      <c r="E909" s="666"/>
      <c r="F909" s="666"/>
    </row>
    <row r="910" spans="2:6" x14ac:dyDescent="0.3">
      <c r="B910" s="666"/>
      <c r="E910" s="666"/>
      <c r="F910" s="666"/>
    </row>
    <row r="911" spans="2:6" x14ac:dyDescent="0.3">
      <c r="B911" s="666"/>
      <c r="E911" s="666"/>
      <c r="F911" s="666"/>
    </row>
    <row r="912" spans="2:6" x14ac:dyDescent="0.3">
      <c r="B912" s="666"/>
      <c r="E912" s="666"/>
      <c r="F912" s="666"/>
    </row>
    <row r="913" spans="2:6" x14ac:dyDescent="0.3">
      <c r="B913" s="666"/>
      <c r="E913" s="666"/>
      <c r="F913" s="666"/>
    </row>
    <row r="914" spans="2:6" x14ac:dyDescent="0.3">
      <c r="B914" s="666"/>
      <c r="E914" s="666"/>
      <c r="F914" s="666"/>
    </row>
    <row r="915" spans="2:6" x14ac:dyDescent="0.3">
      <c r="B915" s="666"/>
      <c r="E915" s="666"/>
      <c r="F915" s="666"/>
    </row>
    <row r="916" spans="2:6" x14ac:dyDescent="0.3">
      <c r="B916" s="666"/>
      <c r="E916" s="666"/>
      <c r="F916" s="666"/>
    </row>
    <row r="917" spans="2:6" x14ac:dyDescent="0.3">
      <c r="B917" s="666"/>
      <c r="E917" s="666"/>
      <c r="F917" s="666"/>
    </row>
    <row r="918" spans="2:6" x14ac:dyDescent="0.3">
      <c r="B918" s="666"/>
      <c r="E918" s="666"/>
      <c r="F918" s="666"/>
    </row>
    <row r="919" spans="2:6" x14ac:dyDescent="0.3">
      <c r="B919" s="666"/>
      <c r="E919" s="666"/>
      <c r="F919" s="666"/>
    </row>
    <row r="920" spans="2:6" x14ac:dyDescent="0.3">
      <c r="B920" s="666"/>
      <c r="E920" s="666"/>
      <c r="F920" s="666"/>
    </row>
    <row r="921" spans="2:6" x14ac:dyDescent="0.3">
      <c r="B921" s="666"/>
      <c r="E921" s="666"/>
      <c r="F921" s="666"/>
    </row>
    <row r="922" spans="2:6" x14ac:dyDescent="0.3">
      <c r="B922" s="666"/>
      <c r="E922" s="666"/>
      <c r="F922" s="666"/>
    </row>
    <row r="923" spans="2:6" x14ac:dyDescent="0.3">
      <c r="B923" s="666"/>
      <c r="E923" s="666"/>
      <c r="F923" s="666"/>
    </row>
    <row r="924" spans="2:6" x14ac:dyDescent="0.3">
      <c r="B924" s="666"/>
      <c r="E924" s="666"/>
      <c r="F924" s="666"/>
    </row>
    <row r="925" spans="2:6" x14ac:dyDescent="0.3">
      <c r="B925" s="666"/>
      <c r="E925" s="666"/>
      <c r="F925" s="666"/>
    </row>
    <row r="926" spans="2:6" x14ac:dyDescent="0.3">
      <c r="B926" s="666"/>
      <c r="E926" s="666"/>
      <c r="F926" s="666"/>
    </row>
    <row r="927" spans="2:6" x14ac:dyDescent="0.3">
      <c r="B927" s="666"/>
      <c r="E927" s="666"/>
      <c r="F927" s="666"/>
    </row>
    <row r="928" spans="2:6" x14ac:dyDescent="0.3">
      <c r="B928" s="666"/>
      <c r="E928" s="666"/>
      <c r="F928" s="666"/>
    </row>
    <row r="929" spans="2:6" x14ac:dyDescent="0.3">
      <c r="B929" s="666"/>
      <c r="E929" s="666"/>
      <c r="F929" s="666"/>
    </row>
    <row r="930" spans="2:6" x14ac:dyDescent="0.3">
      <c r="B930" s="666"/>
      <c r="E930" s="666"/>
      <c r="F930" s="666"/>
    </row>
    <row r="931" spans="2:6" x14ac:dyDescent="0.3">
      <c r="B931" s="666"/>
      <c r="E931" s="666"/>
      <c r="F931" s="666"/>
    </row>
    <row r="932" spans="2:6" x14ac:dyDescent="0.3">
      <c r="B932" s="666"/>
      <c r="E932" s="666"/>
      <c r="F932" s="666"/>
    </row>
    <row r="933" spans="2:6" x14ac:dyDescent="0.3">
      <c r="B933" s="666"/>
      <c r="E933" s="666"/>
      <c r="F933" s="666"/>
    </row>
    <row r="934" spans="2:6" x14ac:dyDescent="0.3">
      <c r="B934" s="666"/>
      <c r="E934" s="666"/>
      <c r="F934" s="666"/>
    </row>
    <row r="935" spans="2:6" x14ac:dyDescent="0.3">
      <c r="B935" s="666"/>
      <c r="E935" s="666"/>
      <c r="F935" s="666"/>
    </row>
    <row r="936" spans="2:6" x14ac:dyDescent="0.3">
      <c r="B936" s="666"/>
      <c r="E936" s="666"/>
      <c r="F936" s="666"/>
    </row>
    <row r="937" spans="2:6" x14ac:dyDescent="0.3">
      <c r="B937" s="666"/>
      <c r="E937" s="666"/>
      <c r="F937" s="666"/>
    </row>
    <row r="938" spans="2:6" x14ac:dyDescent="0.3">
      <c r="B938" s="666"/>
      <c r="E938" s="666"/>
      <c r="F938" s="666"/>
    </row>
    <row r="939" spans="2:6" x14ac:dyDescent="0.3">
      <c r="B939" s="666"/>
      <c r="E939" s="666"/>
      <c r="F939" s="666"/>
    </row>
    <row r="940" spans="2:6" x14ac:dyDescent="0.3">
      <c r="B940" s="666"/>
      <c r="E940" s="666"/>
      <c r="F940" s="666"/>
    </row>
    <row r="941" spans="2:6" x14ac:dyDescent="0.3">
      <c r="B941" s="666"/>
      <c r="E941" s="666"/>
      <c r="F941" s="666"/>
    </row>
    <row r="942" spans="2:6" x14ac:dyDescent="0.3">
      <c r="B942" s="666"/>
      <c r="E942" s="666"/>
      <c r="F942" s="666"/>
    </row>
    <row r="943" spans="2:6" x14ac:dyDescent="0.3">
      <c r="B943" s="666"/>
      <c r="E943" s="666"/>
      <c r="F943" s="666"/>
    </row>
    <row r="944" spans="2:6" x14ac:dyDescent="0.3">
      <c r="B944" s="666"/>
      <c r="E944" s="666"/>
      <c r="F944" s="666"/>
    </row>
    <row r="945" spans="2:6" x14ac:dyDescent="0.3">
      <c r="B945" s="666"/>
      <c r="E945" s="666"/>
      <c r="F945" s="666"/>
    </row>
    <row r="946" spans="2:6" x14ac:dyDescent="0.3">
      <c r="B946" s="666"/>
      <c r="E946" s="666"/>
      <c r="F946" s="666"/>
    </row>
    <row r="947" spans="2:6" x14ac:dyDescent="0.3">
      <c r="B947" s="666"/>
      <c r="E947" s="666"/>
      <c r="F947" s="666"/>
    </row>
    <row r="948" spans="2:6" x14ac:dyDescent="0.3">
      <c r="B948" s="666"/>
      <c r="E948" s="666"/>
      <c r="F948" s="666"/>
    </row>
    <row r="949" spans="2:6" x14ac:dyDescent="0.3">
      <c r="B949" s="666"/>
      <c r="E949" s="666"/>
      <c r="F949" s="666"/>
    </row>
    <row r="950" spans="2:6" x14ac:dyDescent="0.3">
      <c r="B950" s="666"/>
      <c r="E950" s="666"/>
      <c r="F950" s="666"/>
    </row>
    <row r="951" spans="2:6" x14ac:dyDescent="0.3">
      <c r="B951" s="666"/>
      <c r="E951" s="666"/>
      <c r="F951" s="666"/>
    </row>
    <row r="952" spans="2:6" x14ac:dyDescent="0.3">
      <c r="B952" s="666"/>
      <c r="E952" s="666"/>
      <c r="F952" s="666"/>
    </row>
    <row r="953" spans="2:6" x14ac:dyDescent="0.3">
      <c r="B953" s="666"/>
      <c r="E953" s="666"/>
      <c r="F953" s="666"/>
    </row>
    <row r="954" spans="2:6" x14ac:dyDescent="0.3">
      <c r="B954" s="666"/>
      <c r="E954" s="666"/>
      <c r="F954" s="666"/>
    </row>
    <row r="955" spans="2:6" x14ac:dyDescent="0.3">
      <c r="B955" s="666"/>
      <c r="E955" s="666"/>
      <c r="F955" s="666"/>
    </row>
    <row r="956" spans="2:6" x14ac:dyDescent="0.3">
      <c r="B956" s="666"/>
      <c r="E956" s="666"/>
      <c r="F956" s="666"/>
    </row>
    <row r="957" spans="2:6" x14ac:dyDescent="0.3">
      <c r="B957" s="666"/>
      <c r="E957" s="666"/>
      <c r="F957" s="666"/>
    </row>
    <row r="958" spans="2:6" x14ac:dyDescent="0.3">
      <c r="B958" s="666"/>
      <c r="E958" s="666"/>
      <c r="F958" s="666"/>
    </row>
    <row r="959" spans="2:6" x14ac:dyDescent="0.3">
      <c r="B959" s="666"/>
      <c r="E959" s="666"/>
      <c r="F959" s="666"/>
    </row>
    <row r="960" spans="2:6" x14ac:dyDescent="0.3">
      <c r="B960" s="666"/>
      <c r="E960" s="666"/>
      <c r="F960" s="666"/>
    </row>
    <row r="961" spans="2:6" x14ac:dyDescent="0.3">
      <c r="B961" s="666"/>
      <c r="E961" s="666"/>
      <c r="F961" s="666"/>
    </row>
    <row r="962" spans="2:6" x14ac:dyDescent="0.3">
      <c r="B962" s="666"/>
      <c r="E962" s="666"/>
      <c r="F962" s="666"/>
    </row>
    <row r="963" spans="2:6" x14ac:dyDescent="0.3">
      <c r="B963" s="666"/>
      <c r="E963" s="666"/>
      <c r="F963" s="666"/>
    </row>
  </sheetData>
  <mergeCells count="10">
    <mergeCell ref="B94:H94"/>
    <mergeCell ref="B95:H95"/>
    <mergeCell ref="B2:H3"/>
    <mergeCell ref="R25:S25"/>
    <mergeCell ref="B62:H62"/>
    <mergeCell ref="B63:H63"/>
    <mergeCell ref="B73:H73"/>
    <mergeCell ref="B74:H74"/>
    <mergeCell ref="B84:H84"/>
    <mergeCell ref="B85:H85"/>
  </mergeCells>
  <printOptions horizontalCentered="1"/>
  <pageMargins left="0.5" right="0.5" top="1" bottom="0.5" header="0.3" footer="0.3"/>
  <pageSetup paperSize="9" scale="1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FF00"/>
    <pageSetUpPr fitToPage="1"/>
  </sheetPr>
  <dimension ref="A1:AG107"/>
  <sheetViews>
    <sheetView topLeftCell="H1" zoomScale="70" zoomScaleNormal="70" workbookViewId="0">
      <selection activeCell="G41" sqref="G35:V41"/>
    </sheetView>
  </sheetViews>
  <sheetFormatPr defaultColWidth="12.5" defaultRowHeight="12.5" x14ac:dyDescent="0.25"/>
  <cols>
    <col min="1" max="1" width="12.5" style="14" customWidth="1"/>
    <col min="2" max="2" width="31.4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7" width="5" style="14" customWidth="1"/>
    <col min="18" max="27" width="12.5" style="14"/>
    <col min="28" max="28" width="6.75" style="14" customWidth="1"/>
    <col min="29" max="16384" width="12.5" style="14"/>
  </cols>
  <sheetData>
    <row r="1" spans="1:33" ht="28.5" customHeight="1" x14ac:dyDescent="0.25">
      <c r="B1" s="80" t="s">
        <v>243</v>
      </c>
      <c r="C1" s="81">
        <v>1000</v>
      </c>
      <c r="D1" s="82" t="s">
        <v>244</v>
      </c>
      <c r="E1" s="117">
        <f>S30</f>
        <v>14550</v>
      </c>
      <c r="F1" s="80" t="s">
        <v>245</v>
      </c>
      <c r="G1" s="117">
        <f>E1/C1</f>
        <v>14.55</v>
      </c>
      <c r="H1" s="80" t="s">
        <v>246</v>
      </c>
      <c r="I1" s="117">
        <f>G1/K1</f>
        <v>14.55</v>
      </c>
      <c r="J1" s="326" t="s">
        <v>247</v>
      </c>
      <c r="K1" s="327">
        <v>1</v>
      </c>
      <c r="L1" s="100"/>
      <c r="M1" s="100" t="s">
        <v>352</v>
      </c>
      <c r="N1" s="100"/>
      <c r="O1" s="100"/>
      <c r="P1" s="100"/>
      <c r="Q1" s="100"/>
      <c r="R1" s="100"/>
      <c r="S1" s="100"/>
      <c r="T1" s="100"/>
      <c r="U1" s="100"/>
      <c r="V1" s="100"/>
      <c r="Y1" s="91" t="s">
        <v>479</v>
      </c>
      <c r="Z1" s="847">
        <v>14550</v>
      </c>
      <c r="AA1" s="91" t="s">
        <v>600</v>
      </c>
      <c r="AB1" s="847">
        <v>0</v>
      </c>
      <c r="AC1" s="91" t="s">
        <v>587</v>
      </c>
      <c r="AD1" s="847">
        <v>97</v>
      </c>
    </row>
    <row r="2" spans="1:33" ht="12.75" customHeight="1" x14ac:dyDescent="0.25">
      <c r="A2" s="330"/>
      <c r="B2" s="1408" t="s">
        <v>353</v>
      </c>
      <c r="C2" s="1429"/>
      <c r="D2" s="1429"/>
      <c r="E2" s="1429"/>
      <c r="F2" s="1429"/>
      <c r="G2" s="1429"/>
      <c r="H2" s="1429"/>
      <c r="I2" s="100"/>
      <c r="J2" s="100"/>
      <c r="K2" s="100"/>
      <c r="L2" s="100"/>
      <c r="M2" s="100"/>
      <c r="N2" s="100"/>
      <c r="O2" s="100"/>
      <c r="P2" s="100"/>
      <c r="Q2" s="100"/>
      <c r="R2" s="100"/>
      <c r="S2" s="100"/>
      <c r="T2" s="100"/>
      <c r="U2" s="100"/>
      <c r="AE2" s="1417"/>
      <c r="AF2" s="1389"/>
      <c r="AG2" s="1389"/>
    </row>
    <row r="3" spans="1:33" ht="12.75" customHeight="1" x14ac:dyDescent="0.25">
      <c r="A3" s="330"/>
      <c r="B3" s="1388"/>
      <c r="C3" s="1388"/>
      <c r="D3" s="1388"/>
      <c r="E3" s="1388"/>
      <c r="F3" s="1388"/>
      <c r="G3" s="1388"/>
      <c r="H3" s="1388"/>
      <c r="N3" s="100"/>
      <c r="O3" s="100"/>
      <c r="P3" s="100"/>
      <c r="Q3" s="100"/>
      <c r="R3" s="100"/>
      <c r="S3" s="100"/>
      <c r="T3" s="100"/>
      <c r="U3" s="100"/>
      <c r="AE3" s="1389"/>
      <c r="AF3" s="1389"/>
      <c r="AG3" s="1389"/>
    </row>
    <row r="4" spans="1:33" ht="68.75" customHeight="1" x14ac:dyDescent="0.25">
      <c r="A4" s="91" t="s">
        <v>1</v>
      </c>
      <c r="B4" s="91" t="s">
        <v>253</v>
      </c>
      <c r="C4" s="107" t="s">
        <v>254</v>
      </c>
      <c r="D4" s="91" t="s">
        <v>243</v>
      </c>
      <c r="E4" s="218" t="s">
        <v>246</v>
      </c>
      <c r="F4" s="108" t="s">
        <v>255</v>
      </c>
      <c r="G4" s="91" t="s">
        <v>256</v>
      </c>
      <c r="H4" s="107" t="s">
        <v>347</v>
      </c>
      <c r="I4" s="91" t="s">
        <v>258</v>
      </c>
      <c r="J4" s="91" t="s">
        <v>259</v>
      </c>
      <c r="K4" s="91" t="s">
        <v>260</v>
      </c>
      <c r="L4" s="91" t="s">
        <v>261</v>
      </c>
      <c r="M4" s="100"/>
      <c r="N4" s="100"/>
      <c r="O4" s="100"/>
      <c r="P4" s="100"/>
      <c r="Q4" s="100"/>
      <c r="R4" s="100"/>
    </row>
    <row r="5" spans="1:33" ht="14.25" customHeight="1" x14ac:dyDescent="0.25">
      <c r="A5" s="219"/>
      <c r="B5" s="654"/>
      <c r="C5" s="655"/>
      <c r="D5" s="219"/>
      <c r="E5" s="656"/>
      <c r="F5" s="219"/>
      <c r="G5" s="219"/>
      <c r="H5" s="655"/>
      <c r="I5" s="81"/>
      <c r="J5" s="119"/>
      <c r="K5" s="122"/>
      <c r="L5" s="122"/>
    </row>
    <row r="6" spans="1:33" ht="14.25" customHeight="1" x14ac:dyDescent="0.25">
      <c r="A6" s="295" t="s">
        <v>13</v>
      </c>
      <c r="B6" s="22" t="s">
        <v>19</v>
      </c>
      <c r="C6" s="124" t="s">
        <v>14</v>
      </c>
      <c r="D6" s="1142">
        <v>450</v>
      </c>
      <c r="E6" s="116">
        <f t="shared" ref="E6:E14" si="0">$I$1</f>
        <v>14.55</v>
      </c>
      <c r="F6" s="127">
        <v>1</v>
      </c>
      <c r="G6" s="119">
        <f t="shared" ref="G6:G14" si="1">D6*E6</f>
        <v>6547.5</v>
      </c>
      <c r="H6" s="120">
        <f t="shared" ref="H6:H14" si="2">G6*F6</f>
        <v>6547.5</v>
      </c>
      <c r="I6" s="81">
        <f>VLOOKUP(B6,All_Ingredients!$A$1:$F$151,6,FALSE())</f>
        <v>0.84</v>
      </c>
      <c r="J6" s="119">
        <f>VLOOKUP(B6,All_Ingredients!$A$1:$J$151,10,FALSE())</f>
        <v>2.6</v>
      </c>
      <c r="K6" s="122">
        <f t="shared" ref="K6" si="3">(H6/I6)/1000</f>
        <v>7.7946428571428577</v>
      </c>
      <c r="L6" s="122">
        <f t="shared" ref="L6" si="4">K6*J6</f>
        <v>20.266071428571429</v>
      </c>
    </row>
    <row r="7" spans="1:33" ht="14.25" customHeight="1" x14ac:dyDescent="0.25">
      <c r="A7" s="295" t="s">
        <v>13</v>
      </c>
      <c r="B7" s="22" t="s">
        <v>47</v>
      </c>
      <c r="C7" s="124" t="s">
        <v>14</v>
      </c>
      <c r="D7" s="1142">
        <v>450</v>
      </c>
      <c r="E7" s="116">
        <f t="shared" si="0"/>
        <v>14.55</v>
      </c>
      <c r="F7" s="127">
        <v>1</v>
      </c>
      <c r="G7" s="119">
        <f t="shared" si="1"/>
        <v>6547.5</v>
      </c>
      <c r="H7" s="120">
        <f t="shared" si="2"/>
        <v>6547.5</v>
      </c>
      <c r="I7" s="81">
        <f>VLOOKUP(B7,All_Ingredients!$A$1:$F$151,6,FALSE())</f>
        <v>0.78</v>
      </c>
      <c r="J7" s="119">
        <f>VLOOKUP(B7,All_Ingredients!$A$1:$J$151,10,FALSE())</f>
        <v>3.7</v>
      </c>
      <c r="K7" s="122">
        <f t="shared" ref="K7:K14" si="5">(H7/I7)/1000</f>
        <v>8.3942307692307701</v>
      </c>
      <c r="L7" s="122">
        <f t="shared" ref="L7:L14" si="6">K7*J7</f>
        <v>31.058653846153852</v>
      </c>
    </row>
    <row r="8" spans="1:33" ht="14.25" customHeight="1" x14ac:dyDescent="0.25">
      <c r="A8" s="295" t="s">
        <v>13</v>
      </c>
      <c r="B8" s="22" t="s">
        <v>28</v>
      </c>
      <c r="C8" s="124" t="s">
        <v>14</v>
      </c>
      <c r="D8" s="1142">
        <v>80</v>
      </c>
      <c r="E8" s="116">
        <f t="shared" si="0"/>
        <v>14.55</v>
      </c>
      <c r="F8" s="127">
        <v>1</v>
      </c>
      <c r="G8" s="119">
        <f t="shared" si="1"/>
        <v>1164</v>
      </c>
      <c r="H8" s="120">
        <f t="shared" si="2"/>
        <v>1164</v>
      </c>
      <c r="I8" s="81">
        <f>VLOOKUP(B8,All_Ingredients!$A$1:$F$151,6,FALSE())</f>
        <v>0.56999999999999995</v>
      </c>
      <c r="J8" s="119">
        <f>VLOOKUP(B8,All_Ingredients!$A$1:$J$151,10,FALSE())</f>
        <v>8.5</v>
      </c>
      <c r="K8" s="122">
        <f t="shared" si="5"/>
        <v>2.0421052631578949</v>
      </c>
      <c r="L8" s="122">
        <f t="shared" si="6"/>
        <v>17.357894736842105</v>
      </c>
    </row>
    <row r="9" spans="1:33" ht="14.25" customHeight="1" x14ac:dyDescent="0.25">
      <c r="A9" s="295" t="s">
        <v>13</v>
      </c>
      <c r="B9" s="22" t="s">
        <v>30</v>
      </c>
      <c r="C9" s="124" t="s">
        <v>14</v>
      </c>
      <c r="D9" s="1142">
        <v>80</v>
      </c>
      <c r="E9" s="116">
        <f t="shared" si="0"/>
        <v>14.55</v>
      </c>
      <c r="F9" s="127">
        <v>1</v>
      </c>
      <c r="G9" s="119">
        <f t="shared" si="1"/>
        <v>1164</v>
      </c>
      <c r="H9" s="120">
        <f t="shared" si="2"/>
        <v>1164</v>
      </c>
      <c r="I9" s="81">
        <f>VLOOKUP(B9,All_Ingredients!$A$1:$F$151,6,FALSE())</f>
        <v>0.56999999999999995</v>
      </c>
      <c r="J9" s="119">
        <f>VLOOKUP(B9,All_Ingredients!$A$1:$J$151,10,FALSE())</f>
        <v>8.5</v>
      </c>
      <c r="K9" s="122">
        <f t="shared" si="5"/>
        <v>2.0421052631578949</v>
      </c>
      <c r="L9" s="122">
        <f t="shared" si="6"/>
        <v>17.357894736842105</v>
      </c>
      <c r="S9" s="100" t="s">
        <v>834</v>
      </c>
      <c r="T9" s="100" t="s">
        <v>835</v>
      </c>
      <c r="U9" s="14" t="s">
        <v>838</v>
      </c>
      <c r="V9" s="14" t="s">
        <v>837</v>
      </c>
      <c r="W9" s="14" t="s">
        <v>836</v>
      </c>
    </row>
    <row r="10" spans="1:33" ht="14.25" customHeight="1" x14ac:dyDescent="0.25">
      <c r="A10" s="295" t="s">
        <v>13</v>
      </c>
      <c r="B10" s="22" t="s">
        <v>32</v>
      </c>
      <c r="C10" s="124" t="s">
        <v>14</v>
      </c>
      <c r="D10" s="1142">
        <v>80</v>
      </c>
      <c r="E10" s="116">
        <f t="shared" si="0"/>
        <v>14.55</v>
      </c>
      <c r="F10" s="127">
        <v>1</v>
      </c>
      <c r="G10" s="119">
        <f t="shared" si="1"/>
        <v>1164</v>
      </c>
      <c r="H10" s="120">
        <f t="shared" si="2"/>
        <v>1164</v>
      </c>
      <c r="I10" s="81">
        <f>VLOOKUP(B10,All_Ingredients!$A$1:$F$151,6,FALSE())</f>
        <v>0.96</v>
      </c>
      <c r="J10" s="119">
        <f>VLOOKUP(B10,All_Ingredients!$A$1:$J$151,10,FALSE())</f>
        <v>4</v>
      </c>
      <c r="K10" s="122">
        <f t="shared" si="5"/>
        <v>1.2124999999999999</v>
      </c>
      <c r="L10" s="122">
        <f t="shared" si="6"/>
        <v>4.8499999999999996</v>
      </c>
      <c r="S10" s="100">
        <v>4600</v>
      </c>
      <c r="T10" s="100">
        <v>4200</v>
      </c>
      <c r="U10" s="14">
        <v>2100</v>
      </c>
      <c r="V10" s="14">
        <v>1600</v>
      </c>
      <c r="W10" s="14">
        <v>1000</v>
      </c>
    </row>
    <row r="11" spans="1:33" ht="14.25" customHeight="1" x14ac:dyDescent="0.25">
      <c r="A11" s="295" t="s">
        <v>13</v>
      </c>
      <c r="B11" s="22" t="s">
        <v>51</v>
      </c>
      <c r="C11" s="124" t="s">
        <v>14</v>
      </c>
      <c r="D11" s="1142">
        <v>80</v>
      </c>
      <c r="E11" s="116">
        <f t="shared" si="0"/>
        <v>14.55</v>
      </c>
      <c r="F11" s="127">
        <v>1</v>
      </c>
      <c r="G11" s="119">
        <f t="shared" si="1"/>
        <v>1164</v>
      </c>
      <c r="H11" s="120">
        <f t="shared" si="2"/>
        <v>1164</v>
      </c>
      <c r="I11" s="81">
        <f>VLOOKUP(B11,All_Ingredients!$A$1:$F$151,6,FALSE())</f>
        <v>0.75</v>
      </c>
      <c r="J11" s="119">
        <f>VLOOKUP(B11,All_Ingredients!$A$1:$J$151,10,FALSE())</f>
        <v>20</v>
      </c>
      <c r="K11" s="122">
        <f t="shared" si="5"/>
        <v>1.552</v>
      </c>
      <c r="L11" s="122">
        <f t="shared" si="6"/>
        <v>31.04</v>
      </c>
      <c r="M11" s="100"/>
      <c r="S11" s="100">
        <v>3800</v>
      </c>
      <c r="T11" s="100">
        <v>4100</v>
      </c>
      <c r="U11" s="14">
        <v>1700</v>
      </c>
      <c r="W11" s="14">
        <v>650</v>
      </c>
    </row>
    <row r="12" spans="1:33" ht="14.25" customHeight="1" x14ac:dyDescent="0.25">
      <c r="A12" s="295" t="s">
        <v>225</v>
      </c>
      <c r="B12" s="22" t="s">
        <v>563</v>
      </c>
      <c r="C12" s="124" t="s">
        <v>14</v>
      </c>
      <c r="D12" s="1142">
        <v>80</v>
      </c>
      <c r="E12" s="116">
        <f t="shared" si="0"/>
        <v>14.55</v>
      </c>
      <c r="F12" s="127">
        <v>1</v>
      </c>
      <c r="G12" s="119">
        <f t="shared" si="1"/>
        <v>1164</v>
      </c>
      <c r="H12" s="120">
        <f t="shared" si="2"/>
        <v>1164</v>
      </c>
      <c r="I12" s="81">
        <f>VLOOKUP(B12,All_Ingredients!$A$1:$F$151,6,FALSE())</f>
        <v>1</v>
      </c>
      <c r="J12" s="119">
        <f>VLOOKUP(B12,All_Ingredients!$A$1:$J$151,10,FALSE())</f>
        <v>10.196078431372548</v>
      </c>
      <c r="K12" s="122">
        <f t="shared" si="5"/>
        <v>1.1639999999999999</v>
      </c>
      <c r="L12" s="122">
        <f t="shared" si="6"/>
        <v>11.868235294117646</v>
      </c>
      <c r="S12" s="100">
        <f>S10+S11</f>
        <v>8400</v>
      </c>
      <c r="T12" s="100">
        <f>T10+T11</f>
        <v>8300</v>
      </c>
      <c r="U12" s="100">
        <f>U10+U11</f>
        <v>3800</v>
      </c>
      <c r="V12" s="100">
        <f t="shared" ref="V12" si="7">V10+V11</f>
        <v>1600</v>
      </c>
      <c r="W12" s="100">
        <f>W10+W11</f>
        <v>1650</v>
      </c>
      <c r="X12" s="14">
        <v>23750</v>
      </c>
    </row>
    <row r="13" spans="1:33" ht="14.25" customHeight="1" x14ac:dyDescent="0.25">
      <c r="A13" s="295" t="s">
        <v>97</v>
      </c>
      <c r="B13" s="323" t="s">
        <v>96</v>
      </c>
      <c r="C13" s="124" t="s">
        <v>14</v>
      </c>
      <c r="D13" s="116">
        <v>4</v>
      </c>
      <c r="E13" s="116">
        <f t="shared" si="0"/>
        <v>14.55</v>
      </c>
      <c r="F13" s="127">
        <v>0.75</v>
      </c>
      <c r="G13" s="119">
        <f t="shared" si="1"/>
        <v>58.2</v>
      </c>
      <c r="H13" s="120">
        <f t="shared" si="2"/>
        <v>43.650000000000006</v>
      </c>
      <c r="I13" s="81">
        <f>VLOOKUP(B13,All_Ingredients!$A$1:$F$151,6,FALSE())</f>
        <v>1</v>
      </c>
      <c r="J13" s="119">
        <f>VLOOKUP(B13,All_Ingredients!$A$1:$J$151,10,FALSE())</f>
        <v>0.74</v>
      </c>
      <c r="K13" s="122">
        <f t="shared" si="5"/>
        <v>4.3650000000000008E-2</v>
      </c>
      <c r="L13" s="122">
        <f t="shared" si="6"/>
        <v>3.2301000000000003E-2</v>
      </c>
      <c r="S13" s="100"/>
      <c r="T13" s="100"/>
      <c r="U13" s="14" t="s">
        <v>596</v>
      </c>
    </row>
    <row r="14" spans="1:33" ht="14.25" customHeight="1" x14ac:dyDescent="0.25">
      <c r="A14" s="295" t="s">
        <v>97</v>
      </c>
      <c r="B14" s="323" t="s">
        <v>102</v>
      </c>
      <c r="C14" s="124" t="s">
        <v>14</v>
      </c>
      <c r="D14" s="197">
        <v>0.5</v>
      </c>
      <c r="E14" s="116">
        <f t="shared" si="0"/>
        <v>14.55</v>
      </c>
      <c r="F14" s="127">
        <v>1</v>
      </c>
      <c r="G14" s="119">
        <f t="shared" si="1"/>
        <v>7.2750000000000004</v>
      </c>
      <c r="H14" s="120">
        <f t="shared" si="2"/>
        <v>7.2750000000000004</v>
      </c>
      <c r="I14" s="81">
        <f>VLOOKUP(B14,All_Ingredients!$A$1:$F$151,6,FALSE())</f>
        <v>1</v>
      </c>
      <c r="J14" s="119">
        <f>VLOOKUP(B14,All_Ingredients!$A$1:$J$151,10,FALSE())</f>
        <v>31</v>
      </c>
      <c r="K14" s="122">
        <f t="shared" si="5"/>
        <v>7.2750000000000002E-3</v>
      </c>
      <c r="L14" s="122">
        <f t="shared" si="6"/>
        <v>0.225525</v>
      </c>
      <c r="S14" s="100"/>
      <c r="T14" s="100"/>
    </row>
    <row r="15" spans="1:33" ht="14.25" customHeight="1" x14ac:dyDescent="0.25">
      <c r="B15" s="356"/>
      <c r="C15" s="357"/>
      <c r="D15" s="359"/>
      <c r="E15" s="359"/>
      <c r="F15" s="360"/>
      <c r="G15" s="361"/>
      <c r="H15" s="362"/>
      <c r="S15" s="100"/>
      <c r="T15" s="100"/>
    </row>
    <row r="16" spans="1:33" ht="14.25" customHeight="1" x14ac:dyDescent="0.25">
      <c r="E16" s="225"/>
      <c r="F16" s="136"/>
      <c r="G16" s="140"/>
      <c r="H16" s="138"/>
      <c r="S16" s="100"/>
      <c r="T16" s="100"/>
    </row>
    <row r="17" spans="2:29" ht="14.25" customHeight="1" x14ac:dyDescent="0.25">
      <c r="E17" s="100"/>
      <c r="F17" s="100"/>
      <c r="S17" s="100">
        <v>11400</v>
      </c>
      <c r="T17" s="100"/>
    </row>
    <row r="18" spans="2:29" ht="14.25" customHeight="1" x14ac:dyDescent="0.25">
      <c r="E18" s="100"/>
      <c r="F18" s="100"/>
      <c r="S18" s="100">
        <v>7900</v>
      </c>
      <c r="T18" s="100"/>
    </row>
    <row r="19" spans="2:29" ht="14.25" customHeight="1" x14ac:dyDescent="0.25">
      <c r="E19" s="100"/>
      <c r="F19" s="100"/>
      <c r="S19" s="100"/>
      <c r="T19" s="100"/>
    </row>
    <row r="20" spans="2:29" ht="12.75" customHeight="1" x14ac:dyDescent="0.25">
      <c r="E20" s="100"/>
      <c r="F20" s="100"/>
      <c r="S20" s="100">
        <v>19300</v>
      </c>
      <c r="T20" s="100"/>
    </row>
    <row r="21" spans="2:29" ht="12.75" customHeight="1" x14ac:dyDescent="0.25">
      <c r="E21" s="100"/>
      <c r="F21" s="100"/>
    </row>
    <row r="22" spans="2:29" ht="12.75" customHeight="1" x14ac:dyDescent="0.25">
      <c r="B22" s="100"/>
      <c r="E22" s="100"/>
      <c r="F22" s="100"/>
    </row>
    <row r="23" spans="2:29" ht="12.75" customHeight="1" x14ac:dyDescent="0.25">
      <c r="B23" s="100"/>
      <c r="E23" s="100"/>
      <c r="F23" s="100"/>
    </row>
    <row r="24" spans="2:29" ht="12.75" customHeight="1" x14ac:dyDescent="0.25">
      <c r="B24" s="100"/>
      <c r="Z24" s="1234"/>
    </row>
    <row r="25" spans="2:29" ht="12.75" customHeight="1" x14ac:dyDescent="0.3">
      <c r="B25" s="100"/>
      <c r="R25" s="1430" t="s">
        <v>354</v>
      </c>
      <c r="S25" s="1388"/>
      <c r="T25" s="1388"/>
      <c r="Z25" s="141" t="s">
        <v>14</v>
      </c>
      <c r="AA25" s="142">
        <v>150</v>
      </c>
      <c r="AB25" s="141" t="s">
        <v>261</v>
      </c>
      <c r="AC25" s="143">
        <f>(S31/S30)*AA25</f>
        <v>1.3820265571394548</v>
      </c>
    </row>
    <row r="26" spans="2:29" ht="12.75" customHeight="1" x14ac:dyDescent="0.3">
      <c r="B26" s="100"/>
      <c r="R26" s="1438" t="s">
        <v>350</v>
      </c>
      <c r="S26" s="1410"/>
      <c r="T26" s="1410"/>
    </row>
    <row r="27" spans="2:29" ht="14.25" customHeight="1" x14ac:dyDescent="0.3">
      <c r="B27" s="100"/>
      <c r="R27" s="145" t="s">
        <v>266</v>
      </c>
      <c r="S27" s="145" t="s">
        <v>351</v>
      </c>
      <c r="T27" s="145" t="s">
        <v>269</v>
      </c>
    </row>
    <row r="28" spans="2:29" ht="14.25" customHeight="1" x14ac:dyDescent="0.3">
      <c r="B28" s="100"/>
      <c r="R28" s="145" t="s">
        <v>275</v>
      </c>
      <c r="S28" s="792">
        <f>T28</f>
        <v>14550</v>
      </c>
      <c r="T28" s="790">
        <f>$Z$1</f>
        <v>14550</v>
      </c>
    </row>
    <row r="29" spans="2:29" ht="14.25" customHeight="1" x14ac:dyDescent="0.3">
      <c r="B29" s="100"/>
      <c r="R29" s="145" t="s">
        <v>277</v>
      </c>
      <c r="S29" s="790">
        <f>$AB$1</f>
        <v>0</v>
      </c>
      <c r="T29" s="793">
        <f>S29</f>
        <v>0</v>
      </c>
    </row>
    <row r="30" spans="2:29" ht="14.25" customHeight="1" thickBot="1" x14ac:dyDescent="0.35">
      <c r="B30" s="100"/>
      <c r="R30" s="145" t="s">
        <v>269</v>
      </c>
      <c r="S30" s="339">
        <f>SUM(S28:S29)</f>
        <v>14550</v>
      </c>
      <c r="T30" s="339">
        <f>S30</f>
        <v>14550</v>
      </c>
    </row>
    <row r="31" spans="2:29" ht="14.25" customHeight="1" thickBot="1" x14ac:dyDescent="0.35">
      <c r="B31" s="100"/>
      <c r="R31" s="163" t="s">
        <v>261</v>
      </c>
      <c r="S31" s="1144">
        <f>SUM(L6:L14)</f>
        <v>134.05657604252713</v>
      </c>
      <c r="T31" s="1220">
        <f>S31</f>
        <v>134.05657604252713</v>
      </c>
    </row>
    <row r="32" spans="2:29" ht="14.25" customHeight="1" x14ac:dyDescent="0.25">
      <c r="B32" s="100"/>
    </row>
    <row r="33" spans="2:6" ht="12.75" customHeight="1" x14ac:dyDescent="0.25">
      <c r="B33" s="100"/>
    </row>
    <row r="34" spans="2:6" ht="12.75" customHeight="1" x14ac:dyDescent="0.25">
      <c r="B34" s="100"/>
    </row>
    <row r="35" spans="2:6" ht="12.75" customHeight="1" x14ac:dyDescent="0.25">
      <c r="B35" s="100"/>
    </row>
    <row r="36" spans="2:6" ht="12.75" customHeight="1" x14ac:dyDescent="0.25">
      <c r="B36" s="100"/>
      <c r="E36" s="100"/>
      <c r="F36" s="100"/>
    </row>
    <row r="37" spans="2:6" ht="12.75" customHeight="1" x14ac:dyDescent="0.25">
      <c r="B37" s="100"/>
      <c r="E37" s="100"/>
      <c r="F37" s="100"/>
    </row>
    <row r="38" spans="2:6" ht="12.75" customHeight="1" x14ac:dyDescent="0.25">
      <c r="B38" s="100"/>
      <c r="E38" s="100"/>
      <c r="F38" s="100"/>
    </row>
    <row r="39" spans="2:6" ht="12.75" customHeight="1" x14ac:dyDescent="0.25">
      <c r="B39" s="100"/>
      <c r="E39" s="100"/>
      <c r="F39" s="100"/>
    </row>
    <row r="40" spans="2:6" ht="12.75" customHeight="1" x14ac:dyDescent="0.25">
      <c r="B40" s="100"/>
      <c r="E40" s="100"/>
      <c r="F40" s="100"/>
    </row>
    <row r="41" spans="2:6" ht="12.75" customHeight="1" x14ac:dyDescent="0.25">
      <c r="B41" s="100"/>
      <c r="E41" s="100"/>
      <c r="F41" s="100"/>
    </row>
    <row r="42" spans="2:6" ht="12.75" customHeight="1" x14ac:dyDescent="0.25">
      <c r="B42" s="100"/>
      <c r="E42" s="100"/>
      <c r="F42" s="100"/>
    </row>
    <row r="43" spans="2:6" ht="14" customHeight="1" x14ac:dyDescent="0.25">
      <c r="B43" s="100"/>
      <c r="E43" s="100"/>
      <c r="F43" s="100"/>
    </row>
    <row r="44" spans="2:6" ht="14" customHeight="1" x14ac:dyDescent="0.25">
      <c r="B44" s="100"/>
      <c r="E44" s="100"/>
      <c r="F44" s="100"/>
    </row>
    <row r="45" spans="2:6" ht="12.75" customHeight="1" x14ac:dyDescent="0.25">
      <c r="B45" s="100"/>
      <c r="E45" s="100"/>
      <c r="F45" s="100"/>
    </row>
    <row r="46" spans="2:6" ht="12.75" customHeight="1" x14ac:dyDescent="0.25">
      <c r="B46" s="100"/>
      <c r="E46" s="100"/>
      <c r="F46" s="100"/>
    </row>
    <row r="47" spans="2:6" ht="12.75" customHeight="1" x14ac:dyDescent="0.25">
      <c r="B47" s="100"/>
      <c r="E47" s="100"/>
      <c r="F47" s="100"/>
    </row>
    <row r="48" spans="2:6" ht="12.75" customHeight="1" x14ac:dyDescent="0.25">
      <c r="B48" s="100"/>
      <c r="E48" s="100"/>
      <c r="F48" s="100"/>
    </row>
    <row r="49" spans="1:8" ht="12.75" customHeight="1" x14ac:dyDescent="0.25">
      <c r="B49" s="100"/>
      <c r="E49" s="100"/>
      <c r="F49" s="100"/>
    </row>
    <row r="50" spans="1:8" ht="12.75" customHeight="1" x14ac:dyDescent="0.3">
      <c r="B50" s="226"/>
      <c r="C50" s="226" t="s">
        <v>245</v>
      </c>
      <c r="D50" s="226" t="s">
        <v>291</v>
      </c>
      <c r="E50" s="100"/>
      <c r="F50" s="100"/>
    </row>
    <row r="51" spans="1:8" ht="12.75" customHeight="1" x14ac:dyDescent="0.3">
      <c r="B51" s="180" t="s">
        <v>295</v>
      </c>
      <c r="C51" s="181">
        <f>10/$K$1</f>
        <v>10</v>
      </c>
      <c r="D51" s="182">
        <f>$C$1*10</f>
        <v>10000</v>
      </c>
      <c r="E51" s="100"/>
      <c r="F51" s="100"/>
    </row>
    <row r="52" spans="1:8" ht="12.75" customHeight="1" x14ac:dyDescent="0.3">
      <c r="B52" s="231" t="s">
        <v>269</v>
      </c>
      <c r="C52" s="233">
        <f>G1</f>
        <v>14.55</v>
      </c>
      <c r="D52" s="233">
        <f>E1</f>
        <v>14550</v>
      </c>
      <c r="E52" s="100"/>
      <c r="F52" s="100"/>
    </row>
    <row r="53" spans="1:8" ht="12.75" customHeight="1" x14ac:dyDescent="0.3">
      <c r="B53" s="231" t="s">
        <v>296</v>
      </c>
      <c r="C53" s="234">
        <f>MIN($C$52, $C$51)</f>
        <v>10</v>
      </c>
      <c r="D53" s="233">
        <f>(C53*$K$1)*$C$1</f>
        <v>10000</v>
      </c>
      <c r="E53" s="100"/>
      <c r="F53" s="100"/>
    </row>
    <row r="54" spans="1:8" ht="12.75" customHeight="1" x14ac:dyDescent="0.3">
      <c r="B54" s="231" t="s">
        <v>297</v>
      </c>
      <c r="C54" s="234">
        <f>MIN(MAX($C$52-C53,0),$C$51)</f>
        <v>4.5500000000000007</v>
      </c>
      <c r="D54" s="233">
        <f>(C54*$K$1)*$C$1</f>
        <v>4550.0000000000009</v>
      </c>
      <c r="E54" s="100"/>
      <c r="F54" s="100"/>
    </row>
    <row r="55" spans="1:8" ht="12.75" customHeight="1" x14ac:dyDescent="0.3">
      <c r="B55" s="231" t="s">
        <v>298</v>
      </c>
      <c r="C55" s="234">
        <f>MIN(MAX($C$52-C53-C54,0),$C$51)</f>
        <v>0</v>
      </c>
      <c r="D55" s="233">
        <f>(C55*$K$1)*$C$1</f>
        <v>0</v>
      </c>
      <c r="E55" s="100"/>
      <c r="F55" s="100"/>
    </row>
    <row r="56" spans="1:8" ht="12.75" customHeight="1" x14ac:dyDescent="0.25">
      <c r="B56" s="100"/>
      <c r="E56" s="100"/>
      <c r="F56" s="100"/>
    </row>
    <row r="57" spans="1:8" ht="12.75" customHeight="1" x14ac:dyDescent="0.25">
      <c r="B57" s="100"/>
      <c r="E57" s="100"/>
      <c r="F57" s="100"/>
    </row>
    <row r="58" spans="1:8" ht="12.75" customHeight="1" x14ac:dyDescent="0.25">
      <c r="B58" s="100"/>
      <c r="E58" s="100"/>
      <c r="F58" s="100"/>
    </row>
    <row r="59" spans="1:8" ht="12.75" customHeight="1" x14ac:dyDescent="0.25">
      <c r="B59" s="100"/>
      <c r="E59" s="100"/>
      <c r="F59" s="100"/>
    </row>
    <row r="60" spans="1:8" x14ac:dyDescent="0.25">
      <c r="B60" s="100"/>
      <c r="E60" s="100"/>
      <c r="F60" s="100"/>
    </row>
    <row r="62" spans="1:8" ht="17.75" customHeight="1" x14ac:dyDescent="0.3">
      <c r="A62" s="942"/>
      <c r="B62" s="1382" t="s">
        <v>856</v>
      </c>
      <c r="C62" s="1383"/>
      <c r="D62" s="1383"/>
      <c r="E62" s="1383"/>
      <c r="F62" s="1383"/>
      <c r="G62" s="1383"/>
      <c r="H62" s="1383"/>
    </row>
    <row r="63" spans="1:8" ht="14" x14ac:dyDescent="0.3">
      <c r="A63" s="942"/>
      <c r="B63" s="1384" t="s">
        <v>353</v>
      </c>
      <c r="C63" s="1385"/>
      <c r="D63" s="1385"/>
      <c r="E63" s="1385"/>
      <c r="F63" s="1385"/>
      <c r="G63" s="1385"/>
      <c r="H63" s="1385"/>
    </row>
    <row r="64" spans="1:8" ht="52.25" customHeight="1" x14ac:dyDescent="0.25">
      <c r="A64" s="91"/>
      <c r="B64" s="243" t="s">
        <v>253</v>
      </c>
      <c r="C64" s="244" t="s">
        <v>254</v>
      </c>
      <c r="D64" s="245" t="s">
        <v>243</v>
      </c>
      <c r="E64" s="218" t="s">
        <v>246</v>
      </c>
      <c r="F64" s="218" t="s">
        <v>255</v>
      </c>
      <c r="G64" s="245" t="s">
        <v>256</v>
      </c>
      <c r="H64" s="218" t="s">
        <v>257</v>
      </c>
    </row>
    <row r="65" spans="1:8" ht="14.25" customHeight="1" x14ac:dyDescent="0.25">
      <c r="A65" s="295" t="s">
        <v>13</v>
      </c>
      <c r="B65" s="323" t="str">
        <f t="shared" ref="B65:D73" si="8">B6</f>
        <v>Carrot - جزر</v>
      </c>
      <c r="C65" s="124" t="str">
        <f t="shared" si="8"/>
        <v>gm</v>
      </c>
      <c r="D65" s="116">
        <f t="shared" si="8"/>
        <v>450</v>
      </c>
      <c r="E65" s="116">
        <f>$C$52</f>
        <v>14.55</v>
      </c>
      <c r="F65" s="127">
        <f t="shared" ref="F65:F73" si="9">F6</f>
        <v>1</v>
      </c>
      <c r="G65" s="119">
        <f t="shared" ref="G65:G73" si="10">D65*E65</f>
        <v>6547.5</v>
      </c>
      <c r="H65" s="120">
        <f t="shared" ref="H65:H73" si="11">G65*F65</f>
        <v>6547.5</v>
      </c>
    </row>
    <row r="66" spans="1:8" ht="14.25" customHeight="1" x14ac:dyDescent="0.25">
      <c r="A66" s="295" t="s">
        <v>13</v>
      </c>
      <c r="B66" s="323" t="str">
        <f t="shared" si="8"/>
        <v>Zucchini - كوسة</v>
      </c>
      <c r="C66" s="124" t="str">
        <f t="shared" si="8"/>
        <v>gm</v>
      </c>
      <c r="D66" s="116">
        <f t="shared" si="8"/>
        <v>450</v>
      </c>
      <c r="E66" s="116">
        <f t="shared" ref="E66:E73" si="12">$C$52</f>
        <v>14.55</v>
      </c>
      <c r="F66" s="127">
        <f t="shared" si="9"/>
        <v>1</v>
      </c>
      <c r="G66" s="119">
        <f t="shared" si="10"/>
        <v>6547.5</v>
      </c>
      <c r="H66" s="120">
        <f t="shared" si="11"/>
        <v>6547.5</v>
      </c>
    </row>
    <row r="67" spans="1:8" ht="14.25" customHeight="1" x14ac:dyDescent="0.25">
      <c r="A67" s="295" t="s">
        <v>13</v>
      </c>
      <c r="B67" s="323" t="str">
        <f t="shared" si="8"/>
        <v xml:space="preserve">Red Bell Pepper - فلفل أحمر </v>
      </c>
      <c r="C67" s="124" t="str">
        <f t="shared" si="8"/>
        <v>gm</v>
      </c>
      <c r="D67" s="116">
        <f t="shared" si="8"/>
        <v>80</v>
      </c>
      <c r="E67" s="116">
        <f t="shared" si="12"/>
        <v>14.55</v>
      </c>
      <c r="F67" s="127">
        <f t="shared" si="9"/>
        <v>1</v>
      </c>
      <c r="G67" s="119">
        <f t="shared" si="10"/>
        <v>1164</v>
      </c>
      <c r="H67" s="120">
        <f t="shared" si="11"/>
        <v>1164</v>
      </c>
    </row>
    <row r="68" spans="1:8" ht="14.25" customHeight="1" x14ac:dyDescent="0.25">
      <c r="A68" s="295" t="s">
        <v>13</v>
      </c>
      <c r="B68" s="323" t="str">
        <f t="shared" si="8"/>
        <v xml:space="preserve">Yellow Bell Pepper - فلفل أصفر </v>
      </c>
      <c r="C68" s="124" t="str">
        <f t="shared" si="8"/>
        <v>gm</v>
      </c>
      <c r="D68" s="116">
        <f t="shared" si="8"/>
        <v>80</v>
      </c>
      <c r="E68" s="116">
        <f t="shared" si="12"/>
        <v>14.55</v>
      </c>
      <c r="F68" s="127">
        <f t="shared" si="9"/>
        <v>1</v>
      </c>
      <c r="G68" s="119">
        <f t="shared" si="10"/>
        <v>1164</v>
      </c>
      <c r="H68" s="120">
        <f t="shared" si="11"/>
        <v>1164</v>
      </c>
    </row>
    <row r="69" spans="1:8" ht="14.25" customHeight="1" x14ac:dyDescent="0.25">
      <c r="A69" s="295" t="s">
        <v>13</v>
      </c>
      <c r="B69" s="323" t="str">
        <f t="shared" si="8"/>
        <v>Green Bell Pepper - فلفل أخضر رومى</v>
      </c>
      <c r="C69" s="124" t="str">
        <f t="shared" si="8"/>
        <v>gm</v>
      </c>
      <c r="D69" s="116">
        <f t="shared" si="8"/>
        <v>80</v>
      </c>
      <c r="E69" s="116">
        <f t="shared" si="12"/>
        <v>14.55</v>
      </c>
      <c r="F69" s="127">
        <f t="shared" si="9"/>
        <v>1</v>
      </c>
      <c r="G69" s="119">
        <f t="shared" si="10"/>
        <v>1164</v>
      </c>
      <c r="H69" s="120">
        <f t="shared" si="11"/>
        <v>1164</v>
      </c>
    </row>
    <row r="70" spans="1:8" ht="14.25" customHeight="1" x14ac:dyDescent="0.25">
      <c r="A70" s="295" t="s">
        <v>13</v>
      </c>
      <c r="B70" s="323" t="str">
        <f t="shared" si="8"/>
        <v>Chinese Cabbage - ملفوف صيني</v>
      </c>
      <c r="C70" s="124" t="str">
        <f t="shared" si="8"/>
        <v>gm</v>
      </c>
      <c r="D70" s="116">
        <f t="shared" si="8"/>
        <v>80</v>
      </c>
      <c r="E70" s="116">
        <f t="shared" si="12"/>
        <v>14.55</v>
      </c>
      <c r="F70" s="127">
        <f t="shared" si="9"/>
        <v>1</v>
      </c>
      <c r="G70" s="119">
        <f t="shared" si="10"/>
        <v>1164</v>
      </c>
      <c r="H70" s="120">
        <f t="shared" si="11"/>
        <v>1164</v>
      </c>
    </row>
    <row r="71" spans="1:8" ht="14.25" customHeight="1" x14ac:dyDescent="0.25">
      <c r="A71" s="295" t="s">
        <v>225</v>
      </c>
      <c r="B71" s="323" t="str">
        <f t="shared" si="8"/>
        <v>Sweet Corn - ذرة حلوة</v>
      </c>
      <c r="C71" s="124" t="str">
        <f t="shared" si="8"/>
        <v>gm</v>
      </c>
      <c r="D71" s="116">
        <f t="shared" si="8"/>
        <v>80</v>
      </c>
      <c r="E71" s="116">
        <f t="shared" si="12"/>
        <v>14.55</v>
      </c>
      <c r="F71" s="127">
        <f t="shared" si="9"/>
        <v>1</v>
      </c>
      <c r="G71" s="119">
        <f t="shared" si="10"/>
        <v>1164</v>
      </c>
      <c r="H71" s="120">
        <f t="shared" si="11"/>
        <v>1164</v>
      </c>
    </row>
    <row r="72" spans="1:8" ht="14.25" customHeight="1" x14ac:dyDescent="0.25">
      <c r="A72" s="295" t="s">
        <v>97</v>
      </c>
      <c r="B72" s="323" t="str">
        <f t="shared" si="8"/>
        <v>Salt - ملح</v>
      </c>
      <c r="C72" s="124" t="str">
        <f t="shared" si="8"/>
        <v>gm</v>
      </c>
      <c r="D72" s="116">
        <f t="shared" si="8"/>
        <v>4</v>
      </c>
      <c r="E72" s="116">
        <f t="shared" si="12"/>
        <v>14.55</v>
      </c>
      <c r="F72" s="127">
        <f t="shared" si="9"/>
        <v>0.75</v>
      </c>
      <c r="G72" s="119">
        <f t="shared" si="10"/>
        <v>58.2</v>
      </c>
      <c r="H72" s="120">
        <f t="shared" si="11"/>
        <v>43.650000000000006</v>
      </c>
    </row>
    <row r="73" spans="1:8" ht="12.75" customHeight="1" x14ac:dyDescent="0.25">
      <c r="A73" s="295" t="s">
        <v>97</v>
      </c>
      <c r="B73" s="323" t="str">
        <f t="shared" si="8"/>
        <v>Black Pepper Powder - فلفل أسود مطحون</v>
      </c>
      <c r="C73" s="124" t="str">
        <f t="shared" si="8"/>
        <v>gm</v>
      </c>
      <c r="D73" s="197">
        <f t="shared" si="8"/>
        <v>0.5</v>
      </c>
      <c r="E73" s="116">
        <f t="shared" si="12"/>
        <v>14.55</v>
      </c>
      <c r="F73" s="127">
        <f t="shared" si="9"/>
        <v>1</v>
      </c>
      <c r="G73" s="119">
        <f t="shared" si="10"/>
        <v>7.2750000000000004</v>
      </c>
      <c r="H73" s="120">
        <f t="shared" si="11"/>
        <v>7.2750000000000004</v>
      </c>
    </row>
    <row r="74" spans="1:8" ht="20.75" customHeight="1" x14ac:dyDescent="0.25">
      <c r="B74" s="198" t="s">
        <v>768</v>
      </c>
      <c r="E74" s="100"/>
      <c r="F74" s="100"/>
    </row>
    <row r="75" spans="1:8" ht="20.75" customHeight="1" x14ac:dyDescent="0.4">
      <c r="B75" s="199">
        <f>D52</f>
        <v>14550</v>
      </c>
      <c r="C75" s="100"/>
      <c r="D75" s="100"/>
      <c r="E75" s="100"/>
      <c r="F75" s="100"/>
      <c r="G75" s="100"/>
    </row>
    <row r="76" spans="1:8" ht="12.75" customHeight="1" x14ac:dyDescent="0.25">
      <c r="B76" s="100"/>
      <c r="E76" s="100"/>
      <c r="F76" s="100"/>
    </row>
    <row r="77" spans="1:8" x14ac:dyDescent="0.25">
      <c r="B77" s="100"/>
      <c r="C77" s="100"/>
      <c r="D77" s="346"/>
      <c r="E77" s="100"/>
      <c r="F77" s="100"/>
      <c r="G77" s="100"/>
      <c r="H77" s="100"/>
    </row>
    <row r="78" spans="1:8" ht="17.75" customHeight="1" x14ac:dyDescent="0.25">
      <c r="A78" s="881"/>
      <c r="B78" s="881"/>
      <c r="C78" s="881"/>
      <c r="D78" s="881"/>
      <c r="E78" s="881"/>
      <c r="F78" s="881"/>
      <c r="G78" s="881"/>
      <c r="H78" s="881"/>
    </row>
    <row r="79" spans="1:8" ht="17.75" customHeight="1" x14ac:dyDescent="0.25">
      <c r="A79" s="1253"/>
      <c r="B79" s="1439"/>
      <c r="C79" s="1439"/>
      <c r="D79" s="1439"/>
      <c r="E79" s="1439"/>
      <c r="F79" s="1439"/>
      <c r="G79" s="1439"/>
      <c r="H79" s="1439"/>
    </row>
    <row r="80" spans="1:8" ht="14" customHeight="1" x14ac:dyDescent="0.25">
      <c r="A80" s="1253"/>
      <c r="B80" s="1439"/>
      <c r="C80" s="1439"/>
      <c r="D80" s="1439"/>
      <c r="E80" s="1439"/>
      <c r="F80" s="1439"/>
      <c r="G80" s="1439"/>
      <c r="H80" s="1439"/>
    </row>
    <row r="81" spans="1:8" ht="49.25" customHeight="1" x14ac:dyDescent="0.25">
      <c r="A81" s="1258"/>
      <c r="B81" s="1268"/>
      <c r="C81" s="1269"/>
      <c r="D81" s="1268"/>
      <c r="E81" s="1270"/>
      <c r="F81" s="1270"/>
      <c r="G81" s="1268"/>
      <c r="H81" s="1270"/>
    </row>
    <row r="82" spans="1:8" ht="14.25" customHeight="1" x14ac:dyDescent="0.25">
      <c r="A82" s="881"/>
      <c r="B82" s="1271"/>
      <c r="C82" s="1271"/>
      <c r="D82" s="1276"/>
      <c r="E82" s="1277"/>
      <c r="F82" s="1273"/>
      <c r="G82" s="1274"/>
      <c r="H82" s="1275"/>
    </row>
    <row r="83" spans="1:8" ht="14.25" customHeight="1" x14ac:dyDescent="0.25">
      <c r="A83" s="881"/>
      <c r="B83" s="1271"/>
      <c r="C83" s="1271"/>
      <c r="D83" s="1276"/>
      <c r="E83" s="1277"/>
      <c r="F83" s="1273"/>
      <c r="G83" s="1274"/>
      <c r="H83" s="1275"/>
    </row>
    <row r="84" spans="1:8" ht="14.25" customHeight="1" x14ac:dyDescent="0.25">
      <c r="A84" s="881"/>
      <c r="B84" s="1271"/>
      <c r="C84" s="1271"/>
      <c r="D84" s="1276"/>
      <c r="E84" s="1277"/>
      <c r="F84" s="1273"/>
      <c r="G84" s="1274"/>
      <c r="H84" s="1275"/>
    </row>
    <row r="85" spans="1:8" ht="14.25" customHeight="1" x14ac:dyDescent="0.25">
      <c r="A85" s="881"/>
      <c r="B85" s="1271"/>
      <c r="C85" s="1271"/>
      <c r="D85" s="1276"/>
      <c r="E85" s="1277"/>
      <c r="F85" s="1273"/>
      <c r="G85" s="1274"/>
      <c r="H85" s="1275"/>
    </row>
    <row r="86" spans="1:8" ht="14.25" customHeight="1" x14ac:dyDescent="0.25">
      <c r="A86" s="881"/>
      <c r="B86" s="1271"/>
      <c r="C86" s="1271"/>
      <c r="D86" s="1276"/>
      <c r="E86" s="1277"/>
      <c r="F86" s="1273"/>
      <c r="G86" s="1274"/>
      <c r="H86" s="1275"/>
    </row>
    <row r="87" spans="1:8" ht="14.25" customHeight="1" x14ac:dyDescent="0.25">
      <c r="A87" s="881"/>
      <c r="B87" s="1271"/>
      <c r="C87" s="1271"/>
      <c r="D87" s="1276"/>
      <c r="E87" s="1277"/>
      <c r="F87" s="1273"/>
      <c r="G87" s="1274"/>
      <c r="H87" s="1275"/>
    </row>
    <row r="88" spans="1:8" ht="14.25" customHeight="1" x14ac:dyDescent="0.25">
      <c r="A88" s="881"/>
      <c r="B88" s="1271"/>
      <c r="C88" s="1271"/>
      <c r="D88" s="1276"/>
      <c r="E88" s="1277"/>
      <c r="F88" s="1273"/>
      <c r="G88" s="1274"/>
      <c r="H88" s="1275"/>
    </row>
    <row r="89" spans="1:8" ht="14.25" customHeight="1" x14ac:dyDescent="0.25">
      <c r="A89" s="881"/>
      <c r="B89" s="1271"/>
      <c r="C89" s="1271"/>
      <c r="D89" s="1276"/>
      <c r="E89" s="1277"/>
      <c r="F89" s="1273"/>
      <c r="G89" s="1274"/>
      <c r="H89" s="1275"/>
    </row>
    <row r="90" spans="1:8" ht="12.75" customHeight="1" x14ac:dyDescent="0.25">
      <c r="A90" s="881"/>
      <c r="B90" s="1271"/>
      <c r="C90" s="1271"/>
      <c r="D90" s="1278"/>
      <c r="E90" s="1277"/>
      <c r="F90" s="1273"/>
      <c r="G90" s="1274"/>
      <c r="H90" s="1275"/>
    </row>
    <row r="91" spans="1:8" ht="17" customHeight="1" x14ac:dyDescent="0.25">
      <c r="A91" s="881"/>
      <c r="B91" s="900"/>
      <c r="C91" s="881"/>
      <c r="D91" s="881"/>
      <c r="E91" s="875"/>
      <c r="F91" s="875"/>
      <c r="G91" s="881"/>
      <c r="H91" s="881"/>
    </row>
    <row r="92" spans="1:8" ht="20" x14ac:dyDescent="0.4">
      <c r="A92" s="881"/>
      <c r="B92" s="901"/>
      <c r="C92" s="875"/>
      <c r="D92" s="875"/>
      <c r="E92" s="875"/>
      <c r="F92" s="875"/>
      <c r="G92" s="875"/>
      <c r="H92" s="881"/>
    </row>
    <row r="93" spans="1:8" ht="17.75" customHeight="1" x14ac:dyDescent="0.25">
      <c r="A93" s="881"/>
      <c r="B93" s="881"/>
      <c r="C93" s="881"/>
      <c r="D93" s="881"/>
      <c r="E93" s="881"/>
      <c r="F93" s="881"/>
      <c r="G93" s="881"/>
      <c r="H93" s="881"/>
    </row>
    <row r="94" spans="1:8" ht="17.75" customHeight="1" x14ac:dyDescent="0.3">
      <c r="A94" s="1253"/>
      <c r="B94" s="1439"/>
      <c r="C94" s="1440"/>
      <c r="D94" s="1440"/>
      <c r="E94" s="1440"/>
      <c r="F94" s="1440"/>
      <c r="G94" s="1440"/>
      <c r="H94" s="1440"/>
    </row>
    <row r="95" spans="1:8" ht="18" x14ac:dyDescent="0.3">
      <c r="A95" s="1253"/>
      <c r="B95" s="1439"/>
      <c r="C95" s="1440"/>
      <c r="D95" s="1440"/>
      <c r="E95" s="1440"/>
      <c r="F95" s="1440"/>
      <c r="G95" s="1440"/>
      <c r="H95" s="1440"/>
    </row>
    <row r="96" spans="1:8" ht="60.5" customHeight="1" x14ac:dyDescent="0.25">
      <c r="A96" s="1258"/>
      <c r="B96" s="1268"/>
      <c r="C96" s="1269"/>
      <c r="D96" s="1268"/>
      <c r="E96" s="1270"/>
      <c r="F96" s="1270"/>
      <c r="G96" s="1268"/>
      <c r="H96" s="1270"/>
    </row>
    <row r="97" spans="1:8" ht="14.25" customHeight="1" x14ac:dyDescent="0.25">
      <c r="A97" s="881"/>
      <c r="B97" s="1271"/>
      <c r="C97" s="1271"/>
      <c r="D97" s="1271"/>
      <c r="E97" s="1272"/>
      <c r="F97" s="1273"/>
      <c r="G97" s="1274"/>
      <c r="H97" s="1275"/>
    </row>
    <row r="98" spans="1:8" ht="14.25" customHeight="1" x14ac:dyDescent="0.25">
      <c r="A98" s="881"/>
      <c r="B98" s="1271"/>
      <c r="C98" s="1271"/>
      <c r="D98" s="1271"/>
      <c r="E98" s="1272"/>
      <c r="F98" s="1273"/>
      <c r="G98" s="1274"/>
      <c r="H98" s="1275"/>
    </row>
    <row r="99" spans="1:8" ht="14.25" customHeight="1" x14ac:dyDescent="0.25">
      <c r="A99" s="881"/>
      <c r="B99" s="1271"/>
      <c r="C99" s="1271"/>
      <c r="D99" s="1271"/>
      <c r="E99" s="1272"/>
      <c r="F99" s="1273"/>
      <c r="G99" s="1274"/>
      <c r="H99" s="1275"/>
    </row>
    <row r="100" spans="1:8" ht="14.25" customHeight="1" x14ac:dyDescent="0.25">
      <c r="A100" s="881"/>
      <c r="B100" s="1271"/>
      <c r="C100" s="1271"/>
      <c r="D100" s="1271"/>
      <c r="E100" s="1272"/>
      <c r="F100" s="1273"/>
      <c r="G100" s="1274"/>
      <c r="H100" s="1275"/>
    </row>
    <row r="101" spans="1:8" ht="14.25" customHeight="1" x14ac:dyDescent="0.25">
      <c r="A101" s="881"/>
      <c r="B101" s="1271"/>
      <c r="C101" s="1271"/>
      <c r="D101" s="1271"/>
      <c r="E101" s="1272"/>
      <c r="F101" s="1273"/>
      <c r="G101" s="1274"/>
      <c r="H101" s="1275"/>
    </row>
    <row r="102" spans="1:8" ht="14.25" customHeight="1" x14ac:dyDescent="0.25">
      <c r="A102" s="881"/>
      <c r="B102" s="1271"/>
      <c r="C102" s="1271"/>
      <c r="D102" s="1271"/>
      <c r="E102" s="1272"/>
      <c r="F102" s="1273"/>
      <c r="G102" s="1274"/>
      <c r="H102" s="1275"/>
    </row>
    <row r="103" spans="1:8" ht="14.25" customHeight="1" x14ac:dyDescent="0.25">
      <c r="A103" s="881"/>
      <c r="B103" s="1271"/>
      <c r="C103" s="1271"/>
      <c r="D103" s="1271"/>
      <c r="E103" s="1272"/>
      <c r="F103" s="1273"/>
      <c r="G103" s="1274"/>
      <c r="H103" s="1275"/>
    </row>
    <row r="104" spans="1:8" ht="14.25" customHeight="1" x14ac:dyDescent="0.25">
      <c r="A104" s="881"/>
      <c r="B104" s="1271"/>
      <c r="C104" s="1271"/>
      <c r="D104" s="1271"/>
      <c r="E104" s="1272"/>
      <c r="F104" s="1273"/>
      <c r="G104" s="1274"/>
      <c r="H104" s="1275"/>
    </row>
    <row r="105" spans="1:8" ht="12.75" customHeight="1" x14ac:dyDescent="0.25">
      <c r="A105" s="881"/>
      <c r="B105" s="1271"/>
      <c r="C105" s="1271"/>
      <c r="D105" s="1271"/>
      <c r="E105" s="1272"/>
      <c r="F105" s="1273"/>
      <c r="G105" s="1274"/>
      <c r="H105" s="1275"/>
    </row>
    <row r="106" spans="1:8" ht="19.5" customHeight="1" x14ac:dyDescent="0.25">
      <c r="A106" s="881"/>
      <c r="B106" s="900"/>
      <c r="C106" s="881"/>
      <c r="D106" s="881"/>
      <c r="E106" s="875"/>
      <c r="F106" s="875"/>
      <c r="G106" s="881"/>
      <c r="H106" s="881"/>
    </row>
    <row r="107" spans="1:8" ht="20" x14ac:dyDescent="0.4">
      <c r="A107" s="881"/>
      <c r="B107" s="901"/>
      <c r="C107" s="875"/>
      <c r="D107" s="875"/>
      <c r="E107" s="875"/>
      <c r="F107" s="875"/>
      <c r="G107" s="875"/>
      <c r="H107" s="881"/>
    </row>
  </sheetData>
  <mergeCells count="10">
    <mergeCell ref="AE2:AG3"/>
    <mergeCell ref="B95:H95"/>
    <mergeCell ref="B79:H79"/>
    <mergeCell ref="R26:T26"/>
    <mergeCell ref="B63:H63"/>
    <mergeCell ref="B2:H3"/>
    <mergeCell ref="B94:H94"/>
    <mergeCell ref="R25:T25"/>
    <mergeCell ref="B80:H80"/>
    <mergeCell ref="B62:H62"/>
  </mergeCells>
  <printOptions horizontalCentered="1"/>
  <pageMargins left="0.5" right="0.5" top="1" bottom="0.5" header="0.3" footer="0.511811023622047"/>
  <pageSetup paperSize="9" scale="33"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FF0000"/>
    <pageSetUpPr fitToPage="1"/>
  </sheetPr>
  <dimension ref="A1:AG128"/>
  <sheetViews>
    <sheetView tabSelected="1" zoomScaleNormal="100" workbookViewId="0">
      <selection activeCell="J48" sqref="J48"/>
    </sheetView>
  </sheetViews>
  <sheetFormatPr defaultColWidth="12.5" defaultRowHeight="12.5" x14ac:dyDescent="0.25"/>
  <cols>
    <col min="1" max="1" width="12.5" style="14" customWidth="1"/>
    <col min="2" max="2" width="31.4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7" width="4.75" style="14" customWidth="1"/>
    <col min="18" max="27" width="12.5" style="14"/>
    <col min="28" max="28" width="6.75" style="14" customWidth="1"/>
    <col min="29" max="16384" width="12.5" style="14"/>
  </cols>
  <sheetData>
    <row r="1" spans="1:33" ht="28.5" customHeight="1" x14ac:dyDescent="0.25">
      <c r="B1" s="80" t="s">
        <v>243</v>
      </c>
      <c r="C1" s="81">
        <v>1000</v>
      </c>
      <c r="D1" s="82" t="s">
        <v>244</v>
      </c>
      <c r="E1" s="117">
        <f>S30</f>
        <v>22130</v>
      </c>
      <c r="F1" s="80" t="s">
        <v>245</v>
      </c>
      <c r="G1" s="366">
        <f>E1/C1</f>
        <v>22.13</v>
      </c>
      <c r="H1" s="80" t="s">
        <v>246</v>
      </c>
      <c r="I1" s="367">
        <f>G1/K1</f>
        <v>21.910891089108908</v>
      </c>
      <c r="J1" s="368" t="s">
        <v>247</v>
      </c>
      <c r="K1" s="369">
        <v>1.01</v>
      </c>
      <c r="L1" s="100" t="s">
        <v>881</v>
      </c>
      <c r="M1" s="100" t="s">
        <v>311</v>
      </c>
      <c r="N1" s="100" t="s">
        <v>882</v>
      </c>
      <c r="O1" s="100">
        <f>T15</f>
        <v>0.91089108910891092</v>
      </c>
      <c r="P1" s="100"/>
      <c r="Q1" s="100"/>
      <c r="R1" s="100"/>
      <c r="S1" s="100"/>
      <c r="T1" s="100"/>
      <c r="U1" s="100"/>
      <c r="V1" s="100"/>
      <c r="Y1" s="91" t="s">
        <v>479</v>
      </c>
      <c r="Z1" s="847">
        <v>22130</v>
      </c>
      <c r="AA1" s="91" t="s">
        <v>600</v>
      </c>
      <c r="AB1" s="847">
        <v>0</v>
      </c>
      <c r="AC1" s="91" t="s">
        <v>587</v>
      </c>
      <c r="AD1" s="847">
        <v>149</v>
      </c>
    </row>
    <row r="2" spans="1:33" ht="12.75" customHeight="1" x14ac:dyDescent="0.3">
      <c r="A2" s="330"/>
      <c r="B2" s="1415" t="s">
        <v>355</v>
      </c>
      <c r="C2" s="1429"/>
      <c r="D2" s="1429"/>
      <c r="E2" s="1429"/>
      <c r="F2" s="1429"/>
      <c r="G2" s="1429"/>
      <c r="H2" s="1429"/>
      <c r="I2" s="352"/>
      <c r="J2" s="352"/>
      <c r="K2" s="352"/>
      <c r="L2" s="100"/>
      <c r="M2" s="100"/>
      <c r="N2" s="100"/>
      <c r="O2" s="100"/>
      <c r="P2" s="100"/>
      <c r="Q2" s="100"/>
      <c r="R2" s="100"/>
      <c r="S2" s="100"/>
      <c r="T2" s="100"/>
      <c r="U2" s="100"/>
      <c r="AE2" s="1417"/>
      <c r="AF2" s="1389"/>
      <c r="AG2" s="1389"/>
    </row>
    <row r="3" spans="1:33" ht="12.75" customHeight="1" x14ac:dyDescent="0.25">
      <c r="A3" s="330"/>
      <c r="B3" s="370"/>
      <c r="C3" s="370"/>
      <c r="D3" s="370"/>
      <c r="E3" s="370"/>
      <c r="F3" s="370"/>
      <c r="G3" s="370"/>
      <c r="H3" s="370"/>
      <c r="I3" s="352"/>
      <c r="J3" s="352"/>
      <c r="K3" s="352"/>
      <c r="L3" s="100"/>
      <c r="M3" s="100"/>
      <c r="N3" s="100"/>
      <c r="O3" s="100"/>
      <c r="P3" s="100"/>
      <c r="Q3" s="100"/>
      <c r="R3" s="100"/>
      <c r="S3" s="100"/>
      <c r="T3" s="100"/>
      <c r="U3" s="100"/>
      <c r="AE3" s="1389"/>
      <c r="AF3" s="1389"/>
      <c r="AG3" s="1389"/>
    </row>
    <row r="4" spans="1:33" ht="68.75" customHeight="1" x14ac:dyDescent="0.25">
      <c r="A4" s="91" t="s">
        <v>1</v>
      </c>
      <c r="B4" s="91" t="s">
        <v>253</v>
      </c>
      <c r="C4" s="107" t="s">
        <v>254</v>
      </c>
      <c r="D4" s="91" t="s">
        <v>243</v>
      </c>
      <c r="E4" s="218" t="s">
        <v>246</v>
      </c>
      <c r="F4" s="108" t="s">
        <v>255</v>
      </c>
      <c r="G4" s="91" t="s">
        <v>256</v>
      </c>
      <c r="H4" s="107" t="s">
        <v>347</v>
      </c>
      <c r="I4" s="91" t="s">
        <v>258</v>
      </c>
      <c r="J4" s="91" t="s">
        <v>259</v>
      </c>
      <c r="K4" s="91" t="s">
        <v>260</v>
      </c>
      <c r="L4" s="91" t="s">
        <v>261</v>
      </c>
      <c r="M4" s="100"/>
      <c r="N4" s="100"/>
      <c r="O4" s="100"/>
      <c r="P4" s="100"/>
      <c r="Q4" s="100"/>
      <c r="R4" s="100"/>
      <c r="S4" s="100"/>
      <c r="T4" s="100"/>
      <c r="U4" s="100"/>
    </row>
    <row r="5" spans="1:33" ht="14.25" customHeight="1" x14ac:dyDescent="0.25">
      <c r="A5" s="219"/>
      <c r="B5" s="654"/>
      <c r="C5" s="655"/>
      <c r="D5" s="219"/>
      <c r="E5" s="656"/>
      <c r="F5" s="219"/>
      <c r="G5" s="219"/>
      <c r="H5" s="655"/>
      <c r="I5" s="81"/>
      <c r="J5" s="119"/>
      <c r="K5" s="122"/>
      <c r="L5" s="122"/>
    </row>
    <row r="6" spans="1:33" ht="14.25" customHeight="1" x14ac:dyDescent="0.25">
      <c r="A6" s="295" t="s">
        <v>13</v>
      </c>
      <c r="B6" s="22" t="s">
        <v>21</v>
      </c>
      <c r="C6" s="124" t="s">
        <v>14</v>
      </c>
      <c r="D6" s="116">
        <f>1000/O1</f>
        <v>1097.8260869565217</v>
      </c>
      <c r="E6" s="116">
        <f t="shared" ref="E6:E12" si="0">$I$1</f>
        <v>21.910891089108908</v>
      </c>
      <c r="F6" s="127">
        <v>1</v>
      </c>
      <c r="G6" s="119">
        <f t="shared" ref="G6:G12" si="1">D6*E6</f>
        <v>24054.347826086952</v>
      </c>
      <c r="H6" s="120">
        <f t="shared" ref="H6:H12" si="2">G6*F6</f>
        <v>24054.347826086952</v>
      </c>
      <c r="I6" s="81">
        <f>VLOOKUP(B6,All_Ingredients!$A$1:$F$151,6,FALSE())</f>
        <v>0.9</v>
      </c>
      <c r="J6" s="119">
        <f>VLOOKUP(B6,All_Ingredients!$A$1:$J$151,10,FALSE())</f>
        <v>2.2999999999999998</v>
      </c>
      <c r="K6" s="122">
        <f t="shared" ref="K6:K12" si="3">(H6/I6)/1000</f>
        <v>26.727053140096615</v>
      </c>
      <c r="L6" s="122">
        <f t="shared" ref="L6:L12" si="4">K6*J6</f>
        <v>61.472222222222207</v>
      </c>
    </row>
    <row r="7" spans="1:33" ht="14.25" customHeight="1" x14ac:dyDescent="0.25">
      <c r="A7" s="295" t="s">
        <v>57</v>
      </c>
      <c r="B7" s="22" t="s">
        <v>56</v>
      </c>
      <c r="C7" s="124" t="s">
        <v>14</v>
      </c>
      <c r="D7" s="116">
        <v>10</v>
      </c>
      <c r="E7" s="116">
        <f t="shared" si="0"/>
        <v>21.910891089108908</v>
      </c>
      <c r="F7" s="127">
        <v>1</v>
      </c>
      <c r="G7" s="119">
        <f t="shared" si="1"/>
        <v>219.10891089108907</v>
      </c>
      <c r="H7" s="120">
        <f t="shared" si="2"/>
        <v>219.10891089108907</v>
      </c>
      <c r="I7" s="81">
        <f>VLOOKUP(B7,All_Ingredients!$A$1:$F$151,6,FALSE())</f>
        <v>0.87</v>
      </c>
      <c r="J7" s="119">
        <f>VLOOKUP(B7,All_Ingredients!$A$1:$J$151,10,FALSE())</f>
        <v>7</v>
      </c>
      <c r="K7" s="122">
        <f t="shared" si="3"/>
        <v>0.25184932286332079</v>
      </c>
      <c r="L7" s="122">
        <f t="shared" si="4"/>
        <v>1.7629452600432456</v>
      </c>
    </row>
    <row r="8" spans="1:33" ht="14.25" customHeight="1" x14ac:dyDescent="0.25">
      <c r="A8" s="295" t="s">
        <v>63</v>
      </c>
      <c r="B8" s="22" t="s">
        <v>62</v>
      </c>
      <c r="C8" s="124" t="s">
        <v>14</v>
      </c>
      <c r="D8" s="116">
        <v>5</v>
      </c>
      <c r="E8" s="116">
        <f t="shared" si="0"/>
        <v>21.910891089108908</v>
      </c>
      <c r="F8" s="127">
        <v>1</v>
      </c>
      <c r="G8" s="119">
        <f t="shared" si="1"/>
        <v>109.55445544554453</v>
      </c>
      <c r="H8" s="120">
        <f t="shared" si="2"/>
        <v>109.55445544554453</v>
      </c>
      <c r="I8" s="81">
        <f>VLOOKUP(B8,All_Ingredients!$A$1:$F$151,6,FALSE())</f>
        <v>0.94</v>
      </c>
      <c r="J8" s="119">
        <f>VLOOKUP(B8,All_Ingredients!$A$1:$J$151,10,FALSE())</f>
        <v>3.6363636363636367</v>
      </c>
      <c r="K8" s="122">
        <f t="shared" si="3"/>
        <v>0.11654729302717505</v>
      </c>
      <c r="L8" s="122">
        <f t="shared" si="4"/>
        <v>0.42380833828063658</v>
      </c>
    </row>
    <row r="9" spans="1:33" ht="14.25" customHeight="1" x14ac:dyDescent="0.25">
      <c r="A9" s="295" t="s">
        <v>158</v>
      </c>
      <c r="B9" s="22" t="s">
        <v>157</v>
      </c>
      <c r="C9" s="124" t="s">
        <v>14</v>
      </c>
      <c r="D9" s="116">
        <v>10</v>
      </c>
      <c r="E9" s="116">
        <f t="shared" si="0"/>
        <v>21.910891089108908</v>
      </c>
      <c r="F9" s="127">
        <v>1</v>
      </c>
      <c r="G9" s="119">
        <f t="shared" si="1"/>
        <v>219.10891089108907</v>
      </c>
      <c r="H9" s="120">
        <f t="shared" si="2"/>
        <v>219.10891089108907</v>
      </c>
      <c r="I9" s="81">
        <f>VLOOKUP(B9,All_Ingredients!$A$1:$F$151,6,FALSE())</f>
        <v>1</v>
      </c>
      <c r="J9" s="119">
        <f>VLOOKUP(B9,All_Ingredients!$A$1:$J$151,10,FALSE())</f>
        <v>30</v>
      </c>
      <c r="K9" s="122">
        <f t="shared" si="3"/>
        <v>0.21910891089108905</v>
      </c>
      <c r="L9" s="122">
        <f t="shared" si="4"/>
        <v>6.5732673267326716</v>
      </c>
    </row>
    <row r="10" spans="1:33" ht="14.25" customHeight="1" x14ac:dyDescent="0.25">
      <c r="A10" s="295" t="s">
        <v>97</v>
      </c>
      <c r="B10" s="22" t="s">
        <v>104</v>
      </c>
      <c r="C10" s="124" t="s">
        <v>14</v>
      </c>
      <c r="D10" s="116">
        <v>2</v>
      </c>
      <c r="E10" s="116">
        <f t="shared" si="0"/>
        <v>21.910891089108908</v>
      </c>
      <c r="F10" s="127">
        <v>0.75</v>
      </c>
      <c r="G10" s="119">
        <f t="shared" si="1"/>
        <v>43.821782178217816</v>
      </c>
      <c r="H10" s="120">
        <f t="shared" si="2"/>
        <v>32.866336633663366</v>
      </c>
      <c r="I10" s="81">
        <f>VLOOKUP(B10,All_Ingredients!$A$1:$F$151,6,FALSE())</f>
        <v>1</v>
      </c>
      <c r="J10" s="119">
        <f>VLOOKUP(B10,All_Ingredients!$A$1:$J$151,10,FALSE())</f>
        <v>47</v>
      </c>
      <c r="K10" s="122">
        <f t="shared" si="3"/>
        <v>3.2866336633663368E-2</v>
      </c>
      <c r="L10" s="122">
        <f t="shared" si="4"/>
        <v>1.5447178217821782</v>
      </c>
    </row>
    <row r="11" spans="1:33" ht="14.25" customHeight="1" x14ac:dyDescent="0.25">
      <c r="A11" s="295" t="s">
        <v>97</v>
      </c>
      <c r="B11" s="22" t="s">
        <v>96</v>
      </c>
      <c r="C11" s="124" t="s">
        <v>14</v>
      </c>
      <c r="D11" s="116">
        <v>5</v>
      </c>
      <c r="E11" s="116">
        <f t="shared" si="0"/>
        <v>21.910891089108908</v>
      </c>
      <c r="F11" s="127">
        <v>0.75</v>
      </c>
      <c r="G11" s="119">
        <f t="shared" si="1"/>
        <v>109.55445544554453</v>
      </c>
      <c r="H11" s="120">
        <f t="shared" si="2"/>
        <v>82.1658415841584</v>
      </c>
      <c r="I11" s="81">
        <f>VLOOKUP(B11,All_Ingredients!$A$1:$F$151,6,FALSE())</f>
        <v>1</v>
      </c>
      <c r="J11" s="119">
        <f>VLOOKUP(B11,All_Ingredients!$A$1:$J$151,10,FALSE())</f>
        <v>0.74</v>
      </c>
      <c r="K11" s="122">
        <f t="shared" si="3"/>
        <v>8.2165841584158406E-2</v>
      </c>
      <c r="L11" s="122">
        <f t="shared" si="4"/>
        <v>6.0802722772277218E-2</v>
      </c>
      <c r="R11" s="14">
        <v>11000</v>
      </c>
      <c r="S11" s="14">
        <v>10200</v>
      </c>
    </row>
    <row r="12" spans="1:33" ht="14.25" customHeight="1" x14ac:dyDescent="0.25">
      <c r="A12" s="295" t="s">
        <v>97</v>
      </c>
      <c r="B12" s="22" t="s">
        <v>108</v>
      </c>
      <c r="C12" s="124" t="s">
        <v>14</v>
      </c>
      <c r="D12" s="116">
        <v>1</v>
      </c>
      <c r="E12" s="116">
        <f t="shared" si="0"/>
        <v>21.910891089108908</v>
      </c>
      <c r="F12" s="127">
        <v>0.75</v>
      </c>
      <c r="G12" s="119">
        <f t="shared" si="1"/>
        <v>21.910891089108908</v>
      </c>
      <c r="H12" s="120">
        <f t="shared" si="2"/>
        <v>16.433168316831683</v>
      </c>
      <c r="I12" s="81">
        <f>VLOOKUP(B12,All_Ingredients!$A$1:$F$151,6,FALSE())</f>
        <v>1</v>
      </c>
      <c r="J12" s="119">
        <f>VLOOKUP(B12,All_Ingredients!$A$1:$J$151,10,FALSE())</f>
        <v>15</v>
      </c>
      <c r="K12" s="122">
        <f t="shared" si="3"/>
        <v>1.6433168316831684E-2</v>
      </c>
      <c r="L12" s="122">
        <f t="shared" si="4"/>
        <v>0.24649752475247527</v>
      </c>
      <c r="R12" s="14">
        <v>11000</v>
      </c>
      <c r="S12" s="14">
        <v>10100</v>
      </c>
    </row>
    <row r="13" spans="1:33" ht="14.25" customHeight="1" x14ac:dyDescent="0.25">
      <c r="B13" s="349"/>
      <c r="C13" s="133"/>
      <c r="D13" s="254"/>
      <c r="E13" s="225"/>
      <c r="F13" s="136"/>
      <c r="G13" s="140"/>
      <c r="H13" s="138"/>
      <c r="R13" s="14">
        <v>8300</v>
      </c>
      <c r="S13" s="14">
        <v>7300</v>
      </c>
    </row>
    <row r="14" spans="1:33" ht="14.25" customHeight="1" x14ac:dyDescent="0.25">
      <c r="E14" s="100"/>
      <c r="F14" s="100"/>
      <c r="U14" s="14" t="s">
        <v>880</v>
      </c>
    </row>
    <row r="15" spans="1:33" ht="14.25" customHeight="1" x14ac:dyDescent="0.25">
      <c r="E15" s="100"/>
      <c r="F15" s="100"/>
      <c r="R15" s="1497">
        <f>SUM(R11:R13)</f>
        <v>30300</v>
      </c>
      <c r="S15" s="1497">
        <f>SUM(S11:S13)</f>
        <v>27600</v>
      </c>
      <c r="T15" s="14">
        <f>S15/R15</f>
        <v>0.91089108910891092</v>
      </c>
      <c r="U15" s="14" t="s">
        <v>879</v>
      </c>
    </row>
    <row r="16" spans="1:33" ht="14.25" customHeight="1" x14ac:dyDescent="0.25">
      <c r="E16" s="100"/>
      <c r="F16" s="100"/>
    </row>
    <row r="17" spans="5:29" ht="14.25" customHeight="1" x14ac:dyDescent="0.25">
      <c r="E17" s="100"/>
      <c r="F17" s="100"/>
    </row>
    <row r="18" spans="5:29" ht="14.25" customHeight="1" x14ac:dyDescent="0.25">
      <c r="E18" s="100"/>
      <c r="F18" s="100"/>
    </row>
    <row r="19" spans="5:29" ht="14.25" customHeight="1" x14ac:dyDescent="0.25">
      <c r="E19" s="100"/>
      <c r="F19" s="100"/>
    </row>
    <row r="20" spans="5:29" ht="14.25" customHeight="1" x14ac:dyDescent="0.25">
      <c r="E20" s="100"/>
      <c r="F20" s="100"/>
    </row>
    <row r="21" spans="5:29" x14ac:dyDescent="0.25">
      <c r="E21" s="100"/>
      <c r="F21" s="100"/>
    </row>
    <row r="24" spans="5:29" x14ac:dyDescent="0.25">
      <c r="Z24" s="1234"/>
    </row>
    <row r="25" spans="5:29" ht="12.75" customHeight="1" x14ac:dyDescent="0.3">
      <c r="R25" s="1445" t="s">
        <v>357</v>
      </c>
      <c r="S25" s="1410"/>
      <c r="T25" s="1446"/>
      <c r="Z25" s="141" t="s">
        <v>14</v>
      </c>
      <c r="AA25" s="142">
        <v>150</v>
      </c>
      <c r="AB25" s="141" t="s">
        <v>261</v>
      </c>
      <c r="AC25" s="143">
        <f>(S31/S30)*AA25</f>
        <v>0.48859643843144385</v>
      </c>
    </row>
    <row r="26" spans="5:29" ht="12.75" customHeight="1" x14ac:dyDescent="0.25">
      <c r="R26" s="372" t="s">
        <v>350</v>
      </c>
      <c r="S26" s="372"/>
      <c r="T26" s="372"/>
    </row>
    <row r="27" spans="5:29" ht="14.25" customHeight="1" x14ac:dyDescent="0.3">
      <c r="R27" s="145" t="s">
        <v>266</v>
      </c>
      <c r="S27" s="145" t="s">
        <v>351</v>
      </c>
      <c r="T27" s="145" t="s">
        <v>269</v>
      </c>
    </row>
    <row r="28" spans="5:29" ht="14.25" customHeight="1" x14ac:dyDescent="0.3">
      <c r="R28" s="145" t="s">
        <v>275</v>
      </c>
      <c r="S28" s="791">
        <f>T28</f>
        <v>22130</v>
      </c>
      <c r="T28" s="790">
        <f>$Z$1</f>
        <v>22130</v>
      </c>
    </row>
    <row r="29" spans="5:29" ht="14.25" customHeight="1" x14ac:dyDescent="0.3">
      <c r="R29" s="145" t="s">
        <v>277</v>
      </c>
      <c r="S29" s="790">
        <f>$AB$1</f>
        <v>0</v>
      </c>
      <c r="T29" s="793">
        <f>S29</f>
        <v>0</v>
      </c>
    </row>
    <row r="30" spans="5:29" ht="14.25" customHeight="1" thickBot="1" x14ac:dyDescent="0.35">
      <c r="R30" s="145" t="s">
        <v>269</v>
      </c>
      <c r="S30" s="339">
        <f>SUM(S28:S29)</f>
        <v>22130</v>
      </c>
      <c r="T30" s="339">
        <f>S30</f>
        <v>22130</v>
      </c>
    </row>
    <row r="31" spans="5:29" ht="14.25" customHeight="1" thickBot="1" x14ac:dyDescent="0.35">
      <c r="R31" s="163" t="s">
        <v>261</v>
      </c>
      <c r="S31" s="1144">
        <f>SUM(L6:L12)</f>
        <v>72.084261216585688</v>
      </c>
      <c r="T31" s="1220">
        <f>S31</f>
        <v>72.084261216585688</v>
      </c>
    </row>
    <row r="32" spans="5:29" ht="14.25" customHeight="1" x14ac:dyDescent="0.3">
      <c r="S32" s="338"/>
    </row>
    <row r="41" spans="6:8" ht="14" customHeight="1" x14ac:dyDescent="0.3">
      <c r="F41" s="338"/>
      <c r="G41" s="338"/>
      <c r="H41" s="1141"/>
    </row>
    <row r="42" spans="6:8" ht="14" customHeight="1" x14ac:dyDescent="0.3">
      <c r="F42" s="338"/>
      <c r="G42" s="338"/>
      <c r="H42" s="1141"/>
    </row>
    <row r="43" spans="6:8" ht="13" x14ac:dyDescent="0.3">
      <c r="F43" s="338"/>
      <c r="G43" s="338"/>
      <c r="H43" s="1141"/>
    </row>
    <row r="50" spans="1:8" ht="14" x14ac:dyDescent="0.3">
      <c r="B50" s="226"/>
      <c r="C50" s="226" t="s">
        <v>245</v>
      </c>
      <c r="D50" s="226" t="s">
        <v>291</v>
      </c>
    </row>
    <row r="51" spans="1:8" ht="14" x14ac:dyDescent="0.3">
      <c r="B51" s="180" t="s">
        <v>295</v>
      </c>
      <c r="C51" s="181">
        <f>10/$K$1</f>
        <v>9.9009900990099009</v>
      </c>
      <c r="D51" s="182">
        <f>$C$1*10</f>
        <v>10000</v>
      </c>
    </row>
    <row r="52" spans="1:8" ht="14" x14ac:dyDescent="0.3">
      <c r="B52" s="231" t="s">
        <v>269</v>
      </c>
      <c r="C52" s="232">
        <f>G1</f>
        <v>22.13</v>
      </c>
      <c r="D52" s="233">
        <f>E1</f>
        <v>22130</v>
      </c>
    </row>
    <row r="53" spans="1:8" ht="14" x14ac:dyDescent="0.3">
      <c r="B53" s="231" t="s">
        <v>296</v>
      </c>
      <c r="C53" s="234">
        <f>MIN($C$52, $C$51)</f>
        <v>9.9009900990099009</v>
      </c>
      <c r="D53" s="233">
        <f>(C53*$K$1)*$C$1</f>
        <v>10000</v>
      </c>
    </row>
    <row r="54" spans="1:8" ht="14" x14ac:dyDescent="0.3">
      <c r="B54" s="231" t="s">
        <v>297</v>
      </c>
      <c r="C54" s="234">
        <f>MIN($C$52-C53, $C$51)</f>
        <v>9.9009900990099009</v>
      </c>
      <c r="D54" s="233">
        <f>(C54*$K$1)*$C$1</f>
        <v>10000</v>
      </c>
    </row>
    <row r="55" spans="1:8" ht="14" x14ac:dyDescent="0.3">
      <c r="B55" s="231" t="s">
        <v>298</v>
      </c>
      <c r="C55" s="234">
        <f>MIN($C$52-C53-C54, $C$51)</f>
        <v>2.3280198019801972</v>
      </c>
      <c r="D55" s="233">
        <f>(C55*$K$1)*$C$1</f>
        <v>2351.2999999999993</v>
      </c>
    </row>
    <row r="56" spans="1:8" ht="14" x14ac:dyDescent="0.3">
      <c r="B56" s="231" t="s">
        <v>305</v>
      </c>
      <c r="C56" s="234">
        <f>MIN($C$52-C53-C54-C55, $C$51)</f>
        <v>0</v>
      </c>
      <c r="D56" s="233">
        <f>(C56*$K$1)*$C$1</f>
        <v>0</v>
      </c>
    </row>
    <row r="57" spans="1:8" ht="14" x14ac:dyDescent="0.3">
      <c r="B57" s="231" t="s">
        <v>356</v>
      </c>
      <c r="C57" s="234">
        <f>MIN($C$52-C53-C54-C55-C56, $C$51)</f>
        <v>0</v>
      </c>
      <c r="D57" s="233">
        <f>(C57*$K$1)*$C$1</f>
        <v>0</v>
      </c>
    </row>
    <row r="62" spans="1:8" ht="14" customHeight="1" x14ac:dyDescent="0.3">
      <c r="A62" s="942"/>
      <c r="B62" s="1382" t="s">
        <v>636</v>
      </c>
      <c r="C62" s="1383"/>
      <c r="D62" s="1383"/>
      <c r="E62" s="1383"/>
      <c r="F62" s="1383"/>
      <c r="G62" s="1383"/>
      <c r="H62" s="1383"/>
    </row>
    <row r="63" spans="1:8" ht="14" x14ac:dyDescent="0.3">
      <c r="A63" s="942"/>
      <c r="B63" s="1384" t="s">
        <v>355</v>
      </c>
      <c r="C63" s="1385"/>
      <c r="D63" s="1385"/>
      <c r="E63" s="1385"/>
      <c r="F63" s="1385"/>
      <c r="G63" s="1385"/>
      <c r="H63" s="1385"/>
    </row>
    <row r="64" spans="1:8" ht="42" customHeight="1" x14ac:dyDescent="0.25">
      <c r="A64" s="91"/>
      <c r="B64" s="243" t="s">
        <v>253</v>
      </c>
      <c r="C64" s="244" t="s">
        <v>254</v>
      </c>
      <c r="D64" s="245" t="s">
        <v>243</v>
      </c>
      <c r="E64" s="218" t="s">
        <v>246</v>
      </c>
      <c r="F64" s="218" t="s">
        <v>255</v>
      </c>
      <c r="G64" s="245" t="s">
        <v>256</v>
      </c>
      <c r="H64" s="218" t="s">
        <v>257</v>
      </c>
    </row>
    <row r="65" spans="1:8" ht="14.25" customHeight="1" x14ac:dyDescent="0.25">
      <c r="A65" s="295" t="s">
        <v>13</v>
      </c>
      <c r="B65" s="323" t="str">
        <f t="shared" ref="B65:D71" si="5">B6</f>
        <v>Potato - بطاطس</v>
      </c>
      <c r="C65" s="124" t="str">
        <f t="shared" si="5"/>
        <v>gm</v>
      </c>
      <c r="D65" s="125">
        <f t="shared" si="5"/>
        <v>1097.8260869565217</v>
      </c>
      <c r="E65" s="116">
        <f>$C$52</f>
        <v>22.13</v>
      </c>
      <c r="F65" s="127">
        <f t="shared" ref="F65:F71" si="6">F6</f>
        <v>1</v>
      </c>
      <c r="G65" s="119">
        <f t="shared" ref="G65:G71" si="7">D65*E65</f>
        <v>24294.891304347824</v>
      </c>
      <c r="H65" s="120">
        <f t="shared" ref="H65:H71" si="8">G65*F65</f>
        <v>24294.891304347824</v>
      </c>
    </row>
    <row r="66" spans="1:8" ht="14.25" customHeight="1" x14ac:dyDescent="0.25">
      <c r="A66" s="295" t="s">
        <v>57</v>
      </c>
      <c r="B66" s="323" t="str">
        <f t="shared" si="5"/>
        <v>Ginger - زنجبيل</v>
      </c>
      <c r="C66" s="124" t="str">
        <f t="shared" si="5"/>
        <v>gm</v>
      </c>
      <c r="D66" s="125">
        <f t="shared" si="5"/>
        <v>10</v>
      </c>
      <c r="E66" s="116">
        <f t="shared" ref="E66:E71" si="9">$C$52</f>
        <v>22.13</v>
      </c>
      <c r="F66" s="127">
        <f t="shared" si="6"/>
        <v>1</v>
      </c>
      <c r="G66" s="119">
        <f t="shared" si="7"/>
        <v>221.29999999999998</v>
      </c>
      <c r="H66" s="120">
        <f t="shared" si="8"/>
        <v>221.29999999999998</v>
      </c>
    </row>
    <row r="67" spans="1:8" ht="14.25" customHeight="1" x14ac:dyDescent="0.25">
      <c r="A67" s="295" t="s">
        <v>63</v>
      </c>
      <c r="B67" s="323" t="str">
        <f t="shared" si="5"/>
        <v>Coriander Leaves - كزبرة خضراء</v>
      </c>
      <c r="C67" s="124" t="str">
        <f t="shared" si="5"/>
        <v>gm</v>
      </c>
      <c r="D67" s="125">
        <f t="shared" si="5"/>
        <v>5</v>
      </c>
      <c r="E67" s="116">
        <f t="shared" si="9"/>
        <v>22.13</v>
      </c>
      <c r="F67" s="127">
        <f t="shared" si="6"/>
        <v>1</v>
      </c>
      <c r="G67" s="119">
        <f t="shared" si="7"/>
        <v>110.64999999999999</v>
      </c>
      <c r="H67" s="120">
        <f t="shared" si="8"/>
        <v>110.64999999999999</v>
      </c>
    </row>
    <row r="68" spans="1:8" ht="14.25" customHeight="1" x14ac:dyDescent="0.25">
      <c r="A68" s="295" t="s">
        <v>158</v>
      </c>
      <c r="B68" s="323" t="str">
        <f t="shared" si="5"/>
        <v>Butter - زبدة</v>
      </c>
      <c r="C68" s="124" t="str">
        <f t="shared" si="5"/>
        <v>gm</v>
      </c>
      <c r="D68" s="125">
        <f t="shared" si="5"/>
        <v>10</v>
      </c>
      <c r="E68" s="116">
        <f t="shared" si="9"/>
        <v>22.13</v>
      </c>
      <c r="F68" s="127">
        <f t="shared" si="6"/>
        <v>1</v>
      </c>
      <c r="G68" s="119">
        <f t="shared" si="7"/>
        <v>221.29999999999998</v>
      </c>
      <c r="H68" s="120">
        <f t="shared" si="8"/>
        <v>221.29999999999998</v>
      </c>
    </row>
    <row r="69" spans="1:8" ht="14.25" customHeight="1" x14ac:dyDescent="0.25">
      <c r="A69" s="295" t="s">
        <v>97</v>
      </c>
      <c r="B69" s="323" t="str">
        <f t="shared" si="5"/>
        <v>White Pepper - فلفل أبيض</v>
      </c>
      <c r="C69" s="124" t="str">
        <f t="shared" si="5"/>
        <v>gm</v>
      </c>
      <c r="D69" s="125">
        <f t="shared" si="5"/>
        <v>2</v>
      </c>
      <c r="E69" s="116">
        <f t="shared" si="9"/>
        <v>22.13</v>
      </c>
      <c r="F69" s="127">
        <f t="shared" si="6"/>
        <v>0.75</v>
      </c>
      <c r="G69" s="119">
        <f t="shared" si="7"/>
        <v>44.26</v>
      </c>
      <c r="H69" s="120">
        <f t="shared" si="8"/>
        <v>33.195</v>
      </c>
    </row>
    <row r="70" spans="1:8" ht="14.25" customHeight="1" x14ac:dyDescent="0.25">
      <c r="A70" s="295" t="s">
        <v>97</v>
      </c>
      <c r="B70" s="323" t="str">
        <f t="shared" si="5"/>
        <v>Salt - ملح</v>
      </c>
      <c r="C70" s="124" t="str">
        <f t="shared" si="5"/>
        <v>gm</v>
      </c>
      <c r="D70" s="125">
        <f t="shared" si="5"/>
        <v>5</v>
      </c>
      <c r="E70" s="116">
        <f t="shared" si="9"/>
        <v>22.13</v>
      </c>
      <c r="F70" s="127">
        <f t="shared" si="6"/>
        <v>0.75</v>
      </c>
      <c r="G70" s="119">
        <f t="shared" si="7"/>
        <v>110.64999999999999</v>
      </c>
      <c r="H70" s="120">
        <f t="shared" si="8"/>
        <v>82.987499999999997</v>
      </c>
    </row>
    <row r="71" spans="1:8" ht="12.75" customHeight="1" x14ac:dyDescent="0.25">
      <c r="A71" s="295" t="s">
        <v>97</v>
      </c>
      <c r="B71" s="323" t="str">
        <f t="shared" si="5"/>
        <v>Cumin Powder - كمون مطحون</v>
      </c>
      <c r="C71" s="124" t="str">
        <f t="shared" si="5"/>
        <v>gm</v>
      </c>
      <c r="D71" s="125">
        <f t="shared" si="5"/>
        <v>1</v>
      </c>
      <c r="E71" s="116">
        <f t="shared" si="9"/>
        <v>22.13</v>
      </c>
      <c r="F71" s="127">
        <f t="shared" si="6"/>
        <v>0.75</v>
      </c>
      <c r="G71" s="119">
        <f t="shared" si="7"/>
        <v>22.13</v>
      </c>
      <c r="H71" s="120">
        <f t="shared" si="8"/>
        <v>16.5975</v>
      </c>
    </row>
    <row r="72" spans="1:8" ht="17.75" customHeight="1" x14ac:dyDescent="0.25">
      <c r="B72" s="198" t="s">
        <v>767</v>
      </c>
      <c r="E72" s="100"/>
      <c r="F72" s="100"/>
    </row>
    <row r="73" spans="1:8" ht="19.5" customHeight="1" x14ac:dyDescent="0.4">
      <c r="B73" s="199">
        <f>D52</f>
        <v>22130</v>
      </c>
      <c r="C73" s="208"/>
      <c r="D73" s="4"/>
      <c r="E73" s="100"/>
      <c r="F73" s="183"/>
    </row>
    <row r="74" spans="1:8" ht="12.75" customHeight="1" x14ac:dyDescent="0.25">
      <c r="B74" s="100"/>
      <c r="E74" s="100"/>
      <c r="F74" s="100"/>
    </row>
    <row r="75" spans="1:8" ht="17.75" customHeight="1" x14ac:dyDescent="0.25">
      <c r="B75" s="100"/>
      <c r="C75" s="100"/>
      <c r="D75" s="100"/>
      <c r="E75" s="100"/>
      <c r="F75" s="100"/>
      <c r="G75" s="100"/>
      <c r="H75" s="100"/>
    </row>
    <row r="76" spans="1:8" ht="17.75" customHeight="1" x14ac:dyDescent="0.3">
      <c r="A76" s="1253"/>
      <c r="B76" s="1439"/>
      <c r="C76" s="1440"/>
      <c r="D76" s="1440"/>
      <c r="E76" s="1440"/>
      <c r="F76" s="1440"/>
      <c r="G76" s="1440"/>
      <c r="H76" s="1440"/>
    </row>
    <row r="77" spans="1:8" ht="18" x14ac:dyDescent="0.3">
      <c r="A77" s="1253"/>
      <c r="B77" s="1439"/>
      <c r="C77" s="1440"/>
      <c r="D77" s="1440"/>
      <c r="E77" s="1440"/>
      <c r="F77" s="1440"/>
      <c r="G77" s="1440"/>
      <c r="H77" s="1440"/>
    </row>
    <row r="78" spans="1:8" ht="45.5" customHeight="1" x14ac:dyDescent="0.25">
      <c r="A78" s="1258"/>
      <c r="B78" s="1268"/>
      <c r="C78" s="1269"/>
      <c r="D78" s="1268"/>
      <c r="E78" s="1270"/>
      <c r="F78" s="1270"/>
      <c r="G78" s="1268"/>
      <c r="H78" s="1270"/>
    </row>
    <row r="79" spans="1:8" ht="14.25" customHeight="1" x14ac:dyDescent="0.25">
      <c r="A79" s="881"/>
      <c r="B79" s="1271"/>
      <c r="C79" s="1271"/>
      <c r="D79" s="1271"/>
      <c r="E79" s="1272"/>
      <c r="F79" s="1273"/>
      <c r="G79" s="1274"/>
      <c r="H79" s="1275"/>
    </row>
    <row r="80" spans="1:8" ht="14.25" customHeight="1" x14ac:dyDescent="0.25">
      <c r="A80" s="881"/>
      <c r="B80" s="1271"/>
      <c r="C80" s="1271"/>
      <c r="D80" s="1271"/>
      <c r="E80" s="1272"/>
      <c r="F80" s="1273"/>
      <c r="G80" s="1274"/>
      <c r="H80" s="1275"/>
    </row>
    <row r="81" spans="1:8" ht="14.25" customHeight="1" x14ac:dyDescent="0.25">
      <c r="A81" s="881"/>
      <c r="B81" s="1271"/>
      <c r="C81" s="1271"/>
      <c r="D81" s="1271"/>
      <c r="E81" s="1272"/>
      <c r="F81" s="1273"/>
      <c r="G81" s="1274"/>
      <c r="H81" s="1275"/>
    </row>
    <row r="82" spans="1:8" ht="14.25" customHeight="1" x14ac:dyDescent="0.25">
      <c r="A82" s="881"/>
      <c r="B82" s="1271"/>
      <c r="C82" s="1271"/>
      <c r="D82" s="1271"/>
      <c r="E82" s="1272"/>
      <c r="F82" s="1273"/>
      <c r="G82" s="1274"/>
      <c r="H82" s="1275"/>
    </row>
    <row r="83" spans="1:8" ht="14.25" customHeight="1" x14ac:dyDescent="0.25">
      <c r="A83" s="881"/>
      <c r="B83" s="1271"/>
      <c r="C83" s="1271"/>
      <c r="D83" s="1271"/>
      <c r="E83" s="1272"/>
      <c r="F83" s="1273"/>
      <c r="G83" s="1274"/>
      <c r="H83" s="1275"/>
    </row>
    <row r="84" spans="1:8" ht="14.25" customHeight="1" x14ac:dyDescent="0.25">
      <c r="A84" s="881"/>
      <c r="B84" s="1271"/>
      <c r="C84" s="1271"/>
      <c r="D84" s="1271"/>
      <c r="E84" s="1272"/>
      <c r="F84" s="1273"/>
      <c r="G84" s="1274"/>
      <c r="H84" s="1275"/>
    </row>
    <row r="85" spans="1:8" ht="12.75" customHeight="1" x14ac:dyDescent="0.25">
      <c r="A85" s="881"/>
      <c r="B85" s="1271"/>
      <c r="C85" s="1271"/>
      <c r="D85" s="1271"/>
      <c r="E85" s="1272"/>
      <c r="F85" s="1273"/>
      <c r="G85" s="1274"/>
      <c r="H85" s="1275"/>
    </row>
    <row r="86" spans="1:8" ht="19.25" customHeight="1" x14ac:dyDescent="0.25">
      <c r="A86" s="881"/>
      <c r="B86" s="900"/>
      <c r="C86" s="881"/>
      <c r="D86" s="881"/>
      <c r="E86" s="875"/>
      <c r="F86" s="875"/>
      <c r="G86" s="881"/>
      <c r="H86" s="881"/>
    </row>
    <row r="87" spans="1:8" ht="21" customHeight="1" x14ac:dyDescent="0.4">
      <c r="A87" s="881"/>
      <c r="B87" s="901"/>
      <c r="C87" s="905"/>
      <c r="D87" s="1279"/>
      <c r="E87" s="875"/>
      <c r="F87" s="1280"/>
      <c r="G87" s="881"/>
      <c r="H87" s="881"/>
    </row>
    <row r="88" spans="1:8" ht="12.75" customHeight="1" x14ac:dyDescent="0.25">
      <c r="A88" s="881"/>
      <c r="B88" s="875"/>
      <c r="C88" s="875"/>
      <c r="D88" s="875"/>
      <c r="E88" s="875"/>
      <c r="F88" s="875"/>
      <c r="G88" s="875"/>
      <c r="H88" s="875"/>
    </row>
    <row r="89" spans="1:8" ht="17.75" customHeight="1" x14ac:dyDescent="0.25">
      <c r="A89" s="881"/>
      <c r="B89" s="875"/>
      <c r="C89" s="875"/>
      <c r="D89" s="875"/>
      <c r="E89" s="875"/>
      <c r="F89" s="875"/>
      <c r="G89" s="875"/>
      <c r="H89" s="875"/>
    </row>
    <row r="90" spans="1:8" ht="17.75" customHeight="1" x14ac:dyDescent="0.3">
      <c r="A90" s="1253"/>
      <c r="B90" s="1439"/>
      <c r="C90" s="1440"/>
      <c r="D90" s="1440"/>
      <c r="E90" s="1440"/>
      <c r="F90" s="1440"/>
      <c r="G90" s="1440"/>
      <c r="H90" s="1440"/>
    </row>
    <row r="91" spans="1:8" ht="18" x14ac:dyDescent="0.3">
      <c r="A91" s="1253"/>
      <c r="B91" s="1439"/>
      <c r="C91" s="1440"/>
      <c r="D91" s="1440"/>
      <c r="E91" s="1440"/>
      <c r="F91" s="1440"/>
      <c r="G91" s="1440"/>
      <c r="H91" s="1440"/>
    </row>
    <row r="92" spans="1:8" ht="48.5" customHeight="1" x14ac:dyDescent="0.25">
      <c r="A92" s="1258"/>
      <c r="B92" s="1268"/>
      <c r="C92" s="1269"/>
      <c r="D92" s="1268"/>
      <c r="E92" s="1270"/>
      <c r="F92" s="1270"/>
      <c r="G92" s="1268"/>
      <c r="H92" s="1270"/>
    </row>
    <row r="93" spans="1:8" ht="14.25" customHeight="1" x14ac:dyDescent="0.25">
      <c r="A93" s="881"/>
      <c r="B93" s="1271"/>
      <c r="C93" s="1271"/>
      <c r="D93" s="1271"/>
      <c r="E93" s="1272"/>
      <c r="F93" s="1273"/>
      <c r="G93" s="1274"/>
      <c r="H93" s="1275"/>
    </row>
    <row r="94" spans="1:8" ht="14.25" customHeight="1" x14ac:dyDescent="0.25">
      <c r="A94" s="881"/>
      <c r="B94" s="1271"/>
      <c r="C94" s="1271"/>
      <c r="D94" s="1271"/>
      <c r="E94" s="1272"/>
      <c r="F94" s="1273"/>
      <c r="G94" s="1274"/>
      <c r="H94" s="1275"/>
    </row>
    <row r="95" spans="1:8" ht="14.25" customHeight="1" x14ac:dyDescent="0.25">
      <c r="A95" s="881"/>
      <c r="B95" s="1271"/>
      <c r="C95" s="1271"/>
      <c r="D95" s="1271"/>
      <c r="E95" s="1272"/>
      <c r="F95" s="1273"/>
      <c r="G95" s="1274"/>
      <c r="H95" s="1275"/>
    </row>
    <row r="96" spans="1:8" ht="14.25" customHeight="1" x14ac:dyDescent="0.25">
      <c r="A96" s="881"/>
      <c r="B96" s="1271"/>
      <c r="C96" s="1271"/>
      <c r="D96" s="1271"/>
      <c r="E96" s="1272"/>
      <c r="F96" s="1273"/>
      <c r="G96" s="1274"/>
      <c r="H96" s="1275"/>
    </row>
    <row r="97" spans="1:8" ht="14.25" customHeight="1" x14ac:dyDescent="0.25">
      <c r="A97" s="881"/>
      <c r="B97" s="1271"/>
      <c r="C97" s="1271"/>
      <c r="D97" s="1271"/>
      <c r="E97" s="1272"/>
      <c r="F97" s="1273"/>
      <c r="G97" s="1274"/>
      <c r="H97" s="1275"/>
    </row>
    <row r="98" spans="1:8" ht="14.25" customHeight="1" x14ac:dyDescent="0.25">
      <c r="A98" s="881"/>
      <c r="B98" s="1271"/>
      <c r="C98" s="1271"/>
      <c r="D98" s="1271"/>
      <c r="E98" s="1272"/>
      <c r="F98" s="1273"/>
      <c r="G98" s="1274"/>
      <c r="H98" s="1275"/>
    </row>
    <row r="99" spans="1:8" ht="12.75" customHeight="1" x14ac:dyDescent="0.25">
      <c r="A99" s="881"/>
      <c r="B99" s="1271"/>
      <c r="C99" s="1271"/>
      <c r="D99" s="1271"/>
      <c r="E99" s="1272"/>
      <c r="F99" s="1273"/>
      <c r="G99" s="1274"/>
      <c r="H99" s="1275"/>
    </row>
    <row r="100" spans="1:8" ht="18.5" customHeight="1" x14ac:dyDescent="0.25">
      <c r="A100" s="881"/>
      <c r="B100" s="900"/>
      <c r="C100" s="881"/>
      <c r="D100" s="881"/>
      <c r="E100" s="875"/>
      <c r="F100" s="875"/>
      <c r="G100" s="881"/>
      <c r="H100" s="881"/>
    </row>
    <row r="101" spans="1:8" ht="20" x14ac:dyDescent="0.4">
      <c r="A101" s="881"/>
      <c r="B101" s="901"/>
      <c r="C101" s="905"/>
      <c r="D101" s="1279"/>
      <c r="E101" s="875"/>
      <c r="F101" s="1280"/>
      <c r="G101" s="881"/>
      <c r="H101" s="881"/>
    </row>
    <row r="103" spans="1:8" ht="17.75" customHeight="1" x14ac:dyDescent="0.25"/>
    <row r="104" spans="1:8" ht="17.75" customHeight="1" x14ac:dyDescent="0.25">
      <c r="A104" s="330"/>
      <c r="B104" s="1444" t="s">
        <v>358</v>
      </c>
      <c r="C104" s="1389"/>
      <c r="D104" s="1389"/>
      <c r="E104" s="1389"/>
      <c r="F104" s="1389"/>
      <c r="G104" s="1389"/>
      <c r="H104" s="1389"/>
    </row>
    <row r="105" spans="1:8" ht="14" x14ac:dyDescent="0.3">
      <c r="A105" s="330"/>
      <c r="B105" s="1382" t="s">
        <v>359</v>
      </c>
      <c r="C105" s="1388"/>
      <c r="D105" s="1388"/>
      <c r="E105" s="1388"/>
      <c r="F105" s="1388"/>
      <c r="G105" s="1388"/>
      <c r="H105" s="1388"/>
    </row>
    <row r="106" spans="1:8" ht="41" customHeight="1" x14ac:dyDescent="0.25">
      <c r="A106" s="91"/>
      <c r="B106" s="243" t="s">
        <v>253</v>
      </c>
      <c r="C106" s="244" t="s">
        <v>254</v>
      </c>
      <c r="D106" s="245" t="s">
        <v>243</v>
      </c>
      <c r="E106" s="218" t="s">
        <v>246</v>
      </c>
      <c r="F106" s="218" t="s">
        <v>255</v>
      </c>
      <c r="G106" s="245" t="s">
        <v>256</v>
      </c>
      <c r="H106" s="218" t="s">
        <v>257</v>
      </c>
    </row>
    <row r="107" spans="1:8" ht="14.25" customHeight="1" x14ac:dyDescent="0.25">
      <c r="A107" s="295" t="s">
        <v>13</v>
      </c>
      <c r="B107" s="323" t="str">
        <f t="shared" ref="B107:D113" si="10">B6</f>
        <v>Potato - بطاطس</v>
      </c>
      <c r="C107" s="323" t="str">
        <f t="shared" si="10"/>
        <v>gm</v>
      </c>
      <c r="D107" s="323">
        <f t="shared" si="10"/>
        <v>1097.8260869565217</v>
      </c>
      <c r="E107" s="351">
        <f t="shared" ref="E107:E113" si="11">$C$56</f>
        <v>0</v>
      </c>
      <c r="F107" s="127">
        <f t="shared" ref="F107:F113" si="12">F6</f>
        <v>1</v>
      </c>
      <c r="G107" s="119">
        <f t="shared" ref="G107:G113" si="13">D107*E107</f>
        <v>0</v>
      </c>
      <c r="H107" s="120">
        <f t="shared" ref="H107:H113" si="14">G107*F107</f>
        <v>0</v>
      </c>
    </row>
    <row r="108" spans="1:8" ht="14.25" customHeight="1" x14ac:dyDescent="0.25">
      <c r="A108" s="295" t="s">
        <v>57</v>
      </c>
      <c r="B108" s="323" t="str">
        <f t="shared" si="10"/>
        <v>Ginger - زنجبيل</v>
      </c>
      <c r="C108" s="323" t="str">
        <f t="shared" si="10"/>
        <v>gm</v>
      </c>
      <c r="D108" s="323">
        <f t="shared" si="10"/>
        <v>10</v>
      </c>
      <c r="E108" s="351">
        <f t="shared" si="11"/>
        <v>0</v>
      </c>
      <c r="F108" s="127">
        <f t="shared" si="12"/>
        <v>1</v>
      </c>
      <c r="G108" s="119">
        <f t="shared" si="13"/>
        <v>0</v>
      </c>
      <c r="H108" s="120">
        <f t="shared" si="14"/>
        <v>0</v>
      </c>
    </row>
    <row r="109" spans="1:8" ht="14.25" customHeight="1" x14ac:dyDescent="0.25">
      <c r="A109" s="295" t="s">
        <v>63</v>
      </c>
      <c r="B109" s="323" t="str">
        <f t="shared" si="10"/>
        <v>Coriander Leaves - كزبرة خضراء</v>
      </c>
      <c r="C109" s="323" t="str">
        <f t="shared" si="10"/>
        <v>gm</v>
      </c>
      <c r="D109" s="323">
        <f t="shared" si="10"/>
        <v>5</v>
      </c>
      <c r="E109" s="351">
        <f t="shared" si="11"/>
        <v>0</v>
      </c>
      <c r="F109" s="127">
        <f t="shared" si="12"/>
        <v>1</v>
      </c>
      <c r="G109" s="119">
        <f t="shared" si="13"/>
        <v>0</v>
      </c>
      <c r="H109" s="120">
        <f t="shared" si="14"/>
        <v>0</v>
      </c>
    </row>
    <row r="110" spans="1:8" ht="14.25" customHeight="1" x14ac:dyDescent="0.25">
      <c r="A110" s="295" t="s">
        <v>158</v>
      </c>
      <c r="B110" s="323" t="str">
        <f t="shared" si="10"/>
        <v>Butter - زبدة</v>
      </c>
      <c r="C110" s="323" t="str">
        <f t="shared" si="10"/>
        <v>gm</v>
      </c>
      <c r="D110" s="323">
        <f t="shared" si="10"/>
        <v>10</v>
      </c>
      <c r="E110" s="351">
        <f t="shared" si="11"/>
        <v>0</v>
      </c>
      <c r="F110" s="127">
        <f t="shared" si="12"/>
        <v>1</v>
      </c>
      <c r="G110" s="119">
        <f t="shared" si="13"/>
        <v>0</v>
      </c>
      <c r="H110" s="120">
        <f t="shared" si="14"/>
        <v>0</v>
      </c>
    </row>
    <row r="111" spans="1:8" ht="14.25" customHeight="1" x14ac:dyDescent="0.25">
      <c r="A111" s="295" t="s">
        <v>97</v>
      </c>
      <c r="B111" s="323" t="str">
        <f t="shared" si="10"/>
        <v>White Pepper - فلفل أبيض</v>
      </c>
      <c r="C111" s="323" t="str">
        <f t="shared" si="10"/>
        <v>gm</v>
      </c>
      <c r="D111" s="323">
        <f t="shared" si="10"/>
        <v>2</v>
      </c>
      <c r="E111" s="351">
        <f t="shared" si="11"/>
        <v>0</v>
      </c>
      <c r="F111" s="127">
        <f t="shared" si="12"/>
        <v>0.75</v>
      </c>
      <c r="G111" s="119">
        <f t="shared" si="13"/>
        <v>0</v>
      </c>
      <c r="H111" s="120">
        <f t="shared" si="14"/>
        <v>0</v>
      </c>
    </row>
    <row r="112" spans="1:8" ht="14.25" customHeight="1" x14ac:dyDescent="0.25">
      <c r="A112" s="295" t="s">
        <v>97</v>
      </c>
      <c r="B112" s="323" t="str">
        <f t="shared" si="10"/>
        <v>Salt - ملح</v>
      </c>
      <c r="C112" s="323" t="str">
        <f t="shared" si="10"/>
        <v>gm</v>
      </c>
      <c r="D112" s="323">
        <f t="shared" si="10"/>
        <v>5</v>
      </c>
      <c r="E112" s="351">
        <f t="shared" si="11"/>
        <v>0</v>
      </c>
      <c r="F112" s="127">
        <f t="shared" si="12"/>
        <v>0.75</v>
      </c>
      <c r="G112" s="119">
        <f t="shared" si="13"/>
        <v>0</v>
      </c>
      <c r="H112" s="120">
        <f t="shared" si="14"/>
        <v>0</v>
      </c>
    </row>
    <row r="113" spans="1:8" ht="12.75" customHeight="1" x14ac:dyDescent="0.25">
      <c r="A113" s="295" t="s">
        <v>97</v>
      </c>
      <c r="B113" s="323" t="str">
        <f t="shared" si="10"/>
        <v>Cumin Powder - كمون مطحون</v>
      </c>
      <c r="C113" s="323" t="str">
        <f t="shared" si="10"/>
        <v>gm</v>
      </c>
      <c r="D113" s="323">
        <f t="shared" si="10"/>
        <v>1</v>
      </c>
      <c r="E113" s="351">
        <f t="shared" si="11"/>
        <v>0</v>
      </c>
      <c r="F113" s="127">
        <f t="shared" si="12"/>
        <v>0.75</v>
      </c>
      <c r="G113" s="119">
        <f t="shared" si="13"/>
        <v>0</v>
      </c>
      <c r="H113" s="120">
        <f t="shared" si="14"/>
        <v>0</v>
      </c>
    </row>
    <row r="114" spans="1:8" ht="19.25" customHeight="1" x14ac:dyDescent="0.25">
      <c r="B114" s="198" t="s">
        <v>767</v>
      </c>
      <c r="E114" s="100"/>
      <c r="F114" s="100"/>
    </row>
    <row r="115" spans="1:8" ht="20" x14ac:dyDescent="0.4">
      <c r="B115" s="199">
        <f>D56</f>
        <v>0</v>
      </c>
      <c r="C115" s="208"/>
      <c r="D115" s="4"/>
      <c r="E115" s="100"/>
      <c r="F115" s="183"/>
    </row>
    <row r="116" spans="1:8" ht="17.75" customHeight="1" x14ac:dyDescent="0.25"/>
    <row r="117" spans="1:8" ht="17.75" customHeight="1" x14ac:dyDescent="0.25">
      <c r="A117" s="330"/>
      <c r="B117" s="1444" t="s">
        <v>360</v>
      </c>
      <c r="C117" s="1389"/>
      <c r="D117" s="1389"/>
      <c r="E117" s="1389"/>
      <c r="F117" s="1389"/>
      <c r="G117" s="1389"/>
      <c r="H117" s="1389"/>
    </row>
    <row r="118" spans="1:8" ht="14" x14ac:dyDescent="0.3">
      <c r="A118" s="330"/>
      <c r="B118" s="1382" t="s">
        <v>361</v>
      </c>
      <c r="C118" s="1388"/>
      <c r="D118" s="1388"/>
      <c r="E118" s="1388"/>
      <c r="F118" s="1388"/>
      <c r="G118" s="1388"/>
      <c r="H118" s="1388"/>
    </row>
    <row r="119" spans="1:8" ht="44.75" customHeight="1" x14ac:dyDescent="0.25">
      <c r="A119" s="91"/>
      <c r="B119" s="243" t="s">
        <v>253</v>
      </c>
      <c r="C119" s="244" t="s">
        <v>254</v>
      </c>
      <c r="D119" s="245" t="s">
        <v>243</v>
      </c>
      <c r="E119" s="218" t="s">
        <v>246</v>
      </c>
      <c r="F119" s="218" t="s">
        <v>255</v>
      </c>
      <c r="G119" s="245" t="s">
        <v>256</v>
      </c>
      <c r="H119" s="218" t="s">
        <v>257</v>
      </c>
    </row>
    <row r="120" spans="1:8" ht="14.25" customHeight="1" x14ac:dyDescent="0.25">
      <c r="A120" s="295" t="s">
        <v>13</v>
      </c>
      <c r="B120" s="323" t="str">
        <f t="shared" ref="B120:D126" si="15">B6</f>
        <v>Potato - بطاطس</v>
      </c>
      <c r="C120" s="323" t="str">
        <f t="shared" si="15"/>
        <v>gm</v>
      </c>
      <c r="D120" s="323">
        <f t="shared" si="15"/>
        <v>1097.8260869565217</v>
      </c>
      <c r="E120" s="351">
        <f t="shared" ref="E120:E126" si="16">$C$57</f>
        <v>0</v>
      </c>
      <c r="F120" s="127">
        <f t="shared" ref="F120:F126" si="17">F6</f>
        <v>1</v>
      </c>
      <c r="G120" s="119">
        <f t="shared" ref="G120:G126" si="18">D120*E120</f>
        <v>0</v>
      </c>
      <c r="H120" s="120">
        <f t="shared" ref="H120:H126" si="19">G120*F120</f>
        <v>0</v>
      </c>
    </row>
    <row r="121" spans="1:8" ht="14.25" customHeight="1" x14ac:dyDescent="0.25">
      <c r="A121" s="295" t="s">
        <v>57</v>
      </c>
      <c r="B121" s="323" t="str">
        <f t="shared" si="15"/>
        <v>Ginger - زنجبيل</v>
      </c>
      <c r="C121" s="323" t="str">
        <f t="shared" si="15"/>
        <v>gm</v>
      </c>
      <c r="D121" s="323">
        <f t="shared" si="15"/>
        <v>10</v>
      </c>
      <c r="E121" s="351">
        <f t="shared" si="16"/>
        <v>0</v>
      </c>
      <c r="F121" s="127">
        <f t="shared" si="17"/>
        <v>1</v>
      </c>
      <c r="G121" s="119">
        <f t="shared" si="18"/>
        <v>0</v>
      </c>
      <c r="H121" s="120">
        <f t="shared" si="19"/>
        <v>0</v>
      </c>
    </row>
    <row r="122" spans="1:8" ht="14.25" customHeight="1" x14ac:dyDescent="0.25">
      <c r="A122" s="295" t="s">
        <v>63</v>
      </c>
      <c r="B122" s="323" t="str">
        <f t="shared" si="15"/>
        <v>Coriander Leaves - كزبرة خضراء</v>
      </c>
      <c r="C122" s="323" t="str">
        <f t="shared" si="15"/>
        <v>gm</v>
      </c>
      <c r="D122" s="323">
        <f t="shared" si="15"/>
        <v>5</v>
      </c>
      <c r="E122" s="351">
        <f t="shared" si="16"/>
        <v>0</v>
      </c>
      <c r="F122" s="127">
        <f t="shared" si="17"/>
        <v>1</v>
      </c>
      <c r="G122" s="119">
        <f t="shared" si="18"/>
        <v>0</v>
      </c>
      <c r="H122" s="120">
        <f t="shared" si="19"/>
        <v>0</v>
      </c>
    </row>
    <row r="123" spans="1:8" ht="14.25" customHeight="1" x14ac:dyDescent="0.25">
      <c r="A123" s="295" t="s">
        <v>158</v>
      </c>
      <c r="B123" s="323" t="str">
        <f t="shared" si="15"/>
        <v>Butter - زبدة</v>
      </c>
      <c r="C123" s="323" t="str">
        <f t="shared" si="15"/>
        <v>gm</v>
      </c>
      <c r="D123" s="323">
        <f t="shared" si="15"/>
        <v>10</v>
      </c>
      <c r="E123" s="351">
        <f t="shared" si="16"/>
        <v>0</v>
      </c>
      <c r="F123" s="127">
        <f t="shared" si="17"/>
        <v>1</v>
      </c>
      <c r="G123" s="119">
        <f t="shared" si="18"/>
        <v>0</v>
      </c>
      <c r="H123" s="120">
        <f t="shared" si="19"/>
        <v>0</v>
      </c>
    </row>
    <row r="124" spans="1:8" ht="14.25" customHeight="1" x14ac:dyDescent="0.25">
      <c r="A124" s="295" t="s">
        <v>97</v>
      </c>
      <c r="B124" s="323" t="str">
        <f t="shared" si="15"/>
        <v>White Pepper - فلفل أبيض</v>
      </c>
      <c r="C124" s="323" t="str">
        <f t="shared" si="15"/>
        <v>gm</v>
      </c>
      <c r="D124" s="323">
        <f t="shared" si="15"/>
        <v>2</v>
      </c>
      <c r="E124" s="351">
        <f t="shared" si="16"/>
        <v>0</v>
      </c>
      <c r="F124" s="127">
        <f t="shared" si="17"/>
        <v>0.75</v>
      </c>
      <c r="G124" s="119">
        <f t="shared" si="18"/>
        <v>0</v>
      </c>
      <c r="H124" s="120">
        <f t="shared" si="19"/>
        <v>0</v>
      </c>
    </row>
    <row r="125" spans="1:8" ht="14.25" customHeight="1" x14ac:dyDescent="0.25">
      <c r="A125" s="295" t="s">
        <v>97</v>
      </c>
      <c r="B125" s="323" t="str">
        <f t="shared" si="15"/>
        <v>Salt - ملح</v>
      </c>
      <c r="C125" s="323" t="str">
        <f t="shared" si="15"/>
        <v>gm</v>
      </c>
      <c r="D125" s="323">
        <f t="shared" si="15"/>
        <v>5</v>
      </c>
      <c r="E125" s="351">
        <f t="shared" si="16"/>
        <v>0</v>
      </c>
      <c r="F125" s="127">
        <f t="shared" si="17"/>
        <v>0.75</v>
      </c>
      <c r="G125" s="119">
        <f t="shared" si="18"/>
        <v>0</v>
      </c>
      <c r="H125" s="120">
        <f t="shared" si="19"/>
        <v>0</v>
      </c>
    </row>
    <row r="126" spans="1:8" ht="14" x14ac:dyDescent="0.25">
      <c r="A126" s="295" t="s">
        <v>97</v>
      </c>
      <c r="B126" s="323" t="str">
        <f t="shared" si="15"/>
        <v>Cumin Powder - كمون مطحون</v>
      </c>
      <c r="C126" s="323" t="str">
        <f t="shared" si="15"/>
        <v>gm</v>
      </c>
      <c r="D126" s="323">
        <f t="shared" si="15"/>
        <v>1</v>
      </c>
      <c r="E126" s="351">
        <f t="shared" si="16"/>
        <v>0</v>
      </c>
      <c r="F126" s="127">
        <f t="shared" si="17"/>
        <v>0.75</v>
      </c>
      <c r="G126" s="119">
        <f t="shared" si="18"/>
        <v>0</v>
      </c>
      <c r="H126" s="120">
        <f t="shared" si="19"/>
        <v>0</v>
      </c>
    </row>
    <row r="127" spans="1:8" ht="21" customHeight="1" x14ac:dyDescent="0.25">
      <c r="B127" s="198" t="s">
        <v>767</v>
      </c>
    </row>
    <row r="128" spans="1:8" ht="20" x14ac:dyDescent="0.4">
      <c r="B128" s="199">
        <f>D57</f>
        <v>0</v>
      </c>
    </row>
  </sheetData>
  <mergeCells count="13">
    <mergeCell ref="AE2:AG3"/>
    <mergeCell ref="B118:H118"/>
    <mergeCell ref="B90:H90"/>
    <mergeCell ref="B105:H105"/>
    <mergeCell ref="B77:H77"/>
    <mergeCell ref="B91:H91"/>
    <mergeCell ref="B62:H62"/>
    <mergeCell ref="B2:H2"/>
    <mergeCell ref="B117:H117"/>
    <mergeCell ref="B104:H104"/>
    <mergeCell ref="R25:T25"/>
    <mergeCell ref="B76:H76"/>
    <mergeCell ref="B63:H63"/>
  </mergeCells>
  <printOptions horizontalCentered="1"/>
  <pageMargins left="0.5" right="0.5" top="1" bottom="0.5" header="0.3" footer="0.511811023622047"/>
  <pageSetup paperSize="9" scale="33"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2E75B6"/>
    <pageSetUpPr fitToPage="1"/>
  </sheetPr>
  <dimension ref="A1:AT123"/>
  <sheetViews>
    <sheetView topLeftCell="A10" zoomScale="70" zoomScaleNormal="70" workbookViewId="0">
      <selection activeCell="D53" sqref="D53:D54"/>
    </sheetView>
  </sheetViews>
  <sheetFormatPr defaultColWidth="12.5" defaultRowHeight="14" x14ac:dyDescent="0.3"/>
  <cols>
    <col min="1" max="1" width="12.5" style="79" customWidth="1"/>
    <col min="2" max="2" width="30.9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9" width="12.5" style="14" customWidth="1"/>
    <col min="10" max="10" width="11" style="14" customWidth="1"/>
    <col min="11" max="11" width="12.5" style="14" customWidth="1"/>
    <col min="12" max="12" width="8.33203125" style="14" customWidth="1"/>
    <col min="13" max="14" width="5.1640625" style="14" customWidth="1"/>
    <col min="15" max="17" width="12.5" style="14" customWidth="1"/>
    <col min="18" max="18" width="32.83203125" style="14" customWidth="1"/>
    <col min="19" max="27" width="12.5" style="14" customWidth="1"/>
    <col min="28" max="28" width="11.9140625" style="14" bestFit="1" customWidth="1"/>
    <col min="29" max="29" width="13.33203125" style="14" bestFit="1" customWidth="1"/>
    <col min="30" max="31" width="10" style="14" bestFit="1" customWidth="1"/>
    <col min="32" max="32" width="7.08203125" style="14" bestFit="1" customWidth="1"/>
    <col min="33" max="35" width="4.08203125" style="14" customWidth="1"/>
    <col min="36" max="36" width="32.5" style="14" customWidth="1"/>
    <col min="37" max="37" width="12.5" style="14" customWidth="1"/>
    <col min="38" max="38" width="16.9140625" style="14" customWidth="1"/>
    <col min="39" max="16384" width="12.5" style="14"/>
  </cols>
  <sheetData>
    <row r="1" spans="1:46" s="250" customFormat="1" ht="35.25" customHeight="1" x14ac:dyDescent="0.25">
      <c r="A1" s="248"/>
      <c r="B1" s="80" t="s">
        <v>243</v>
      </c>
      <c r="C1" s="81">
        <v>1000</v>
      </c>
      <c r="D1" s="82" t="s">
        <v>244</v>
      </c>
      <c r="E1" s="117">
        <f>T32</f>
        <v>12027.692307692319</v>
      </c>
      <c r="F1" s="80" t="s">
        <v>245</v>
      </c>
      <c r="G1" s="81">
        <f>E1/C1</f>
        <v>12.02769230769232</v>
      </c>
      <c r="H1" s="80" t="s">
        <v>246</v>
      </c>
      <c r="I1" s="249">
        <f>(G1/K1)</f>
        <v>12.02769230769232</v>
      </c>
      <c r="J1" s="86" t="s">
        <v>247</v>
      </c>
      <c r="K1" s="249">
        <v>1</v>
      </c>
      <c r="L1" s="92"/>
      <c r="M1" s="89"/>
      <c r="N1" s="90"/>
      <c r="O1" s="91" t="s">
        <v>248</v>
      </c>
      <c r="P1" s="92" t="s">
        <v>249</v>
      </c>
      <c r="Q1" s="93" t="s">
        <v>250</v>
      </c>
      <c r="R1" s="92">
        <v>0.59</v>
      </c>
      <c r="S1" s="92"/>
      <c r="T1" s="92"/>
      <c r="Y1" s="91" t="s">
        <v>479</v>
      </c>
      <c r="Z1" s="847">
        <v>52120</v>
      </c>
      <c r="AA1" s="91" t="s">
        <v>600</v>
      </c>
      <c r="AB1" s="847">
        <v>0</v>
      </c>
      <c r="AC1" s="91" t="s">
        <v>587</v>
      </c>
      <c r="AD1" s="847">
        <v>350</v>
      </c>
      <c r="AF1" s="252"/>
      <c r="AG1" s="92"/>
      <c r="AI1" s="14"/>
      <c r="AJ1" s="94" t="s">
        <v>262</v>
      </c>
      <c r="AK1" s="94">
        <v>10000</v>
      </c>
      <c r="AL1" s="628" t="s">
        <v>520</v>
      </c>
      <c r="AM1" s="629">
        <f>$S$32</f>
        <v>40092.307692307681</v>
      </c>
      <c r="AN1" s="94" t="s">
        <v>251</v>
      </c>
      <c r="AO1" s="96">
        <f>($S$32/$R$1)/$AK$1</f>
        <v>6.7953063885267255</v>
      </c>
      <c r="AP1" s="95"/>
    </row>
    <row r="2" spans="1:46" ht="15.75" customHeight="1" x14ac:dyDescent="0.3">
      <c r="A2" s="97"/>
      <c r="B2" s="1387" t="s">
        <v>43</v>
      </c>
      <c r="C2" s="1389"/>
      <c r="D2" s="1389"/>
      <c r="E2" s="1389"/>
      <c r="F2" s="1389"/>
      <c r="G2" s="1389"/>
      <c r="H2" s="1389"/>
      <c r="I2" s="1389"/>
      <c r="J2" s="1389"/>
      <c r="K2" s="1408"/>
      <c r="L2" s="1408"/>
      <c r="O2" s="100"/>
      <c r="P2" s="100"/>
      <c r="Q2" s="100"/>
      <c r="R2" s="100"/>
      <c r="S2" s="100"/>
      <c r="T2" s="100"/>
      <c r="U2" s="100"/>
      <c r="AC2" s="99"/>
      <c r="AD2" s="99"/>
      <c r="AE2" s="1391"/>
      <c r="AF2" s="1389"/>
      <c r="AG2" s="1389"/>
      <c r="AJ2" s="101"/>
      <c r="AK2" s="1386" t="s">
        <v>363</v>
      </c>
      <c r="AL2" s="1386"/>
      <c r="AM2" s="1386"/>
      <c r="AN2" s="102"/>
      <c r="AO2" s="101"/>
      <c r="AP2" s="101"/>
    </row>
    <row r="3" spans="1:46" ht="15.75" customHeight="1" x14ac:dyDescent="0.3">
      <c r="A3" s="97"/>
      <c r="B3" s="1388"/>
      <c r="C3" s="1388"/>
      <c r="D3" s="1388"/>
      <c r="E3" s="1388"/>
      <c r="F3" s="1388"/>
      <c r="G3" s="1388"/>
      <c r="H3" s="1388"/>
      <c r="I3" s="1388"/>
      <c r="J3" s="1388"/>
      <c r="K3" s="1388"/>
      <c r="L3" s="1388"/>
      <c r="O3" s="100"/>
      <c r="P3" s="100"/>
      <c r="Q3" s="100"/>
      <c r="R3" s="100"/>
      <c r="S3" s="100"/>
      <c r="T3" s="100"/>
      <c r="U3" s="100"/>
      <c r="AC3" s="99"/>
      <c r="AD3" s="99"/>
      <c r="AE3" s="1389"/>
      <c r="AF3" s="1389"/>
      <c r="AG3" s="1389"/>
      <c r="AJ3" s="373"/>
      <c r="AK3" s="104"/>
      <c r="AL3" s="105"/>
      <c r="AM3" s="105"/>
      <c r="AN3" s="105"/>
      <c r="AO3" s="104"/>
      <c r="AP3" s="104"/>
    </row>
    <row r="4" spans="1:46" ht="69" customHeight="1" x14ac:dyDescent="0.25">
      <c r="A4" s="91" t="s">
        <v>1</v>
      </c>
      <c r="B4" s="91" t="s">
        <v>362</v>
      </c>
      <c r="C4" s="107" t="s">
        <v>254</v>
      </c>
      <c r="D4" s="91" t="s">
        <v>243</v>
      </c>
      <c r="E4" s="108" t="s">
        <v>246</v>
      </c>
      <c r="F4" s="108" t="s">
        <v>255</v>
      </c>
      <c r="G4" s="91" t="s">
        <v>256</v>
      </c>
      <c r="H4" s="109" t="s">
        <v>257</v>
      </c>
      <c r="I4" s="91" t="s">
        <v>258</v>
      </c>
      <c r="J4" s="91" t="s">
        <v>259</v>
      </c>
      <c r="K4" s="91" t="s">
        <v>260</v>
      </c>
      <c r="L4" s="91" t="s">
        <v>261</v>
      </c>
      <c r="O4" s="100"/>
      <c r="P4" s="100"/>
      <c r="Q4" s="100"/>
      <c r="R4" s="100"/>
      <c r="S4" s="100"/>
      <c r="AA4" s="251"/>
      <c r="AB4" s="253"/>
      <c r="AC4" s="251"/>
      <c r="AD4" s="251"/>
      <c r="AE4" s="251"/>
      <c r="AJ4" s="110" t="s">
        <v>253</v>
      </c>
      <c r="AK4" s="111" t="s">
        <v>254</v>
      </c>
      <c r="AL4" s="110" t="s">
        <v>262</v>
      </c>
      <c r="AM4" s="110" t="s">
        <v>246</v>
      </c>
      <c r="AN4" s="110" t="s">
        <v>255</v>
      </c>
      <c r="AO4" s="110" t="s">
        <v>256</v>
      </c>
      <c r="AP4" s="112" t="s">
        <v>257</v>
      </c>
      <c r="AQ4" s="91" t="s">
        <v>258</v>
      </c>
      <c r="AR4" s="91" t="s">
        <v>259</v>
      </c>
      <c r="AS4" s="91" t="s">
        <v>260</v>
      </c>
      <c r="AT4" s="91" t="s">
        <v>261</v>
      </c>
    </row>
    <row r="5" spans="1:46" ht="14.25" customHeight="1" x14ac:dyDescent="0.25">
      <c r="A5" s="266" t="s">
        <v>230</v>
      </c>
      <c r="B5" s="309" t="s">
        <v>229</v>
      </c>
      <c r="C5" s="124" t="s">
        <v>14</v>
      </c>
      <c r="D5" s="121">
        <f>I51/H51</f>
        <v>5649.8305084745762</v>
      </c>
      <c r="E5" s="117">
        <f>H52</f>
        <v>12.027451758657131</v>
      </c>
      <c r="F5" s="127">
        <v>1</v>
      </c>
      <c r="G5" s="119">
        <f t="shared" ref="G5:G29" si="0">D5*E5</f>
        <v>67953.063885267256</v>
      </c>
      <c r="H5" s="120">
        <f t="shared" ref="H5:H29" si="1">G5*F5</f>
        <v>67953.063885267256</v>
      </c>
      <c r="I5" s="81">
        <f>VLOOKUP(B5,All_Ingredients!$A$1:$F$151,6,FALSE())</f>
        <v>0.86</v>
      </c>
      <c r="J5" s="119">
        <f>VLOOKUP(B5,All_Ingredients!$A$1:$J$151,10,FALSE())</f>
        <v>17.100000000000001</v>
      </c>
      <c r="K5" s="122">
        <f t="shared" ref="K5" si="2">(H5/I5)/1000</f>
        <v>79.015190564264259</v>
      </c>
      <c r="L5" s="122">
        <f t="shared" ref="L5" si="3">K5*J5</f>
        <v>1351.159758648919</v>
      </c>
      <c r="O5" s="100"/>
      <c r="P5" s="100"/>
      <c r="Q5" s="100"/>
      <c r="R5" s="100"/>
      <c r="S5" s="100"/>
      <c r="AA5" s="92"/>
      <c r="AB5" s="133"/>
      <c r="AC5" s="254"/>
      <c r="AD5" s="135"/>
      <c r="AE5" s="136"/>
      <c r="AJ5" s="374" t="s">
        <v>229</v>
      </c>
      <c r="AK5" s="124" t="s">
        <v>238</v>
      </c>
      <c r="AL5" s="375">
        <v>10</v>
      </c>
      <c r="AM5" s="376">
        <f t="shared" ref="AM5:AM12" si="4">$AO$1</f>
        <v>6.7953063885267255</v>
      </c>
      <c r="AN5" s="377">
        <v>1</v>
      </c>
      <c r="AO5" s="378">
        <f t="shared" ref="AO5:AO12" si="5">AL5*AM5</f>
        <v>67.953063885267255</v>
      </c>
      <c r="AP5" s="379">
        <f t="shared" ref="AP5:AP12" si="6">AO5*AN5</f>
        <v>67.953063885267255</v>
      </c>
      <c r="AR5" s="1147"/>
      <c r="AS5" s="556"/>
      <c r="AT5" s="1145"/>
    </row>
    <row r="6" spans="1:46" ht="14.25" customHeight="1" x14ac:dyDescent="0.3">
      <c r="A6" s="380" t="s">
        <v>158</v>
      </c>
      <c r="B6" s="267" t="s">
        <v>157</v>
      </c>
      <c r="C6" s="124" t="s">
        <v>14</v>
      </c>
      <c r="D6" s="125">
        <v>40</v>
      </c>
      <c r="E6" s="197">
        <f t="shared" ref="E6:E29" si="7">$I$1</f>
        <v>12.02769230769232</v>
      </c>
      <c r="F6" s="127">
        <v>1</v>
      </c>
      <c r="G6" s="119">
        <f t="shared" si="0"/>
        <v>481.10769230769279</v>
      </c>
      <c r="H6" s="120">
        <f t="shared" si="1"/>
        <v>481.10769230769279</v>
      </c>
      <c r="I6" s="81">
        <f>VLOOKUP(B6,All_Ingredients!$A$1:$F$151,6,FALSE())</f>
        <v>1</v>
      </c>
      <c r="J6" s="119">
        <f>VLOOKUP(B6,All_Ingredients!$A$1:$J$151,10,FALSE())</f>
        <v>30</v>
      </c>
      <c r="K6" s="122">
        <f t="shared" ref="K6:K29" si="8">(H6/I6)/1000</f>
        <v>0.48110769230769279</v>
      </c>
      <c r="L6" s="122">
        <f t="shared" ref="L6:L29" si="9">K6*J6</f>
        <v>14.433230769230784</v>
      </c>
      <c r="AJ6" s="374" t="s">
        <v>56</v>
      </c>
      <c r="AK6" s="334" t="s">
        <v>14</v>
      </c>
      <c r="AL6" s="116">
        <v>100</v>
      </c>
      <c r="AM6" s="376">
        <f t="shared" si="4"/>
        <v>6.7953063885267255</v>
      </c>
      <c r="AN6" s="377">
        <v>1</v>
      </c>
      <c r="AO6" s="378">
        <f t="shared" si="5"/>
        <v>679.53063885267261</v>
      </c>
      <c r="AP6" s="379">
        <f t="shared" si="6"/>
        <v>679.53063885267261</v>
      </c>
      <c r="AQ6" s="1145">
        <f>VLOOKUP(AJ6,Marination_Ordering!$A:$J,6,FALSE)</f>
        <v>0.87</v>
      </c>
      <c r="AR6" s="1145">
        <f>VLOOKUP(AJ6,Marination_Ordering!$A:$J,10,FALSE)</f>
        <v>3.2</v>
      </c>
      <c r="AS6" s="556">
        <f>AP6/AQ6</f>
        <v>781.06969983065812</v>
      </c>
      <c r="AT6" s="1145">
        <f>AR6*(AS6/1000)</f>
        <v>2.4994230394581063</v>
      </c>
    </row>
    <row r="7" spans="1:46" ht="14.25" customHeight="1" x14ac:dyDescent="0.3">
      <c r="A7" s="380" t="s">
        <v>13</v>
      </c>
      <c r="B7" s="267" t="s">
        <v>12</v>
      </c>
      <c r="C7" s="124" t="s">
        <v>14</v>
      </c>
      <c r="D7" s="125">
        <v>350</v>
      </c>
      <c r="E7" s="197">
        <f t="shared" si="7"/>
        <v>12.02769230769232</v>
      </c>
      <c r="F7" s="127">
        <v>0.75</v>
      </c>
      <c r="G7" s="119">
        <f t="shared" si="0"/>
        <v>4209.6923076923122</v>
      </c>
      <c r="H7" s="120">
        <f t="shared" si="1"/>
        <v>3157.2692307692341</v>
      </c>
      <c r="I7" s="81">
        <f>VLOOKUP(B7,All_Ingredients!$A$1:$F$151,6,FALSE())</f>
        <v>0.9</v>
      </c>
      <c r="J7" s="119">
        <f>VLOOKUP(B7,All_Ingredients!$A$1:$J$151,10,FALSE())</f>
        <v>3</v>
      </c>
      <c r="K7" s="122">
        <f t="shared" si="8"/>
        <v>3.5080769230769264</v>
      </c>
      <c r="L7" s="122">
        <f t="shared" si="9"/>
        <v>10.52423076923078</v>
      </c>
      <c r="AJ7" s="374" t="s">
        <v>792</v>
      </c>
      <c r="AK7" s="334" t="s">
        <v>14</v>
      </c>
      <c r="AL7" s="116">
        <v>150</v>
      </c>
      <c r="AM7" s="376">
        <f t="shared" si="4"/>
        <v>6.7953063885267255</v>
      </c>
      <c r="AN7" s="377">
        <v>1</v>
      </c>
      <c r="AO7" s="378">
        <f t="shared" si="5"/>
        <v>1019.2959582790088</v>
      </c>
      <c r="AP7" s="379">
        <f t="shared" si="6"/>
        <v>1019.2959582790088</v>
      </c>
      <c r="AQ7" s="1145">
        <f>VLOOKUP(AJ7,Marination_Ordering!$A:$J,6,FALSE)</f>
        <v>1</v>
      </c>
      <c r="AR7" s="1145">
        <f>VLOOKUP(AJ7,Marination_Ordering!$A:$J,10,FALSE)</f>
        <v>10.5</v>
      </c>
      <c r="AS7" s="556">
        <f t="shared" ref="AS7:AS12" si="10">AP7/AQ7</f>
        <v>1019.2959582790088</v>
      </c>
      <c r="AT7" s="1145">
        <f t="shared" ref="AT7:AT12" si="11">AR7*(AS7/1000)</f>
        <v>10.702607561929593</v>
      </c>
    </row>
    <row r="8" spans="1:46" ht="14.25" customHeight="1" x14ac:dyDescent="0.3">
      <c r="A8" s="380" t="s">
        <v>158</v>
      </c>
      <c r="B8" s="267" t="s">
        <v>168</v>
      </c>
      <c r="C8" s="124" t="s">
        <v>14</v>
      </c>
      <c r="D8" s="125">
        <v>250</v>
      </c>
      <c r="E8" s="197">
        <f t="shared" si="7"/>
        <v>12.02769230769232</v>
      </c>
      <c r="F8" s="127">
        <v>0.9</v>
      </c>
      <c r="G8" s="119">
        <f t="shared" si="0"/>
        <v>3006.9230769230799</v>
      </c>
      <c r="H8" s="120">
        <f t="shared" si="1"/>
        <v>2706.2307692307718</v>
      </c>
      <c r="I8" s="81">
        <f>VLOOKUP(B8,All_Ingredients!$A$1:$F$151,6,FALSE())</f>
        <v>1</v>
      </c>
      <c r="J8" s="119">
        <f>VLOOKUP(B8,All_Ingredients!$A$1:$J$151,10,FALSE())</f>
        <v>6.6959999999999997</v>
      </c>
      <c r="K8" s="122">
        <f t="shared" si="8"/>
        <v>2.7062307692307717</v>
      </c>
      <c r="L8" s="122">
        <f t="shared" si="9"/>
        <v>18.120921230769245</v>
      </c>
      <c r="AJ8" s="374" t="s">
        <v>219</v>
      </c>
      <c r="AK8" s="334" t="s">
        <v>165</v>
      </c>
      <c r="AL8" s="116">
        <v>150</v>
      </c>
      <c r="AM8" s="376">
        <f t="shared" si="4"/>
        <v>6.7953063885267255</v>
      </c>
      <c r="AN8" s="377">
        <v>1</v>
      </c>
      <c r="AO8" s="378">
        <f t="shared" si="5"/>
        <v>1019.2959582790088</v>
      </c>
      <c r="AP8" s="379">
        <f t="shared" si="6"/>
        <v>1019.2959582790088</v>
      </c>
      <c r="AQ8" s="1145">
        <f>VLOOKUP(AJ8,Marination_Ordering!$A:$J,6,FALSE)</f>
        <v>1</v>
      </c>
      <c r="AR8" s="1145">
        <f>VLOOKUP(AJ8,Marination_Ordering!$A:$J,10,FALSE)</f>
        <v>5</v>
      </c>
      <c r="AS8" s="556">
        <f t="shared" si="10"/>
        <v>1019.2959582790088</v>
      </c>
      <c r="AT8" s="1145">
        <f t="shared" si="11"/>
        <v>5.0964797913950441</v>
      </c>
    </row>
    <row r="9" spans="1:46" ht="14.25" customHeight="1" x14ac:dyDescent="0.3">
      <c r="A9" s="380" t="s">
        <v>13</v>
      </c>
      <c r="B9" s="267" t="s">
        <v>792</v>
      </c>
      <c r="C9" s="124" t="s">
        <v>14</v>
      </c>
      <c r="D9" s="125">
        <v>20</v>
      </c>
      <c r="E9" s="197">
        <f t="shared" si="7"/>
        <v>12.02769230769232</v>
      </c>
      <c r="F9" s="127">
        <v>1</v>
      </c>
      <c r="G9" s="119">
        <f t="shared" si="0"/>
        <v>240.55384615384639</v>
      </c>
      <c r="H9" s="120">
        <f t="shared" si="1"/>
        <v>240.55384615384639</v>
      </c>
      <c r="I9" s="81">
        <f>VLOOKUP(B9,All_Ingredients!$A$1:$F$151,6,FALSE())</f>
        <v>1</v>
      </c>
      <c r="J9" s="119">
        <f>VLOOKUP(B9,All_Ingredients!$A$1:$J$151,10,FALSE())</f>
        <v>10.5</v>
      </c>
      <c r="K9" s="122">
        <f t="shared" si="8"/>
        <v>0.2405538461538464</v>
      </c>
      <c r="L9" s="122">
        <f t="shared" si="9"/>
        <v>2.5258153846153872</v>
      </c>
      <c r="AJ9" s="374" t="s">
        <v>215</v>
      </c>
      <c r="AK9" s="124" t="s">
        <v>165</v>
      </c>
      <c r="AL9" s="116">
        <v>100</v>
      </c>
      <c r="AM9" s="376">
        <f t="shared" si="4"/>
        <v>6.7953063885267255</v>
      </c>
      <c r="AN9" s="377">
        <v>1</v>
      </c>
      <c r="AO9" s="378">
        <f t="shared" si="5"/>
        <v>679.53063885267261</v>
      </c>
      <c r="AP9" s="379">
        <f t="shared" si="6"/>
        <v>679.53063885267261</v>
      </c>
      <c r="AQ9" s="1145">
        <f>VLOOKUP(AJ9,Marination_Ordering!$A:$J,6,FALSE)</f>
        <v>1</v>
      </c>
      <c r="AR9" s="1145">
        <f>VLOOKUP(AJ9,Marination_Ordering!$A:$J,10,FALSE)</f>
        <v>2.1621621621621623</v>
      </c>
      <c r="AS9" s="556">
        <f t="shared" si="10"/>
        <v>679.53063885267261</v>
      </c>
      <c r="AT9" s="1145">
        <f t="shared" si="11"/>
        <v>1.4692554353571301</v>
      </c>
    </row>
    <row r="10" spans="1:46" ht="14.25" customHeight="1" x14ac:dyDescent="0.3">
      <c r="A10" s="380" t="s">
        <v>57</v>
      </c>
      <c r="B10" s="267" t="s">
        <v>56</v>
      </c>
      <c r="C10" s="124" t="s">
        <v>14</v>
      </c>
      <c r="D10" s="125">
        <v>20</v>
      </c>
      <c r="E10" s="197">
        <f t="shared" si="7"/>
        <v>12.02769230769232</v>
      </c>
      <c r="F10" s="127">
        <v>0.5</v>
      </c>
      <c r="G10" s="119">
        <f t="shared" si="0"/>
        <v>240.55384615384639</v>
      </c>
      <c r="H10" s="120">
        <f t="shared" si="1"/>
        <v>120.2769230769232</v>
      </c>
      <c r="I10" s="81">
        <f>VLOOKUP(B10,All_Ingredients!$A$1:$F$151,6,FALSE())</f>
        <v>0.87</v>
      </c>
      <c r="J10" s="119">
        <f>VLOOKUP(B10,All_Ingredients!$A$1:$J$151,10,FALSE())</f>
        <v>7</v>
      </c>
      <c r="K10" s="122">
        <f t="shared" si="8"/>
        <v>0.13824933687002666</v>
      </c>
      <c r="L10" s="122">
        <f t="shared" si="9"/>
        <v>0.96774535809018669</v>
      </c>
      <c r="AJ10" s="374" t="s">
        <v>96</v>
      </c>
      <c r="AK10" s="334" t="s">
        <v>14</v>
      </c>
      <c r="AL10" s="116">
        <v>5</v>
      </c>
      <c r="AM10" s="376">
        <f t="shared" si="4"/>
        <v>6.7953063885267255</v>
      </c>
      <c r="AN10" s="377">
        <v>1</v>
      </c>
      <c r="AO10" s="378">
        <f t="shared" si="5"/>
        <v>33.976531942633628</v>
      </c>
      <c r="AP10" s="379">
        <f t="shared" si="6"/>
        <v>33.976531942633628</v>
      </c>
      <c r="AQ10" s="1145">
        <f>VLOOKUP(AJ10,Marination_Ordering!$A:$J,6,FALSE)</f>
        <v>1</v>
      </c>
      <c r="AR10" s="1145">
        <f>VLOOKUP(AJ10,Marination_Ordering!$A:$J,10,FALSE)</f>
        <v>0.74</v>
      </c>
      <c r="AS10" s="556">
        <f t="shared" si="10"/>
        <v>33.976531942633628</v>
      </c>
      <c r="AT10" s="1145">
        <f t="shared" si="11"/>
        <v>2.5142633637548886E-2</v>
      </c>
    </row>
    <row r="11" spans="1:46" ht="14.25" customHeight="1" x14ac:dyDescent="0.3">
      <c r="A11" s="380" t="s">
        <v>97</v>
      </c>
      <c r="B11" s="267" t="s">
        <v>110</v>
      </c>
      <c r="C11" s="124" t="s">
        <v>14</v>
      </c>
      <c r="D11" s="125">
        <v>10</v>
      </c>
      <c r="E11" s="197">
        <f t="shared" si="7"/>
        <v>12.02769230769232</v>
      </c>
      <c r="F11" s="127">
        <v>0.95</v>
      </c>
      <c r="G11" s="119">
        <f t="shared" si="0"/>
        <v>120.2769230769232</v>
      </c>
      <c r="H11" s="120">
        <f t="shared" si="1"/>
        <v>114.26307692307704</v>
      </c>
      <c r="I11" s="81">
        <f>VLOOKUP(B11,All_Ingredients!$A$1:$F$151,6,FALSE())</f>
        <v>1</v>
      </c>
      <c r="J11" s="119">
        <f>VLOOKUP(B11,All_Ingredients!$A$1:$J$151,10,FALSE())</f>
        <v>8</v>
      </c>
      <c r="K11" s="122">
        <f t="shared" si="8"/>
        <v>0.11426307692307704</v>
      </c>
      <c r="L11" s="122">
        <f t="shared" si="9"/>
        <v>0.91410461538461629</v>
      </c>
      <c r="AJ11" s="374" t="s">
        <v>102</v>
      </c>
      <c r="AK11" s="334" t="s">
        <v>14</v>
      </c>
      <c r="AL11" s="116">
        <v>5</v>
      </c>
      <c r="AM11" s="376">
        <f t="shared" si="4"/>
        <v>6.7953063885267255</v>
      </c>
      <c r="AN11" s="377">
        <v>1</v>
      </c>
      <c r="AO11" s="378">
        <f t="shared" si="5"/>
        <v>33.976531942633628</v>
      </c>
      <c r="AP11" s="379">
        <f t="shared" si="6"/>
        <v>33.976531942633628</v>
      </c>
      <c r="AQ11" s="1145">
        <f>VLOOKUP(AJ11,Marination_Ordering!$A:$J,6,FALSE)</f>
        <v>1</v>
      </c>
      <c r="AR11" s="1145">
        <f>VLOOKUP(AJ11,Marination_Ordering!$A:$J,10,FALSE)</f>
        <v>31</v>
      </c>
      <c r="AS11" s="556">
        <f t="shared" si="10"/>
        <v>33.976531942633628</v>
      </c>
      <c r="AT11" s="1145">
        <f t="shared" si="11"/>
        <v>1.0532724902216424</v>
      </c>
    </row>
    <row r="12" spans="1:46" ht="14.25" customHeight="1" x14ac:dyDescent="0.3">
      <c r="A12" s="380" t="s">
        <v>97</v>
      </c>
      <c r="B12" s="267" t="s">
        <v>108</v>
      </c>
      <c r="C12" s="124" t="s">
        <v>14</v>
      </c>
      <c r="D12" s="125">
        <v>5</v>
      </c>
      <c r="E12" s="197">
        <f t="shared" si="7"/>
        <v>12.02769230769232</v>
      </c>
      <c r="F12" s="127">
        <v>0.95</v>
      </c>
      <c r="G12" s="119">
        <f t="shared" si="0"/>
        <v>60.138461538461598</v>
      </c>
      <c r="H12" s="120">
        <f t="shared" si="1"/>
        <v>57.131538461538518</v>
      </c>
      <c r="I12" s="81">
        <f>VLOOKUP(B12,All_Ingredients!$A$1:$F$151,6,FALSE())</f>
        <v>1</v>
      </c>
      <c r="J12" s="119">
        <f>VLOOKUP(B12,All_Ingredients!$A$1:$J$151,10,FALSE())</f>
        <v>15</v>
      </c>
      <c r="K12" s="122">
        <f t="shared" si="8"/>
        <v>5.7131538461538518E-2</v>
      </c>
      <c r="L12" s="122">
        <f t="shared" si="9"/>
        <v>0.85697307692307778</v>
      </c>
      <c r="AJ12" s="374" t="s">
        <v>815</v>
      </c>
      <c r="AK12" s="334" t="s">
        <v>14</v>
      </c>
      <c r="AL12" s="125">
        <v>5</v>
      </c>
      <c r="AM12" s="376">
        <f t="shared" si="4"/>
        <v>6.7953063885267255</v>
      </c>
      <c r="AN12" s="377">
        <v>1</v>
      </c>
      <c r="AO12" s="378">
        <f t="shared" si="5"/>
        <v>33.976531942633628</v>
      </c>
      <c r="AP12" s="379">
        <f t="shared" si="6"/>
        <v>33.976531942633628</v>
      </c>
      <c r="AQ12" s="1145">
        <f>VLOOKUP(AJ12,Marination_Ordering!$A:$J,6,FALSE)</f>
        <v>1</v>
      </c>
      <c r="AR12" s="1145">
        <f>VLOOKUP(AJ12,Marination_Ordering!$A:$J,10,FALSE)</f>
        <v>22.5</v>
      </c>
      <c r="AS12" s="556">
        <f t="shared" si="10"/>
        <v>33.976531942633628</v>
      </c>
      <c r="AT12" s="1145">
        <f t="shared" si="11"/>
        <v>0.7644719687092566</v>
      </c>
    </row>
    <row r="13" spans="1:46" ht="14.25" customHeight="1" x14ac:dyDescent="0.3">
      <c r="A13" s="380" t="s">
        <v>97</v>
      </c>
      <c r="B13" s="267" t="s">
        <v>117</v>
      </c>
      <c r="C13" s="124" t="s">
        <v>14</v>
      </c>
      <c r="D13" s="125">
        <v>3</v>
      </c>
      <c r="E13" s="197">
        <f t="shared" si="7"/>
        <v>12.02769230769232</v>
      </c>
      <c r="F13" s="127">
        <v>0.6</v>
      </c>
      <c r="G13" s="119">
        <f t="shared" si="0"/>
        <v>36.083076923076959</v>
      </c>
      <c r="H13" s="120">
        <f t="shared" si="1"/>
        <v>21.649846153846173</v>
      </c>
      <c r="I13" s="81">
        <f>VLOOKUP(B13,All_Ingredients!$A$1:$F$151,6,FALSE())</f>
        <v>1</v>
      </c>
      <c r="J13" s="119">
        <f>VLOOKUP(B13,All_Ingredients!$A$1:$J$151,10,FALSE())</f>
        <v>20</v>
      </c>
      <c r="K13" s="122">
        <f t="shared" si="8"/>
        <v>2.1649846153846172E-2</v>
      </c>
      <c r="L13" s="122">
        <f t="shared" si="9"/>
        <v>0.43299692307692345</v>
      </c>
    </row>
    <row r="14" spans="1:46" ht="14.25" customHeight="1" x14ac:dyDescent="0.3">
      <c r="A14" s="380" t="s">
        <v>158</v>
      </c>
      <c r="B14" s="267" t="s">
        <v>171</v>
      </c>
      <c r="C14" s="124" t="s">
        <v>165</v>
      </c>
      <c r="D14" s="125">
        <v>500</v>
      </c>
      <c r="E14" s="197">
        <f t="shared" si="7"/>
        <v>12.02769230769232</v>
      </c>
      <c r="F14" s="127">
        <v>1</v>
      </c>
      <c r="G14" s="119">
        <f t="shared" si="0"/>
        <v>6013.8461538461597</v>
      </c>
      <c r="H14" s="120">
        <f t="shared" si="1"/>
        <v>6013.8461538461597</v>
      </c>
      <c r="I14" s="81">
        <f>VLOOKUP(B14,All_Ingredients!$A$1:$F$151,6,FALSE())</f>
        <v>1</v>
      </c>
      <c r="J14" s="119">
        <f>VLOOKUP(B14,All_Ingredients!$A$1:$J$151,10,FALSE())</f>
        <v>12.666666666666666</v>
      </c>
      <c r="K14" s="122">
        <f t="shared" si="8"/>
        <v>6.0138461538461598</v>
      </c>
      <c r="L14" s="122">
        <f t="shared" si="9"/>
        <v>76.175384615384687</v>
      </c>
    </row>
    <row r="15" spans="1:46" ht="14.25" customHeight="1" x14ac:dyDescent="0.3">
      <c r="A15" s="380" t="s">
        <v>220</v>
      </c>
      <c r="B15" s="267" t="s">
        <v>815</v>
      </c>
      <c r="C15" s="124" t="s">
        <v>14</v>
      </c>
      <c r="D15" s="125">
        <v>3</v>
      </c>
      <c r="E15" s="197">
        <f t="shared" si="7"/>
        <v>12.02769230769232</v>
      </c>
      <c r="F15" s="127">
        <v>1</v>
      </c>
      <c r="G15" s="119">
        <f t="shared" si="0"/>
        <v>36.083076923076959</v>
      </c>
      <c r="H15" s="120">
        <f t="shared" si="1"/>
        <v>36.083076923076959</v>
      </c>
      <c r="I15" s="81">
        <f>VLOOKUP(B15,All_Ingredients!$A$1:$F$151,6,FALSE())</f>
        <v>1</v>
      </c>
      <c r="J15" s="119">
        <f>VLOOKUP(B15,All_Ingredients!$A$1:$J$151,10,FALSE())</f>
        <v>22.5</v>
      </c>
      <c r="K15" s="122">
        <f t="shared" si="8"/>
        <v>3.6083076923076961E-2</v>
      </c>
      <c r="L15" s="122">
        <f t="shared" si="9"/>
        <v>0.81186923076923156</v>
      </c>
    </row>
    <row r="16" spans="1:46" ht="14.25" customHeight="1" x14ac:dyDescent="0.3">
      <c r="A16" s="380" t="s">
        <v>97</v>
      </c>
      <c r="B16" s="267" t="s">
        <v>96</v>
      </c>
      <c r="C16" s="124" t="s">
        <v>14</v>
      </c>
      <c r="D16" s="125">
        <v>6</v>
      </c>
      <c r="E16" s="197">
        <f t="shared" si="7"/>
        <v>12.02769230769232</v>
      </c>
      <c r="F16" s="127">
        <v>0.75</v>
      </c>
      <c r="G16" s="119">
        <f t="shared" si="0"/>
        <v>72.166153846153918</v>
      </c>
      <c r="H16" s="120">
        <f t="shared" si="1"/>
        <v>54.124615384615439</v>
      </c>
      <c r="I16" s="81">
        <f>VLOOKUP(B16,All_Ingredients!$A$1:$F$151,6,FALSE())</f>
        <v>1</v>
      </c>
      <c r="J16" s="119">
        <f>VLOOKUP(B16,All_Ingredients!$A$1:$J$151,10,FALSE())</f>
        <v>0.74</v>
      </c>
      <c r="K16" s="122">
        <f t="shared" si="8"/>
        <v>5.4124615384615438E-2</v>
      </c>
      <c r="L16" s="122">
        <f t="shared" si="9"/>
        <v>4.0052215384615425E-2</v>
      </c>
    </row>
    <row r="17" spans="1:42" ht="14.25" customHeight="1" x14ac:dyDescent="0.3">
      <c r="A17" s="380" t="s">
        <v>83</v>
      </c>
      <c r="B17" s="267" t="s">
        <v>85</v>
      </c>
      <c r="C17" s="124" t="s">
        <v>14</v>
      </c>
      <c r="D17" s="125">
        <v>1</v>
      </c>
      <c r="E17" s="197">
        <f t="shared" si="7"/>
        <v>12.02769230769232</v>
      </c>
      <c r="F17" s="127">
        <v>0.75</v>
      </c>
      <c r="G17" s="119">
        <f t="shared" si="0"/>
        <v>12.02769230769232</v>
      </c>
      <c r="H17" s="120">
        <f t="shared" si="1"/>
        <v>9.0207692307692398</v>
      </c>
      <c r="I17" s="81">
        <f>VLOOKUP(B17,All_Ingredients!$A$1:$F$151,6,FALSE())</f>
        <v>1</v>
      </c>
      <c r="J17" s="119">
        <f>VLOOKUP(B17,All_Ingredients!$A$1:$J$151,10,FALSE())</f>
        <v>147.88732394366198</v>
      </c>
      <c r="K17" s="122">
        <f t="shared" si="8"/>
        <v>9.0207692307692402E-3</v>
      </c>
      <c r="L17" s="122">
        <f t="shared" si="9"/>
        <v>1.3340574214517891</v>
      </c>
    </row>
    <row r="18" spans="1:42" ht="15.75" customHeight="1" x14ac:dyDescent="0.35">
      <c r="A18" s="380" t="s">
        <v>97</v>
      </c>
      <c r="B18" s="267" t="s">
        <v>144</v>
      </c>
      <c r="C18" s="124" t="s">
        <v>14</v>
      </c>
      <c r="D18" s="125">
        <v>7</v>
      </c>
      <c r="E18" s="197">
        <f t="shared" si="7"/>
        <v>12.02769230769232</v>
      </c>
      <c r="F18" s="127">
        <v>0.75</v>
      </c>
      <c r="G18" s="119">
        <f t="shared" si="0"/>
        <v>84.193846153846238</v>
      </c>
      <c r="H18" s="120">
        <f t="shared" si="1"/>
        <v>63.145384615384678</v>
      </c>
      <c r="I18" s="81">
        <f>VLOOKUP(B18,All_Ingredients!$A$1:$F$151,6,FALSE())</f>
        <v>1</v>
      </c>
      <c r="J18" s="119">
        <f>VLOOKUP(B18,All_Ingredients!$A$1:$J$151,10,FALSE())</f>
        <v>15.277777777777779</v>
      </c>
      <c r="K18" s="122">
        <f t="shared" si="8"/>
        <v>6.3145384615384673E-2</v>
      </c>
      <c r="L18" s="122">
        <f t="shared" si="9"/>
        <v>0.96472115384615476</v>
      </c>
      <c r="M18" s="381"/>
      <c r="N18" s="381"/>
    </row>
    <row r="19" spans="1:42" ht="15.75" customHeight="1" x14ac:dyDescent="0.35">
      <c r="A19" s="380" t="s">
        <v>13</v>
      </c>
      <c r="B19" s="267" t="s">
        <v>793</v>
      </c>
      <c r="C19" s="124" t="s">
        <v>14</v>
      </c>
      <c r="D19" s="125">
        <v>50</v>
      </c>
      <c r="E19" s="197">
        <f t="shared" si="7"/>
        <v>12.02769230769232</v>
      </c>
      <c r="F19" s="127">
        <v>1</v>
      </c>
      <c r="G19" s="119">
        <f t="shared" si="0"/>
        <v>601.38461538461593</v>
      </c>
      <c r="H19" s="120">
        <f t="shared" si="1"/>
        <v>601.38461538461593</v>
      </c>
      <c r="I19" s="81">
        <f>VLOOKUP(B19,All_Ingredients!$A$1:$F$151,6,FALSE())</f>
        <v>1</v>
      </c>
      <c r="J19" s="119">
        <f>VLOOKUP(B19,All_Ingredients!$A$1:$J$151,10,FALSE())</f>
        <v>40.74074074074074</v>
      </c>
      <c r="K19" s="122">
        <f t="shared" si="8"/>
        <v>0.60138461538461596</v>
      </c>
      <c r="L19" s="122">
        <f t="shared" si="9"/>
        <v>24.500854700854724</v>
      </c>
      <c r="M19" s="382"/>
      <c r="N19" s="382"/>
      <c r="AJ19" s="132"/>
      <c r="AK19" s="132"/>
      <c r="AL19" s="132"/>
      <c r="AM19" s="132"/>
      <c r="AN19" s="132"/>
      <c r="AO19" s="132"/>
      <c r="AP19" s="132"/>
    </row>
    <row r="20" spans="1:42" ht="15.75" customHeight="1" x14ac:dyDescent="0.35">
      <c r="A20" s="380" t="s">
        <v>97</v>
      </c>
      <c r="B20" s="383" t="s">
        <v>122</v>
      </c>
      <c r="C20" s="124" t="s">
        <v>14</v>
      </c>
      <c r="D20" s="125">
        <v>2</v>
      </c>
      <c r="E20" s="197">
        <f t="shared" si="7"/>
        <v>12.02769230769232</v>
      </c>
      <c r="F20" s="127">
        <v>1</v>
      </c>
      <c r="G20" s="119">
        <f t="shared" si="0"/>
        <v>24.055384615384639</v>
      </c>
      <c r="H20" s="120">
        <f t="shared" si="1"/>
        <v>24.055384615384639</v>
      </c>
      <c r="I20" s="81">
        <f>VLOOKUP(B20,All_Ingredients!$A$1:$F$151,6,FALSE())</f>
        <v>1</v>
      </c>
      <c r="J20" s="119">
        <f>VLOOKUP(B20,All_Ingredients!$A$1:$J$151,10,FALSE())</f>
        <v>15</v>
      </c>
      <c r="K20" s="122">
        <f t="shared" si="8"/>
        <v>2.4055384615384638E-2</v>
      </c>
      <c r="L20" s="122">
        <f t="shared" si="9"/>
        <v>0.36083076923076957</v>
      </c>
      <c r="M20" s="382"/>
      <c r="N20" s="382"/>
      <c r="S20"/>
      <c r="AJ20" s="132"/>
      <c r="AK20" s="132"/>
      <c r="AL20" s="132"/>
      <c r="AM20" s="132"/>
      <c r="AN20" s="132"/>
      <c r="AO20" s="132"/>
      <c r="AP20" s="132"/>
    </row>
    <row r="21" spans="1:42" ht="15.75" customHeight="1" x14ac:dyDescent="0.35">
      <c r="A21" s="380" t="s">
        <v>158</v>
      </c>
      <c r="B21" s="267" t="s">
        <v>164</v>
      </c>
      <c r="C21" s="124" t="s">
        <v>165</v>
      </c>
      <c r="D21" s="125">
        <v>100</v>
      </c>
      <c r="E21" s="197">
        <f t="shared" si="7"/>
        <v>12.02769230769232</v>
      </c>
      <c r="F21" s="127">
        <v>1</v>
      </c>
      <c r="G21" s="119">
        <f t="shared" si="0"/>
        <v>1202.7692307692319</v>
      </c>
      <c r="H21" s="120">
        <f t="shared" si="1"/>
        <v>1202.7692307692319</v>
      </c>
      <c r="I21" s="81">
        <f>VLOOKUP(B21,All_Ingredients!$A$1:$F$151,6,FALSE())</f>
        <v>1</v>
      </c>
      <c r="J21" s="119">
        <f>VLOOKUP(B21,All_Ingredients!$A$1:$J$151,10,FALSE())</f>
        <v>4.2033333333333331</v>
      </c>
      <c r="K21" s="122">
        <f t="shared" si="8"/>
        <v>1.2027692307692319</v>
      </c>
      <c r="L21" s="122">
        <f t="shared" si="9"/>
        <v>5.0556400000000048</v>
      </c>
      <c r="M21" s="382"/>
      <c r="N21" s="382"/>
      <c r="AM21" s="132"/>
      <c r="AN21" s="132"/>
      <c r="AO21" s="132"/>
      <c r="AP21" s="132"/>
    </row>
    <row r="22" spans="1:42" ht="15.75" customHeight="1" x14ac:dyDescent="0.35">
      <c r="A22" s="380" t="s">
        <v>13</v>
      </c>
      <c r="B22" s="267" t="s">
        <v>34</v>
      </c>
      <c r="C22" s="124" t="s">
        <v>14</v>
      </c>
      <c r="D22" s="125">
        <v>2</v>
      </c>
      <c r="E22" s="197">
        <f t="shared" si="7"/>
        <v>12.02769230769232</v>
      </c>
      <c r="F22" s="127">
        <v>0.75</v>
      </c>
      <c r="G22" s="119">
        <f t="shared" si="0"/>
        <v>24.055384615384639</v>
      </c>
      <c r="H22" s="120">
        <f t="shared" si="1"/>
        <v>18.04153846153848</v>
      </c>
      <c r="I22" s="81">
        <f>VLOOKUP(B22,All_Ingredients!$A$1:$F$151,6,FALSE())</f>
        <v>0.86</v>
      </c>
      <c r="J22" s="119">
        <f>VLOOKUP(B22,All_Ingredients!$A$1:$J$151,10,FALSE())</f>
        <v>14</v>
      </c>
      <c r="K22" s="122">
        <f t="shared" si="8"/>
        <v>2.0978533094812186E-2</v>
      </c>
      <c r="L22" s="122">
        <f t="shared" si="9"/>
        <v>0.29369946332737062</v>
      </c>
      <c r="M22" s="382"/>
      <c r="N22" s="382"/>
      <c r="AM22" s="132"/>
      <c r="AN22" s="132"/>
      <c r="AO22" s="132"/>
      <c r="AP22" s="132"/>
    </row>
    <row r="23" spans="1:42" s="132" customFormat="1" ht="14.25" customHeight="1" x14ac:dyDescent="0.3">
      <c r="A23" s="380" t="s">
        <v>13</v>
      </c>
      <c r="B23" s="384" t="s">
        <v>32</v>
      </c>
      <c r="C23" s="124" t="s">
        <v>14</v>
      </c>
      <c r="D23" s="125">
        <v>50</v>
      </c>
      <c r="E23" s="197">
        <f t="shared" si="7"/>
        <v>12.02769230769232</v>
      </c>
      <c r="F23" s="127">
        <v>1.75</v>
      </c>
      <c r="G23" s="119">
        <f t="shared" si="0"/>
        <v>601.38461538461593</v>
      </c>
      <c r="H23" s="120">
        <f t="shared" si="1"/>
        <v>1052.4230769230778</v>
      </c>
      <c r="I23" s="81">
        <f>VLOOKUP(B23,All_Ingredients!$A$1:$F$151,6,FALSE())</f>
        <v>0.96</v>
      </c>
      <c r="J23" s="119">
        <f>VLOOKUP(B23,All_Ingredients!$A$1:$J$151,10,FALSE())</f>
        <v>4</v>
      </c>
      <c r="K23" s="122">
        <f t="shared" si="8"/>
        <v>1.0962740384615395</v>
      </c>
      <c r="L23" s="122">
        <f t="shared" si="9"/>
        <v>4.3850961538461579</v>
      </c>
      <c r="M23" s="92"/>
      <c r="N23" s="92"/>
      <c r="AJ23" s="14"/>
      <c r="AK23" s="14"/>
      <c r="AL23" s="14"/>
      <c r="AM23" s="14"/>
      <c r="AN23" s="14"/>
      <c r="AO23" s="14"/>
      <c r="AP23" s="14"/>
    </row>
    <row r="24" spans="1:42" s="132" customFormat="1" ht="14.25" customHeight="1" x14ac:dyDescent="0.3">
      <c r="A24" s="380" t="s">
        <v>13</v>
      </c>
      <c r="B24" s="267" t="s">
        <v>28</v>
      </c>
      <c r="C24" s="124" t="s">
        <v>14</v>
      </c>
      <c r="D24" s="125">
        <v>50</v>
      </c>
      <c r="E24" s="197">
        <f t="shared" si="7"/>
        <v>12.02769230769232</v>
      </c>
      <c r="F24" s="127">
        <v>0.75</v>
      </c>
      <c r="G24" s="119">
        <f t="shared" si="0"/>
        <v>601.38461538461593</v>
      </c>
      <c r="H24" s="120">
        <f t="shared" si="1"/>
        <v>451.03846153846195</v>
      </c>
      <c r="I24" s="81">
        <f>VLOOKUP(B24,All_Ingredients!$A$1:$F$151,6,FALSE())</f>
        <v>0.56999999999999995</v>
      </c>
      <c r="J24" s="119">
        <f>VLOOKUP(B24,All_Ingredients!$A$1:$J$151,10,FALSE())</f>
        <v>8.5</v>
      </c>
      <c r="K24" s="122">
        <f t="shared" si="8"/>
        <v>0.79129554655870527</v>
      </c>
      <c r="L24" s="122">
        <f t="shared" si="9"/>
        <v>6.726012145748995</v>
      </c>
      <c r="M24" s="131"/>
      <c r="N24" s="131"/>
      <c r="O24" s="92"/>
      <c r="P24" s="92"/>
      <c r="Z24" s="1297"/>
      <c r="AJ24" s="14"/>
      <c r="AK24" s="14"/>
      <c r="AL24" s="14"/>
      <c r="AM24" s="14"/>
      <c r="AN24" s="14"/>
      <c r="AO24" s="14"/>
      <c r="AP24" s="14"/>
    </row>
    <row r="25" spans="1:42" s="132" customFormat="1" ht="14.25" customHeight="1" x14ac:dyDescent="0.35">
      <c r="A25" s="385" t="s">
        <v>13</v>
      </c>
      <c r="B25" s="267" t="s">
        <v>30</v>
      </c>
      <c r="C25" s="124" t="s">
        <v>14</v>
      </c>
      <c r="D25" s="123">
        <v>50</v>
      </c>
      <c r="E25" s="197">
        <f t="shared" si="7"/>
        <v>12.02769230769232</v>
      </c>
      <c r="F25" s="127">
        <v>1</v>
      </c>
      <c r="G25" s="119">
        <f t="shared" si="0"/>
        <v>601.38461538461593</v>
      </c>
      <c r="H25" s="120">
        <f t="shared" si="1"/>
        <v>601.38461538461593</v>
      </c>
      <c r="I25" s="81">
        <f>VLOOKUP(B25,All_Ingredients!$A$1:$F$151,6,FALSE())</f>
        <v>0.56999999999999995</v>
      </c>
      <c r="J25" s="119">
        <f>VLOOKUP(B25,All_Ingredients!$A$1:$J$151,10,FALSE())</f>
        <v>8.5</v>
      </c>
      <c r="K25" s="122">
        <f t="shared" si="8"/>
        <v>1.0550607287449403</v>
      </c>
      <c r="L25" s="122">
        <f t="shared" si="9"/>
        <v>8.9680161943319927</v>
      </c>
      <c r="M25" s="131"/>
      <c r="N25" s="131"/>
      <c r="O25" s="92"/>
      <c r="P25" s="92"/>
      <c r="R25" s="1411" t="s">
        <v>363</v>
      </c>
      <c r="S25" s="1388"/>
      <c r="T25" s="1388"/>
      <c r="U25" s="1388"/>
      <c r="V25" s="1206"/>
      <c r="W25" s="1221"/>
      <c r="Z25" s="141" t="s">
        <v>264</v>
      </c>
      <c r="AA25" s="142">
        <v>52390</v>
      </c>
      <c r="AB25" s="141" t="s">
        <v>261</v>
      </c>
      <c r="AC25" s="143">
        <f>(AA25*AF30)+(AA30*(AB28/R1))</f>
        <v>1562.852686990509</v>
      </c>
      <c r="AD25" s="14"/>
      <c r="AJ25" s="14"/>
      <c r="AK25" s="14"/>
      <c r="AL25" s="14"/>
      <c r="AM25" s="14"/>
      <c r="AN25" s="14"/>
      <c r="AO25" s="14"/>
      <c r="AP25" s="14"/>
    </row>
    <row r="26" spans="1:42" s="132" customFormat="1" ht="14.25" customHeight="1" x14ac:dyDescent="0.3">
      <c r="A26" s="385" t="s">
        <v>97</v>
      </c>
      <c r="B26" s="222" t="s">
        <v>124</v>
      </c>
      <c r="C26" s="124" t="s">
        <v>14</v>
      </c>
      <c r="D26" s="123">
        <v>1</v>
      </c>
      <c r="E26" s="197">
        <f t="shared" si="7"/>
        <v>12.02769230769232</v>
      </c>
      <c r="F26" s="127">
        <v>0.75</v>
      </c>
      <c r="G26" s="119">
        <f t="shared" si="0"/>
        <v>12.02769230769232</v>
      </c>
      <c r="H26" s="120">
        <f t="shared" si="1"/>
        <v>9.0207692307692398</v>
      </c>
      <c r="I26" s="81">
        <f>VLOOKUP(B26,All_Ingredients!$A$1:$F$151,6,FALSE())</f>
        <v>1</v>
      </c>
      <c r="J26" s="119">
        <f>VLOOKUP(B26,All_Ingredients!$A$1:$J$151,10,FALSE())</f>
        <v>15</v>
      </c>
      <c r="K26" s="122">
        <f t="shared" si="8"/>
        <v>9.0207692307692402E-3</v>
      </c>
      <c r="L26" s="122">
        <f t="shared" si="9"/>
        <v>0.13531153846153859</v>
      </c>
      <c r="M26" s="131"/>
      <c r="N26" s="131"/>
      <c r="O26" s="92"/>
      <c r="P26" s="92"/>
      <c r="R26" s="1423" t="s">
        <v>309</v>
      </c>
      <c r="S26" s="1388"/>
      <c r="T26" s="1388"/>
      <c r="U26" s="1388"/>
      <c r="V26" s="1206"/>
      <c r="W26" s="1221"/>
      <c r="Z26" s="14"/>
      <c r="AA26" s="14"/>
      <c r="AB26" s="14"/>
      <c r="AC26" s="14"/>
      <c r="AD26" s="14"/>
      <c r="AJ26" s="14"/>
      <c r="AK26" s="14"/>
      <c r="AL26" s="14"/>
      <c r="AM26" s="14"/>
      <c r="AN26" s="14"/>
      <c r="AO26" s="14"/>
      <c r="AP26" s="14"/>
    </row>
    <row r="27" spans="1:42" ht="15" customHeight="1" thickBot="1" x14ac:dyDescent="0.4">
      <c r="A27" s="385" t="s">
        <v>97</v>
      </c>
      <c r="B27" s="222" t="s">
        <v>128</v>
      </c>
      <c r="C27" s="124" t="s">
        <v>14</v>
      </c>
      <c r="D27" s="123">
        <v>1</v>
      </c>
      <c r="E27" s="197">
        <f t="shared" si="7"/>
        <v>12.02769230769232</v>
      </c>
      <c r="F27" s="127">
        <v>0.75</v>
      </c>
      <c r="G27" s="119">
        <f t="shared" si="0"/>
        <v>12.02769230769232</v>
      </c>
      <c r="H27" s="120">
        <f t="shared" si="1"/>
        <v>9.0207692307692398</v>
      </c>
      <c r="I27" s="81">
        <f>VLOOKUP(B27,All_Ingredients!$A$1:$F$151,6,FALSE())</f>
        <v>1</v>
      </c>
      <c r="J27" s="119">
        <f>VLOOKUP(B27,All_Ingredients!$A$1:$J$151,10,FALSE())</f>
        <v>37</v>
      </c>
      <c r="K27" s="122">
        <f t="shared" si="8"/>
        <v>9.0207692307692402E-3</v>
      </c>
      <c r="L27" s="122">
        <f t="shared" si="9"/>
        <v>0.3337684615384619</v>
      </c>
      <c r="M27" s="131"/>
      <c r="N27" s="131"/>
      <c r="O27" s="382"/>
      <c r="P27" s="382"/>
      <c r="R27" s="145" t="s">
        <v>266</v>
      </c>
      <c r="S27" s="146" t="s">
        <v>267</v>
      </c>
      <c r="T27" s="146" t="s">
        <v>268</v>
      </c>
      <c r="U27" s="146" t="s">
        <v>274</v>
      </c>
      <c r="V27" s="146" t="s">
        <v>839</v>
      </c>
      <c r="W27" s="146" t="s">
        <v>848</v>
      </c>
      <c r="Z27" s="141" t="s">
        <v>270</v>
      </c>
      <c r="AA27" s="1185" t="s">
        <v>324</v>
      </c>
      <c r="AB27" s="147" t="s">
        <v>271</v>
      </c>
      <c r="AC27" s="147" t="s">
        <v>272</v>
      </c>
      <c r="AD27" s="147" t="s">
        <v>273</v>
      </c>
      <c r="AE27" s="1186" t="s">
        <v>848</v>
      </c>
      <c r="AF27" s="147" t="s">
        <v>274</v>
      </c>
    </row>
    <row r="28" spans="1:42" ht="15" customHeight="1" thickBot="1" x14ac:dyDescent="0.4">
      <c r="A28" s="385" t="s">
        <v>97</v>
      </c>
      <c r="B28" s="256" t="s">
        <v>100</v>
      </c>
      <c r="C28" s="124" t="s">
        <v>14</v>
      </c>
      <c r="D28" s="123">
        <v>1</v>
      </c>
      <c r="E28" s="197">
        <f t="shared" si="7"/>
        <v>12.02769230769232</v>
      </c>
      <c r="F28" s="127">
        <v>0.75</v>
      </c>
      <c r="G28" s="119">
        <f t="shared" si="0"/>
        <v>12.02769230769232</v>
      </c>
      <c r="H28" s="120">
        <f t="shared" si="1"/>
        <v>9.0207692307692398</v>
      </c>
      <c r="I28" s="81">
        <f>VLOOKUP(B28,All_Ingredients!$A$1:$F$151,6,FALSE())</f>
        <v>1</v>
      </c>
      <c r="J28" s="119">
        <f>VLOOKUP(B28,All_Ingredients!$A$1:$J$151,10,FALSE())</f>
        <v>38</v>
      </c>
      <c r="K28" s="122">
        <f t="shared" si="8"/>
        <v>9.0207692307692402E-3</v>
      </c>
      <c r="L28" s="122">
        <f t="shared" si="9"/>
        <v>0.34278923076923112</v>
      </c>
      <c r="M28" s="131"/>
      <c r="N28" s="131"/>
      <c r="O28" s="382"/>
      <c r="P28" s="382"/>
      <c r="R28" s="148" t="s">
        <v>275</v>
      </c>
      <c r="S28" s="149">
        <f>U28*S40</f>
        <v>40092.307692307681</v>
      </c>
      <c r="T28" s="149">
        <f>U28*U40</f>
        <v>12027.692307692319</v>
      </c>
      <c r="U28" s="150">
        <f>$Z$1</f>
        <v>52120</v>
      </c>
      <c r="V28" s="149">
        <f>SUM(AP5:AP13)</f>
        <v>3567.5358539765316</v>
      </c>
      <c r="W28" s="1223">
        <f>H37</f>
        <v>24.500000000000004</v>
      </c>
      <c r="Z28" s="151"/>
      <c r="AA28" s="1188"/>
      <c r="AB28" s="152">
        <f>AA25*$S$40</f>
        <v>40299.999999999993</v>
      </c>
      <c r="AC28" s="152">
        <f>AA25-AB28</f>
        <v>12090.000000000007</v>
      </c>
      <c r="AD28" s="153"/>
      <c r="AE28" s="1188"/>
      <c r="AF28" s="154">
        <f>SUM(AB28:AD28)</f>
        <v>52390</v>
      </c>
    </row>
    <row r="29" spans="1:42" ht="14.25" customHeight="1" thickBot="1" x14ac:dyDescent="0.35">
      <c r="A29" s="380" t="s">
        <v>97</v>
      </c>
      <c r="B29" s="256" t="s">
        <v>130</v>
      </c>
      <c r="C29" s="124" t="s">
        <v>14</v>
      </c>
      <c r="D29" s="123">
        <v>1</v>
      </c>
      <c r="E29" s="197">
        <f t="shared" si="7"/>
        <v>12.02769230769232</v>
      </c>
      <c r="F29" s="127">
        <v>0.75</v>
      </c>
      <c r="G29" s="119">
        <f t="shared" si="0"/>
        <v>12.02769230769232</v>
      </c>
      <c r="H29" s="120">
        <f t="shared" si="1"/>
        <v>9.0207692307692398</v>
      </c>
      <c r="I29" s="81">
        <f>VLOOKUP(B29,All_Ingredients!$A$1:$F$151,6,FALSE())</f>
        <v>1</v>
      </c>
      <c r="J29" s="119">
        <f>VLOOKUP(B29,All_Ingredients!$A$1:$J$151,10,FALSE())</f>
        <v>125</v>
      </c>
      <c r="K29" s="122">
        <f t="shared" si="8"/>
        <v>9.0207692307692402E-3</v>
      </c>
      <c r="L29" s="122">
        <f t="shared" si="9"/>
        <v>1.127596153846155</v>
      </c>
      <c r="M29" s="131"/>
      <c r="N29" s="131"/>
      <c r="R29" s="148" t="s">
        <v>276</v>
      </c>
      <c r="S29" s="155"/>
      <c r="T29" s="149"/>
      <c r="U29" s="149">
        <f>T29</f>
        <v>0</v>
      </c>
      <c r="V29" s="149"/>
      <c r="W29" s="149"/>
      <c r="Z29" s="151"/>
      <c r="AA29" s="1192"/>
      <c r="AB29" s="156">
        <f>AB28/$AF$28</f>
        <v>0.76923076923076905</v>
      </c>
      <c r="AC29" s="156">
        <f>AC28/$AF$28</f>
        <v>0.23076923076923092</v>
      </c>
      <c r="AD29" s="156"/>
      <c r="AE29" s="1192"/>
      <c r="AF29" s="156">
        <f>AF28/$AF$28</f>
        <v>1</v>
      </c>
    </row>
    <row r="30" spans="1:42" ht="14.25" customHeight="1" thickBot="1" x14ac:dyDescent="0.35">
      <c r="R30" s="148" t="s">
        <v>277</v>
      </c>
      <c r="S30" s="1228">
        <f>U30*S40</f>
        <v>0</v>
      </c>
      <c r="T30" s="1228">
        <f>U30*U40</f>
        <v>0</v>
      </c>
      <c r="U30" s="150">
        <f>$AB$1</f>
        <v>0</v>
      </c>
      <c r="V30" s="1143"/>
      <c r="W30" s="1143"/>
      <c r="Z30" s="141" t="s">
        <v>278</v>
      </c>
      <c r="AA30" s="1196">
        <f>V35/(S32/R1)</f>
        <v>3.1802323081702393E-4</v>
      </c>
      <c r="AB30" s="157">
        <f>S35/(S28)</f>
        <v>3.3701221915648415E-2</v>
      </c>
      <c r="AC30" s="158">
        <f>T35/T32</f>
        <v>1.4993043799497728E-2</v>
      </c>
      <c r="AD30" s="158"/>
      <c r="AE30" s="1224">
        <f>W35/U32</f>
        <v>3.2543243402798273E-5</v>
      </c>
      <c r="AF30" s="1201">
        <f>SUMPRODUCT(AB30:AD30,AB29:AD29)+AE30</f>
        <v>2.9416493286093356E-2</v>
      </c>
    </row>
    <row r="31" spans="1:42" ht="14.25" customHeight="1" thickBot="1" x14ac:dyDescent="0.35">
      <c r="B31" s="132"/>
      <c r="C31" s="133"/>
      <c r="D31" s="254"/>
      <c r="E31" s="296"/>
      <c r="F31" s="136"/>
      <c r="H31" s="138"/>
      <c r="I31" s="92"/>
      <c r="J31" s="139"/>
      <c r="R31" s="148" t="s">
        <v>279</v>
      </c>
      <c r="S31" s="155"/>
      <c r="T31" s="149"/>
      <c r="U31" s="149"/>
      <c r="V31" s="149"/>
      <c r="W31" s="149"/>
    </row>
    <row r="32" spans="1:42" ht="14.25" customHeight="1" thickBot="1" x14ac:dyDescent="0.35">
      <c r="B32" s="100"/>
      <c r="C32" s="171"/>
      <c r="D32" s="171"/>
      <c r="E32" s="100"/>
      <c r="F32" s="100"/>
      <c r="G32" s="171"/>
      <c r="R32" s="160" t="s">
        <v>269</v>
      </c>
      <c r="S32" s="149">
        <f>SUM(S28:S30)</f>
        <v>40092.307692307681</v>
      </c>
      <c r="T32" s="149">
        <f>SUM(T28:T30)</f>
        <v>12027.692307692319</v>
      </c>
      <c r="U32" s="149">
        <f>SUM(U28:U30)</f>
        <v>52120</v>
      </c>
      <c r="V32" s="149">
        <f>SUM(V28:V30)</f>
        <v>3567.5358539765316</v>
      </c>
      <c r="W32" s="1222">
        <f>SUM(W28:W30)</f>
        <v>24.500000000000004</v>
      </c>
    </row>
    <row r="33" spans="2:23" ht="14.25" customHeight="1" thickBot="1" x14ac:dyDescent="0.35">
      <c r="R33" s="161" t="s">
        <v>280</v>
      </c>
      <c r="S33" s="155"/>
      <c r="T33" s="155"/>
      <c r="U33" s="155"/>
      <c r="V33" s="155"/>
      <c r="W33" s="155"/>
    </row>
    <row r="34" spans="2:23" ht="14.25" customHeight="1" thickBot="1" x14ac:dyDescent="0.35">
      <c r="R34" s="162" t="s">
        <v>281</v>
      </c>
      <c r="S34" s="155"/>
      <c r="T34" s="149"/>
      <c r="U34" s="155"/>
      <c r="V34" s="155"/>
      <c r="W34" s="155"/>
    </row>
    <row r="35" spans="2:23" ht="14.25" customHeight="1" thickBot="1" x14ac:dyDescent="0.35">
      <c r="B35" s="1394" t="s">
        <v>685</v>
      </c>
      <c r="C35" s="1394"/>
      <c r="D35" s="1394"/>
      <c r="E35" s="1394"/>
      <c r="F35" s="1394"/>
      <c r="G35" s="889"/>
      <c r="H35" s="889"/>
      <c r="I35" s="889"/>
      <c r="J35" s="889"/>
      <c r="K35" s="889"/>
      <c r="L35" s="889"/>
      <c r="R35" s="163" t="s">
        <v>261</v>
      </c>
      <c r="S35" s="164">
        <f>$L$5</f>
        <v>1351.159758648919</v>
      </c>
      <c r="T35" s="164">
        <f>SUM(L6:L29)</f>
        <v>180.33171757611285</v>
      </c>
      <c r="U35" s="1238">
        <f>S35+T35+V35+W35</f>
        <v>1554.7982829918942</v>
      </c>
      <c r="V35" s="1144">
        <f>SUM(AT6:AT13)</f>
        <v>21.610652920708322</v>
      </c>
      <c r="W35" s="1144">
        <f>L37</f>
        <v>1.6961538461538461</v>
      </c>
    </row>
    <row r="36" spans="2:23" ht="14.25" customHeight="1" x14ac:dyDescent="0.3">
      <c r="B36" s="860" t="s">
        <v>253</v>
      </c>
      <c r="C36" s="860" t="s">
        <v>329</v>
      </c>
      <c r="D36" s="862" t="s">
        <v>671</v>
      </c>
      <c r="E36" s="859" t="s">
        <v>672</v>
      </c>
      <c r="F36" s="862" t="s">
        <v>673</v>
      </c>
      <c r="G36" s="882"/>
      <c r="H36" s="862" t="s">
        <v>673</v>
      </c>
      <c r="I36" s="862" t="s">
        <v>258</v>
      </c>
      <c r="J36" s="862" t="s">
        <v>259</v>
      </c>
      <c r="K36" s="862" t="s">
        <v>260</v>
      </c>
      <c r="L36" s="862" t="s">
        <v>261</v>
      </c>
    </row>
    <row r="37" spans="2:23" ht="14.25" customHeight="1" x14ac:dyDescent="0.3">
      <c r="B37" s="855" t="s">
        <v>746</v>
      </c>
      <c r="C37" s="856" t="s">
        <v>14</v>
      </c>
      <c r="D37" s="857">
        <v>7.0000000000000007E-2</v>
      </c>
      <c r="E37" s="855">
        <f>$AD$1</f>
        <v>350</v>
      </c>
      <c r="F37" s="855">
        <f>D37*E37</f>
        <v>24.500000000000004</v>
      </c>
      <c r="G37"/>
      <c r="H37" s="855">
        <f>F37</f>
        <v>24.500000000000004</v>
      </c>
      <c r="I37" s="855">
        <f>VLOOKUP(B37,All_Ingredients!$A$1:$F$151,6,FALSE())</f>
        <v>0.65</v>
      </c>
      <c r="J37" s="855">
        <f>VLOOKUP(B37,All_Ingredients!$A$1:$J$151,10,FALSE())</f>
        <v>45</v>
      </c>
      <c r="K37" s="855">
        <f>(H37/I37)/1000</f>
        <v>3.7692307692307692E-2</v>
      </c>
      <c r="L37" s="855">
        <f t="shared" ref="L37" si="12">K37*J37</f>
        <v>1.6961538461538461</v>
      </c>
    </row>
    <row r="38" spans="2:23" ht="20.25" customHeight="1" x14ac:dyDescent="0.3"/>
    <row r="39" spans="2:23" ht="20.25" customHeight="1" x14ac:dyDescent="0.3">
      <c r="B39" s="100"/>
      <c r="E39" s="100"/>
      <c r="F39" s="100"/>
    </row>
    <row r="40" spans="2:23" ht="23.25" customHeight="1" x14ac:dyDescent="0.3">
      <c r="R40" s="165" t="s">
        <v>282</v>
      </c>
      <c r="S40" s="166">
        <v>0.76923076923076905</v>
      </c>
      <c r="T40" s="165" t="s">
        <v>283</v>
      </c>
      <c r="U40" s="167">
        <v>0.230769230769231</v>
      </c>
      <c r="V40" s="168">
        <f>S40+U40</f>
        <v>1</v>
      </c>
    </row>
    <row r="41" spans="2:23" ht="14.25" customHeight="1" x14ac:dyDescent="0.3">
      <c r="U41" s="169"/>
    </row>
    <row r="43" spans="2:23" ht="14.25" customHeight="1" x14ac:dyDescent="0.3">
      <c r="Q43" s="170" t="s">
        <v>284</v>
      </c>
      <c r="R43" s="170" t="s">
        <v>285</v>
      </c>
      <c r="S43" s="170" t="s">
        <v>286</v>
      </c>
      <c r="T43" s="170" t="s">
        <v>287</v>
      </c>
      <c r="U43" s="170" t="s">
        <v>288</v>
      </c>
      <c r="V43" s="170" t="s">
        <v>289</v>
      </c>
      <c r="W43" s="258" t="s">
        <v>290</v>
      </c>
    </row>
    <row r="44" spans="2:23" ht="14.25" customHeight="1" x14ac:dyDescent="0.3">
      <c r="Q44" s="172">
        <v>43334</v>
      </c>
      <c r="R44" s="173">
        <f>D51</f>
        <v>10000</v>
      </c>
      <c r="S44" s="174">
        <v>1</v>
      </c>
      <c r="T44" s="174">
        <v>0</v>
      </c>
      <c r="U44" s="242">
        <f>R44*S44</f>
        <v>10000</v>
      </c>
      <c r="V44" s="176">
        <f>R44*T44</f>
        <v>0</v>
      </c>
      <c r="W44" s="260">
        <f>Q44-U44</f>
        <v>33334</v>
      </c>
    </row>
    <row r="48" spans="2:23" ht="15.75" customHeight="1" x14ac:dyDescent="0.3"/>
    <row r="50" spans="1:10" x14ac:dyDescent="0.3">
      <c r="B50" s="145"/>
      <c r="C50" s="145" t="s">
        <v>245</v>
      </c>
      <c r="D50" s="145" t="s">
        <v>291</v>
      </c>
      <c r="E50" s="183"/>
      <c r="F50" s="100"/>
      <c r="G50" s="145" t="s">
        <v>292</v>
      </c>
      <c r="H50" s="145" t="s">
        <v>245</v>
      </c>
      <c r="I50" s="145" t="s">
        <v>293</v>
      </c>
      <c r="J50" s="145" t="s">
        <v>294</v>
      </c>
    </row>
    <row r="51" spans="1:10" x14ac:dyDescent="0.3">
      <c r="B51" s="180" t="s">
        <v>295</v>
      </c>
      <c r="C51" s="181">
        <f>10/$K$1</f>
        <v>10</v>
      </c>
      <c r="D51" s="182">
        <f>$C$1*10</f>
        <v>10000</v>
      </c>
      <c r="E51" s="183"/>
      <c r="F51" s="100"/>
      <c r="G51" s="180" t="s">
        <v>295</v>
      </c>
      <c r="H51" s="277">
        <v>10</v>
      </c>
      <c r="I51" s="181">
        <f>J51/$R$1</f>
        <v>56498.305084745763</v>
      </c>
      <c r="J51" s="181">
        <f>$W$44</f>
        <v>33334</v>
      </c>
    </row>
    <row r="52" spans="1:10" x14ac:dyDescent="0.3">
      <c r="B52" s="231" t="s">
        <v>274</v>
      </c>
      <c r="C52" s="232">
        <f>$I$1</f>
        <v>12.02769230769232</v>
      </c>
      <c r="D52" s="233">
        <f>$E$1</f>
        <v>12027.692307692319</v>
      </c>
      <c r="E52" s="100"/>
      <c r="F52" s="100"/>
      <c r="G52" s="148" t="s">
        <v>274</v>
      </c>
      <c r="H52" s="210">
        <f>I52/$D$5</f>
        <v>12.027451758657131</v>
      </c>
      <c r="I52" s="176">
        <f>J52/$R$1</f>
        <v>67953.063885267256</v>
      </c>
      <c r="J52" s="184">
        <f>$S$32</f>
        <v>40092.307692307681</v>
      </c>
    </row>
    <row r="53" spans="1:10" x14ac:dyDescent="0.3">
      <c r="B53" s="231" t="s">
        <v>296</v>
      </c>
      <c r="C53" s="234">
        <f>MIN(C52, C51)</f>
        <v>10</v>
      </c>
      <c r="D53" s="233">
        <f>(C53*$K$1)*$C$1</f>
        <v>10000</v>
      </c>
      <c r="E53" s="100"/>
      <c r="F53" s="100"/>
      <c r="G53" s="148" t="s">
        <v>296</v>
      </c>
      <c r="H53" s="187">
        <f>MIN(H52,H51)</f>
        <v>10</v>
      </c>
      <c r="I53" s="176">
        <f>J53/$R$1</f>
        <v>56498.305084745763</v>
      </c>
      <c r="J53" s="176">
        <f>MIN(J52,J51)</f>
        <v>33334</v>
      </c>
    </row>
    <row r="54" spans="1:10" x14ac:dyDescent="0.3">
      <c r="B54" s="231" t="s">
        <v>297</v>
      </c>
      <c r="C54" s="234">
        <f>MIN(MAX(C52-C53,0),C51)</f>
        <v>2.0276923076923197</v>
      </c>
      <c r="D54" s="233">
        <f>(C54*$K$1)*$C$1</f>
        <v>2027.6923076923197</v>
      </c>
      <c r="E54" s="100"/>
      <c r="F54" s="100"/>
      <c r="G54" s="148" t="s">
        <v>297</v>
      </c>
      <c r="H54" s="187">
        <f>MIN(MAX(H52-H53),H51)</f>
        <v>2.027451758657131</v>
      </c>
      <c r="I54" s="176">
        <f>J54/$R$1</f>
        <v>11454.758800521493</v>
      </c>
      <c r="J54" s="176">
        <f>MIN(MAX(J52-J53),J51)</f>
        <v>6758.3076923076806</v>
      </c>
    </row>
    <row r="55" spans="1:10" x14ac:dyDescent="0.3">
      <c r="B55" s="231" t="s">
        <v>298</v>
      </c>
      <c r="C55" s="234">
        <f>MIN(MAX(C52-C53-C54,0),C51)</f>
        <v>0</v>
      </c>
      <c r="D55" s="233">
        <f>(C55*$K$1)*$C$1</f>
        <v>0</v>
      </c>
      <c r="E55" s="100"/>
      <c r="F55" s="100"/>
      <c r="G55" s="145" t="s">
        <v>298</v>
      </c>
      <c r="H55" s="187">
        <f>MIN(MAX(H52-H53-H54),H51)</f>
        <v>0</v>
      </c>
      <c r="I55" s="176">
        <f>J55/$R$1</f>
        <v>0</v>
      </c>
      <c r="J55" s="176">
        <f>MIN(MAX(J52-J53-J54),J51)</f>
        <v>0</v>
      </c>
    </row>
    <row r="62" spans="1:10" ht="17.75" customHeight="1" x14ac:dyDescent="0.3">
      <c r="A62" s="937"/>
      <c r="B62" s="1413" t="str">
        <f>"دجاج الفريدو دفعة 1 / " &amp; COUNTIF($C$53:$C$55, "&gt;0")</f>
        <v>دجاج الفريدو دفعة 1 / 2</v>
      </c>
      <c r="C62" s="1424"/>
      <c r="D62" s="1424"/>
      <c r="E62" s="1424"/>
      <c r="F62" s="1424"/>
      <c r="G62" s="1424"/>
      <c r="H62" s="1424"/>
    </row>
    <row r="63" spans="1:10" ht="17.75" customHeight="1" x14ac:dyDescent="0.3">
      <c r="A63" s="937"/>
      <c r="B63" s="1382" t="str">
        <f>"Chicken Alfredo 1 / " &amp; COUNTIF(C$53:$C$55, "&gt;0")</f>
        <v>Chicken Alfredo 1 / 2</v>
      </c>
      <c r="C63" s="1383"/>
      <c r="D63" s="1383"/>
      <c r="E63" s="1383"/>
      <c r="F63" s="1383"/>
      <c r="G63" s="1383"/>
      <c r="H63" s="1383"/>
    </row>
    <row r="64" spans="1:10" ht="39" customHeight="1" x14ac:dyDescent="0.25">
      <c r="A64" s="91"/>
      <c r="B64" s="91" t="s">
        <v>253</v>
      </c>
      <c r="C64" s="107" t="s">
        <v>254</v>
      </c>
      <c r="D64" s="91" t="s">
        <v>243</v>
      </c>
      <c r="E64" s="108" t="s">
        <v>246</v>
      </c>
      <c r="F64" s="108" t="s">
        <v>255</v>
      </c>
      <c r="G64" s="91" t="s">
        <v>256</v>
      </c>
      <c r="H64" s="109" t="s">
        <v>257</v>
      </c>
    </row>
    <row r="65" spans="1:8" ht="14.25" customHeight="1" x14ac:dyDescent="0.3">
      <c r="A65" s="128" t="s">
        <v>230</v>
      </c>
      <c r="B65" s="123" t="str">
        <f t="shared" ref="B65:D89" si="13">B5</f>
        <v>Chicken - دجاج</v>
      </c>
      <c r="C65" s="124" t="str">
        <f t="shared" si="13"/>
        <v>gm</v>
      </c>
      <c r="D65" s="116">
        <f>D5</f>
        <v>5649.8305084745762</v>
      </c>
      <c r="E65" s="281">
        <f>H53</f>
        <v>10</v>
      </c>
      <c r="F65" s="127">
        <f t="shared" ref="F65:F89" si="14">F5</f>
        <v>1</v>
      </c>
      <c r="G65" s="119">
        <f t="shared" ref="G65:G89" si="15">D65*E65</f>
        <v>56498.305084745763</v>
      </c>
      <c r="H65" s="120">
        <f t="shared" ref="H65:H89" si="16">G65*F65</f>
        <v>56498.305084745763</v>
      </c>
    </row>
    <row r="66" spans="1:8" ht="14.25" customHeight="1" x14ac:dyDescent="0.3">
      <c r="A66" s="128" t="s">
        <v>158</v>
      </c>
      <c r="B66" s="123" t="str">
        <f t="shared" si="13"/>
        <v>Butter - زبدة</v>
      </c>
      <c r="C66" s="124" t="str">
        <f t="shared" si="13"/>
        <v>gm</v>
      </c>
      <c r="D66" s="125">
        <f t="shared" si="13"/>
        <v>40</v>
      </c>
      <c r="E66" s="281">
        <f t="shared" ref="E66:E89" si="17">$C$53</f>
        <v>10</v>
      </c>
      <c r="F66" s="127">
        <f t="shared" si="14"/>
        <v>1</v>
      </c>
      <c r="G66" s="119">
        <f t="shared" si="15"/>
        <v>400</v>
      </c>
      <c r="H66" s="120">
        <f t="shared" si="16"/>
        <v>400</v>
      </c>
    </row>
    <row r="67" spans="1:8" ht="14.25" customHeight="1" x14ac:dyDescent="0.3">
      <c r="A67" s="128" t="s">
        <v>13</v>
      </c>
      <c r="B67" s="123" t="str">
        <f t="shared" si="13"/>
        <v>Onion - بصل</v>
      </c>
      <c r="C67" s="124" t="str">
        <f t="shared" si="13"/>
        <v>gm</v>
      </c>
      <c r="D67" s="125">
        <f t="shared" si="13"/>
        <v>350</v>
      </c>
      <c r="E67" s="281">
        <f t="shared" si="17"/>
        <v>10</v>
      </c>
      <c r="F67" s="127">
        <f t="shared" si="14"/>
        <v>0.75</v>
      </c>
      <c r="G67" s="119">
        <f t="shared" si="15"/>
        <v>3500</v>
      </c>
      <c r="H67" s="120">
        <f t="shared" si="16"/>
        <v>2625</v>
      </c>
    </row>
    <row r="68" spans="1:8" ht="14.25" customHeight="1" x14ac:dyDescent="0.3">
      <c r="A68" s="128" t="s">
        <v>158</v>
      </c>
      <c r="B68" s="123" t="str">
        <f t="shared" si="13"/>
        <v>Yogurt - زبادي</v>
      </c>
      <c r="C68" s="124" t="str">
        <f t="shared" si="13"/>
        <v>gm</v>
      </c>
      <c r="D68" s="125">
        <f t="shared" si="13"/>
        <v>250</v>
      </c>
      <c r="E68" s="281">
        <f t="shared" si="17"/>
        <v>10</v>
      </c>
      <c r="F68" s="127">
        <f t="shared" si="14"/>
        <v>0.9</v>
      </c>
      <c r="G68" s="119">
        <f t="shared" si="15"/>
        <v>2500</v>
      </c>
      <c r="H68" s="120">
        <f t="shared" si="16"/>
        <v>2250</v>
      </c>
    </row>
    <row r="69" spans="1:8" ht="14.25" customHeight="1" x14ac:dyDescent="0.3">
      <c r="A69" s="128" t="s">
        <v>13</v>
      </c>
      <c r="B69" s="123" t="str">
        <f t="shared" si="13"/>
        <v>Garlic - ثوم مقشر</v>
      </c>
      <c r="C69" s="124" t="str">
        <f t="shared" si="13"/>
        <v>gm</v>
      </c>
      <c r="D69" s="125">
        <f t="shared" si="13"/>
        <v>20</v>
      </c>
      <c r="E69" s="281">
        <f t="shared" si="17"/>
        <v>10</v>
      </c>
      <c r="F69" s="127">
        <f t="shared" si="14"/>
        <v>1</v>
      </c>
      <c r="G69" s="119">
        <f t="shared" si="15"/>
        <v>200</v>
      </c>
      <c r="H69" s="120">
        <f t="shared" si="16"/>
        <v>200</v>
      </c>
    </row>
    <row r="70" spans="1:8" ht="14.25" customHeight="1" x14ac:dyDescent="0.3">
      <c r="A70" s="128" t="s">
        <v>57</v>
      </c>
      <c r="B70" s="123" t="str">
        <f t="shared" si="13"/>
        <v>Ginger - زنجبيل</v>
      </c>
      <c r="C70" s="124" t="str">
        <f t="shared" si="13"/>
        <v>gm</v>
      </c>
      <c r="D70" s="125">
        <f t="shared" si="13"/>
        <v>20</v>
      </c>
      <c r="E70" s="281">
        <f t="shared" si="17"/>
        <v>10</v>
      </c>
      <c r="F70" s="127">
        <f t="shared" si="14"/>
        <v>0.5</v>
      </c>
      <c r="G70" s="119">
        <f t="shared" si="15"/>
        <v>200</v>
      </c>
      <c r="H70" s="120">
        <f t="shared" si="16"/>
        <v>100</v>
      </c>
    </row>
    <row r="71" spans="1:8" ht="14.25" customHeight="1" x14ac:dyDescent="0.3">
      <c r="A71" s="128" t="s">
        <v>97</v>
      </c>
      <c r="B71" s="123" t="str">
        <f t="shared" si="13"/>
        <v>Coriander Powder - كزبرة مطحونة</v>
      </c>
      <c r="C71" s="124" t="str">
        <f t="shared" si="13"/>
        <v>gm</v>
      </c>
      <c r="D71" s="125">
        <f t="shared" si="13"/>
        <v>10</v>
      </c>
      <c r="E71" s="281">
        <f t="shared" si="17"/>
        <v>10</v>
      </c>
      <c r="F71" s="127">
        <f t="shared" si="14"/>
        <v>0.95</v>
      </c>
      <c r="G71" s="119">
        <f t="shared" si="15"/>
        <v>100</v>
      </c>
      <c r="H71" s="120">
        <f t="shared" si="16"/>
        <v>95</v>
      </c>
    </row>
    <row r="72" spans="1:8" ht="14.25" customHeight="1" x14ac:dyDescent="0.3">
      <c r="A72" s="128" t="s">
        <v>97</v>
      </c>
      <c r="B72" s="123" t="str">
        <f t="shared" si="13"/>
        <v>Cumin Powder - كمون مطحون</v>
      </c>
      <c r="C72" s="124" t="str">
        <f t="shared" si="13"/>
        <v>gm</v>
      </c>
      <c r="D72" s="125">
        <f t="shared" si="13"/>
        <v>5</v>
      </c>
      <c r="E72" s="281">
        <f t="shared" si="17"/>
        <v>10</v>
      </c>
      <c r="F72" s="127">
        <f t="shared" si="14"/>
        <v>0.95</v>
      </c>
      <c r="G72" s="119">
        <f t="shared" si="15"/>
        <v>50</v>
      </c>
      <c r="H72" s="120">
        <f t="shared" si="16"/>
        <v>47.5</v>
      </c>
    </row>
    <row r="73" spans="1:8" ht="14.25" customHeight="1" x14ac:dyDescent="0.3">
      <c r="A73" s="128" t="s">
        <v>97</v>
      </c>
      <c r="B73" s="123" t="str">
        <f t="shared" si="13"/>
        <v>Red Chilli Powder - شطة حمراء مطحونة</v>
      </c>
      <c r="C73" s="124" t="str">
        <f t="shared" si="13"/>
        <v>gm</v>
      </c>
      <c r="D73" s="125">
        <f t="shared" si="13"/>
        <v>3</v>
      </c>
      <c r="E73" s="281">
        <f t="shared" si="17"/>
        <v>10</v>
      </c>
      <c r="F73" s="127">
        <f t="shared" si="14"/>
        <v>0.6</v>
      </c>
      <c r="G73" s="119">
        <f t="shared" si="15"/>
        <v>30</v>
      </c>
      <c r="H73" s="120">
        <f t="shared" si="16"/>
        <v>18</v>
      </c>
    </row>
    <row r="74" spans="1:8" ht="14.25" customHeight="1" x14ac:dyDescent="0.3">
      <c r="A74" s="128" t="s">
        <v>158</v>
      </c>
      <c r="B74" s="123" t="str">
        <f t="shared" si="13"/>
        <v>Cooking Cream - كريمة طبخ</v>
      </c>
      <c r="C74" s="124" t="str">
        <f t="shared" si="13"/>
        <v>ml</v>
      </c>
      <c r="D74" s="125">
        <f t="shared" si="13"/>
        <v>500</v>
      </c>
      <c r="E74" s="281">
        <f t="shared" si="17"/>
        <v>10</v>
      </c>
      <c r="F74" s="127">
        <f t="shared" si="14"/>
        <v>1</v>
      </c>
      <c r="G74" s="119">
        <f t="shared" si="15"/>
        <v>5000</v>
      </c>
      <c r="H74" s="120">
        <f t="shared" si="16"/>
        <v>5000</v>
      </c>
    </row>
    <row r="75" spans="1:8" ht="14.25" customHeight="1" x14ac:dyDescent="0.3">
      <c r="A75" s="128" t="s">
        <v>220</v>
      </c>
      <c r="B75" s="123" t="str">
        <f t="shared" si="13"/>
        <v>لون صفار زعفران بودر - Saffron yellow color powder</v>
      </c>
      <c r="C75" s="124" t="str">
        <f t="shared" si="13"/>
        <v>gm</v>
      </c>
      <c r="D75" s="125">
        <f t="shared" si="13"/>
        <v>3</v>
      </c>
      <c r="E75" s="281">
        <f t="shared" si="17"/>
        <v>10</v>
      </c>
      <c r="F75" s="127">
        <f t="shared" si="14"/>
        <v>1</v>
      </c>
      <c r="G75" s="119">
        <f t="shared" si="15"/>
        <v>30</v>
      </c>
      <c r="H75" s="120">
        <f t="shared" si="16"/>
        <v>30</v>
      </c>
    </row>
    <row r="76" spans="1:8" ht="14.25" customHeight="1" x14ac:dyDescent="0.3">
      <c r="A76" s="128" t="s">
        <v>97</v>
      </c>
      <c r="B76" s="123" t="str">
        <f t="shared" si="13"/>
        <v>Salt - ملح</v>
      </c>
      <c r="C76" s="124" t="str">
        <f t="shared" si="13"/>
        <v>gm</v>
      </c>
      <c r="D76" s="125">
        <f t="shared" si="13"/>
        <v>6</v>
      </c>
      <c r="E76" s="281">
        <f t="shared" si="17"/>
        <v>10</v>
      </c>
      <c r="F76" s="127">
        <f t="shared" si="14"/>
        <v>0.75</v>
      </c>
      <c r="G76" s="119">
        <f t="shared" si="15"/>
        <v>60</v>
      </c>
      <c r="H76" s="120">
        <f t="shared" si="16"/>
        <v>45</v>
      </c>
    </row>
    <row r="77" spans="1:8" ht="14.25" customHeight="1" x14ac:dyDescent="0.3">
      <c r="A77" s="128" t="s">
        <v>83</v>
      </c>
      <c r="B77" s="123" t="str">
        <f t="shared" si="13"/>
        <v>Dry Oregano - أوريجانو مجفف</v>
      </c>
      <c r="C77" s="124" t="str">
        <f t="shared" si="13"/>
        <v>gm</v>
      </c>
      <c r="D77" s="125">
        <f t="shared" si="13"/>
        <v>1</v>
      </c>
      <c r="E77" s="281">
        <f t="shared" si="17"/>
        <v>10</v>
      </c>
      <c r="F77" s="127">
        <f t="shared" si="14"/>
        <v>0.75</v>
      </c>
      <c r="G77" s="119">
        <f t="shared" si="15"/>
        <v>10</v>
      </c>
      <c r="H77" s="120">
        <f t="shared" si="16"/>
        <v>7.5</v>
      </c>
    </row>
    <row r="78" spans="1:8" ht="14.25" customHeight="1" x14ac:dyDescent="0.3">
      <c r="A78" s="128" t="s">
        <v>97</v>
      </c>
      <c r="B78" s="123" t="str">
        <f t="shared" si="13"/>
        <v>Maggi Cubes - مكعبات ماجي</v>
      </c>
      <c r="C78" s="124" t="str">
        <f t="shared" si="13"/>
        <v>gm</v>
      </c>
      <c r="D78" s="125">
        <f t="shared" si="13"/>
        <v>7</v>
      </c>
      <c r="E78" s="281">
        <f t="shared" si="17"/>
        <v>10</v>
      </c>
      <c r="F78" s="127">
        <f t="shared" si="14"/>
        <v>0.75</v>
      </c>
      <c r="G78" s="119">
        <f t="shared" si="15"/>
        <v>70</v>
      </c>
      <c r="H78" s="120">
        <f t="shared" si="16"/>
        <v>52.5</v>
      </c>
    </row>
    <row r="79" spans="1:8" ht="14.25" customHeight="1" x14ac:dyDescent="0.3">
      <c r="A79" s="128" t="s">
        <v>13</v>
      </c>
      <c r="B79" s="123" t="str">
        <f t="shared" si="13"/>
        <v>Fresh Coconut - جوز هند طازج</v>
      </c>
      <c r="C79" s="124" t="str">
        <f t="shared" si="13"/>
        <v>gm</v>
      </c>
      <c r="D79" s="125">
        <f t="shared" si="13"/>
        <v>50</v>
      </c>
      <c r="E79" s="281">
        <f t="shared" si="17"/>
        <v>10</v>
      </c>
      <c r="F79" s="127">
        <f t="shared" si="14"/>
        <v>1</v>
      </c>
      <c r="G79" s="119">
        <f t="shared" si="15"/>
        <v>500</v>
      </c>
      <c r="H79" s="120">
        <f t="shared" si="16"/>
        <v>500</v>
      </c>
    </row>
    <row r="80" spans="1:8" ht="14.25" customHeight="1" x14ac:dyDescent="0.3">
      <c r="A80" s="128" t="s">
        <v>97</v>
      </c>
      <c r="B80" s="123" t="str">
        <f t="shared" si="13"/>
        <v>Turmeric - كركم</v>
      </c>
      <c r="C80" s="124" t="str">
        <f t="shared" si="13"/>
        <v>gm</v>
      </c>
      <c r="D80" s="125">
        <f t="shared" si="13"/>
        <v>2</v>
      </c>
      <c r="E80" s="281">
        <f t="shared" si="17"/>
        <v>10</v>
      </c>
      <c r="F80" s="127">
        <f t="shared" si="14"/>
        <v>1</v>
      </c>
      <c r="G80" s="119">
        <f t="shared" si="15"/>
        <v>20</v>
      </c>
      <c r="H80" s="120">
        <f t="shared" si="16"/>
        <v>20</v>
      </c>
    </row>
    <row r="81" spans="1:8" ht="14.25" customHeight="1" x14ac:dyDescent="0.3">
      <c r="A81" s="128" t="s">
        <v>158</v>
      </c>
      <c r="B81" s="123" t="str">
        <f t="shared" si="13"/>
        <v>Milk - حليب</v>
      </c>
      <c r="C81" s="124" t="str">
        <f t="shared" si="13"/>
        <v>ml</v>
      </c>
      <c r="D81" s="125">
        <f t="shared" si="13"/>
        <v>100</v>
      </c>
      <c r="E81" s="281">
        <f t="shared" si="17"/>
        <v>10</v>
      </c>
      <c r="F81" s="127">
        <f t="shared" si="14"/>
        <v>1</v>
      </c>
      <c r="G81" s="119">
        <f t="shared" si="15"/>
        <v>1000</v>
      </c>
      <c r="H81" s="120">
        <f t="shared" si="16"/>
        <v>1000</v>
      </c>
    </row>
    <row r="82" spans="1:8" ht="14.25" customHeight="1" x14ac:dyDescent="0.3">
      <c r="A82" s="128" t="s">
        <v>13</v>
      </c>
      <c r="B82" s="123" t="str">
        <f t="shared" si="13"/>
        <v>Green Chilli Pepper - فلفل أخضر حار</v>
      </c>
      <c r="C82" s="124" t="str">
        <f t="shared" si="13"/>
        <v>gm</v>
      </c>
      <c r="D82" s="125">
        <f t="shared" si="13"/>
        <v>2</v>
      </c>
      <c r="E82" s="281">
        <f t="shared" si="17"/>
        <v>10</v>
      </c>
      <c r="F82" s="127">
        <f t="shared" si="14"/>
        <v>0.75</v>
      </c>
      <c r="G82" s="119">
        <f t="shared" si="15"/>
        <v>20</v>
      </c>
      <c r="H82" s="120">
        <f t="shared" si="16"/>
        <v>15</v>
      </c>
    </row>
    <row r="83" spans="1:8" ht="14.25" customHeight="1" x14ac:dyDescent="0.3">
      <c r="A83" s="128" t="s">
        <v>13</v>
      </c>
      <c r="B83" s="123" t="str">
        <f t="shared" si="13"/>
        <v>Green Bell Pepper - فلفل أخضر رومى</v>
      </c>
      <c r="C83" s="124" t="str">
        <f t="shared" si="13"/>
        <v>gm</v>
      </c>
      <c r="D83" s="125">
        <f t="shared" si="13"/>
        <v>50</v>
      </c>
      <c r="E83" s="281">
        <f t="shared" si="17"/>
        <v>10</v>
      </c>
      <c r="F83" s="127">
        <f t="shared" si="14"/>
        <v>1.75</v>
      </c>
      <c r="G83" s="119">
        <f t="shared" si="15"/>
        <v>500</v>
      </c>
      <c r="H83" s="120">
        <f t="shared" si="16"/>
        <v>875</v>
      </c>
    </row>
    <row r="84" spans="1:8" ht="14.25" customHeight="1" x14ac:dyDescent="0.3">
      <c r="A84" s="128" t="s">
        <v>13</v>
      </c>
      <c r="B84" s="123" t="str">
        <f t="shared" si="13"/>
        <v xml:space="preserve">Red Bell Pepper - فلفل أحمر </v>
      </c>
      <c r="C84" s="124" t="str">
        <f t="shared" si="13"/>
        <v>gm</v>
      </c>
      <c r="D84" s="125">
        <f t="shared" si="13"/>
        <v>50</v>
      </c>
      <c r="E84" s="281">
        <f t="shared" si="17"/>
        <v>10</v>
      </c>
      <c r="F84" s="127">
        <f t="shared" si="14"/>
        <v>0.75</v>
      </c>
      <c r="G84" s="119">
        <f t="shared" si="15"/>
        <v>500</v>
      </c>
      <c r="H84" s="120">
        <f t="shared" si="16"/>
        <v>375</v>
      </c>
    </row>
    <row r="85" spans="1:8" ht="14.25" customHeight="1" x14ac:dyDescent="0.3">
      <c r="A85" s="128" t="s">
        <v>13</v>
      </c>
      <c r="B85" s="123" t="str">
        <f t="shared" si="13"/>
        <v xml:space="preserve">Yellow Bell Pepper - فلفل أصفر </v>
      </c>
      <c r="C85" s="124" t="str">
        <f t="shared" si="13"/>
        <v>gm</v>
      </c>
      <c r="D85" s="125">
        <f t="shared" si="13"/>
        <v>50</v>
      </c>
      <c r="E85" s="281">
        <f t="shared" si="17"/>
        <v>10</v>
      </c>
      <c r="F85" s="127">
        <f t="shared" si="14"/>
        <v>1</v>
      </c>
      <c r="G85" s="119">
        <f t="shared" si="15"/>
        <v>500</v>
      </c>
      <c r="H85" s="120">
        <f t="shared" si="16"/>
        <v>500</v>
      </c>
    </row>
    <row r="86" spans="1:8" ht="14.25" customHeight="1" x14ac:dyDescent="0.3">
      <c r="A86" s="128" t="s">
        <v>97</v>
      </c>
      <c r="B86" s="123" t="str">
        <f t="shared" si="13"/>
        <v>Cinnamon Whole - قرفة أعواد</v>
      </c>
      <c r="C86" s="124" t="str">
        <f t="shared" si="13"/>
        <v>gm</v>
      </c>
      <c r="D86" s="125">
        <f t="shared" si="13"/>
        <v>1</v>
      </c>
      <c r="E86" s="281">
        <f t="shared" si="17"/>
        <v>10</v>
      </c>
      <c r="F86" s="127">
        <f t="shared" si="14"/>
        <v>0.75</v>
      </c>
      <c r="G86" s="119">
        <f t="shared" si="15"/>
        <v>10</v>
      </c>
      <c r="H86" s="120">
        <f t="shared" si="16"/>
        <v>7.5</v>
      </c>
    </row>
    <row r="87" spans="1:8" ht="14.25" customHeight="1" x14ac:dyDescent="0.3">
      <c r="A87" s="128" t="s">
        <v>97</v>
      </c>
      <c r="B87" s="123" t="str">
        <f t="shared" si="13"/>
        <v>Cloves Whole - قرنفل حب</v>
      </c>
      <c r="C87" s="124" t="str">
        <f t="shared" si="13"/>
        <v>gm</v>
      </c>
      <c r="D87" s="125">
        <f t="shared" si="13"/>
        <v>1</v>
      </c>
      <c r="E87" s="281">
        <f t="shared" si="17"/>
        <v>10</v>
      </c>
      <c r="F87" s="127">
        <f t="shared" si="14"/>
        <v>0.75</v>
      </c>
      <c r="G87" s="119">
        <f t="shared" si="15"/>
        <v>10</v>
      </c>
      <c r="H87" s="120">
        <f t="shared" si="16"/>
        <v>7.5</v>
      </c>
    </row>
    <row r="88" spans="1:8" ht="14.25" customHeight="1" x14ac:dyDescent="0.3">
      <c r="A88" s="128" t="s">
        <v>97</v>
      </c>
      <c r="B88" s="123" t="str">
        <f t="shared" si="13"/>
        <v>Black Pepper Whole - فلفل أسود حب</v>
      </c>
      <c r="C88" s="124" t="str">
        <f t="shared" si="13"/>
        <v>gm</v>
      </c>
      <c r="D88" s="125">
        <f t="shared" si="13"/>
        <v>1</v>
      </c>
      <c r="E88" s="281">
        <f t="shared" si="17"/>
        <v>10</v>
      </c>
      <c r="F88" s="127">
        <f t="shared" si="14"/>
        <v>0.75</v>
      </c>
      <c r="G88" s="119">
        <f t="shared" si="15"/>
        <v>10</v>
      </c>
      <c r="H88" s="120">
        <f t="shared" si="16"/>
        <v>7.5</v>
      </c>
    </row>
    <row r="89" spans="1:8" ht="14.25" customHeight="1" x14ac:dyDescent="0.3">
      <c r="A89" s="128" t="s">
        <v>97</v>
      </c>
      <c r="B89" s="123" t="str">
        <f t="shared" si="13"/>
        <v>Cardamom Whole - هيل حب</v>
      </c>
      <c r="C89" s="124" t="str">
        <f t="shared" si="13"/>
        <v>gm</v>
      </c>
      <c r="D89" s="125">
        <f t="shared" si="13"/>
        <v>1</v>
      </c>
      <c r="E89" s="281">
        <f t="shared" si="17"/>
        <v>10</v>
      </c>
      <c r="F89" s="127">
        <f t="shared" si="14"/>
        <v>0.75</v>
      </c>
      <c r="G89" s="119">
        <f t="shared" si="15"/>
        <v>10</v>
      </c>
      <c r="H89" s="120">
        <f t="shared" si="16"/>
        <v>7.5</v>
      </c>
    </row>
    <row r="90" spans="1:8" ht="25.25" customHeight="1" x14ac:dyDescent="0.3">
      <c r="A90" s="211"/>
      <c r="B90" s="198" t="s">
        <v>299</v>
      </c>
      <c r="C90" s="200" t="s">
        <v>285</v>
      </c>
      <c r="E90" s="200" t="s">
        <v>300</v>
      </c>
      <c r="G90" s="890" t="s">
        <v>276</v>
      </c>
      <c r="H90" s="890" t="s">
        <v>733</v>
      </c>
    </row>
    <row r="91" spans="1:8" ht="19.5" customHeight="1" x14ac:dyDescent="0.4">
      <c r="A91" s="211"/>
      <c r="B91" s="199">
        <f>$J$53</f>
        <v>33334</v>
      </c>
      <c r="C91" s="199">
        <f>E91+G91</f>
        <v>10000</v>
      </c>
      <c r="D91" s="930"/>
      <c r="E91" s="199">
        <f>$D$53*$S$44</f>
        <v>10000</v>
      </c>
      <c r="F91" s="934"/>
      <c r="G91" s="199">
        <f>$D$53*$T$44</f>
        <v>0</v>
      </c>
      <c r="H91" s="199">
        <f>B91+E91</f>
        <v>43334</v>
      </c>
    </row>
    <row r="92" spans="1:8" ht="14.25" customHeight="1" x14ac:dyDescent="0.3">
      <c r="B92" s="100"/>
      <c r="E92" s="100"/>
      <c r="F92" s="100"/>
    </row>
    <row r="93" spans="1:8" ht="14.25" customHeight="1" x14ac:dyDescent="0.3">
      <c r="B93" s="100"/>
      <c r="C93" s="100"/>
      <c r="D93" s="100"/>
      <c r="E93" s="100"/>
      <c r="F93" s="100"/>
      <c r="G93" s="100"/>
      <c r="H93" s="100"/>
    </row>
    <row r="94" spans="1:8" ht="17.75" customHeight="1" x14ac:dyDescent="0.3">
      <c r="A94" s="937"/>
      <c r="B94" s="1413" t="str">
        <f>"دجاج الفريدو دفعة 2 / " &amp; COUNTIF($C$53:$C$55, "&gt;0")</f>
        <v>دجاج الفريدو دفعة 2 / 2</v>
      </c>
      <c r="C94" s="1424"/>
      <c r="D94" s="1424"/>
      <c r="E94" s="1424"/>
      <c r="F94" s="1424"/>
      <c r="G94" s="1424"/>
      <c r="H94" s="1424"/>
    </row>
    <row r="95" spans="1:8" ht="17.75" customHeight="1" x14ac:dyDescent="0.3">
      <c r="A95" s="937"/>
      <c r="B95" s="1382" t="str">
        <f>"Chicken Alfredo 2 / " &amp; COUNTIF(C$53:$C$55, "&gt;0")</f>
        <v>Chicken Alfredo 2 / 2</v>
      </c>
      <c r="C95" s="1383"/>
      <c r="D95" s="1383"/>
      <c r="E95" s="1383"/>
      <c r="F95" s="1383"/>
      <c r="G95" s="1383"/>
      <c r="H95" s="1383"/>
    </row>
    <row r="96" spans="1:8" ht="45.75" customHeight="1" x14ac:dyDescent="0.25">
      <c r="A96" s="91"/>
      <c r="B96" s="91" t="s">
        <v>253</v>
      </c>
      <c r="C96" s="107" t="s">
        <v>254</v>
      </c>
      <c r="D96" s="91" t="s">
        <v>243</v>
      </c>
      <c r="E96" s="108" t="s">
        <v>246</v>
      </c>
      <c r="F96" s="108" t="s">
        <v>255</v>
      </c>
      <c r="G96" s="91" t="s">
        <v>256</v>
      </c>
      <c r="H96" s="109" t="s">
        <v>257</v>
      </c>
    </row>
    <row r="97" spans="1:8" ht="14.25" customHeight="1" x14ac:dyDescent="0.3">
      <c r="A97" s="128" t="s">
        <v>230</v>
      </c>
      <c r="B97" s="123" t="str">
        <f t="shared" ref="B97:D121" si="18">B5</f>
        <v>Chicken - دجاج</v>
      </c>
      <c r="C97" s="123" t="str">
        <f t="shared" si="18"/>
        <v>gm</v>
      </c>
      <c r="D97" s="263">
        <f t="shared" si="18"/>
        <v>5649.8305084745762</v>
      </c>
      <c r="E97" s="281">
        <f>H54</f>
        <v>2.027451758657131</v>
      </c>
      <c r="F97" s="127">
        <f t="shared" ref="F97:F121" si="19">F5</f>
        <v>1</v>
      </c>
      <c r="G97" s="121">
        <f t="shared" ref="G97:G121" si="20">D97*E97</f>
        <v>11454.758800521493</v>
      </c>
      <c r="H97" s="120">
        <f t="shared" ref="H97:H121" si="21">G97*F97</f>
        <v>11454.758800521493</v>
      </c>
    </row>
    <row r="98" spans="1:8" ht="14.25" customHeight="1" x14ac:dyDescent="0.3">
      <c r="A98" s="128" t="s">
        <v>158</v>
      </c>
      <c r="B98" s="123" t="str">
        <f t="shared" si="18"/>
        <v>Butter - زبدة</v>
      </c>
      <c r="C98" s="123" t="str">
        <f t="shared" si="18"/>
        <v>gm</v>
      </c>
      <c r="D98" s="123">
        <f t="shared" si="18"/>
        <v>40</v>
      </c>
      <c r="E98" s="281">
        <f t="shared" ref="E98:E121" si="22">$C$54</f>
        <v>2.0276923076923197</v>
      </c>
      <c r="F98" s="127">
        <f t="shared" si="19"/>
        <v>1</v>
      </c>
      <c r="G98" s="121">
        <f t="shared" si="20"/>
        <v>81.107692307692787</v>
      </c>
      <c r="H98" s="120">
        <f t="shared" si="21"/>
        <v>81.107692307692787</v>
      </c>
    </row>
    <row r="99" spans="1:8" ht="14.25" customHeight="1" x14ac:dyDescent="0.3">
      <c r="A99" s="128" t="s">
        <v>13</v>
      </c>
      <c r="B99" s="123" t="str">
        <f t="shared" si="18"/>
        <v>Onion - بصل</v>
      </c>
      <c r="C99" s="123" t="str">
        <f t="shared" si="18"/>
        <v>gm</v>
      </c>
      <c r="D99" s="123">
        <f t="shared" si="18"/>
        <v>350</v>
      </c>
      <c r="E99" s="281">
        <f t="shared" si="22"/>
        <v>2.0276923076923197</v>
      </c>
      <c r="F99" s="127">
        <f t="shared" si="19"/>
        <v>0.75</v>
      </c>
      <c r="G99" s="121">
        <f t="shared" si="20"/>
        <v>709.69230769231194</v>
      </c>
      <c r="H99" s="120">
        <f t="shared" si="21"/>
        <v>532.2692307692339</v>
      </c>
    </row>
    <row r="100" spans="1:8" ht="14.25" customHeight="1" x14ac:dyDescent="0.3">
      <c r="A100" s="128" t="s">
        <v>158</v>
      </c>
      <c r="B100" s="123" t="str">
        <f t="shared" si="18"/>
        <v>Yogurt - زبادي</v>
      </c>
      <c r="C100" s="123" t="str">
        <f t="shared" si="18"/>
        <v>gm</v>
      </c>
      <c r="D100" s="123">
        <f t="shared" si="18"/>
        <v>250</v>
      </c>
      <c r="E100" s="281">
        <f t="shared" si="22"/>
        <v>2.0276923076923197</v>
      </c>
      <c r="F100" s="127">
        <f t="shared" si="19"/>
        <v>0.9</v>
      </c>
      <c r="G100" s="121">
        <f t="shared" si="20"/>
        <v>506.92307692307992</v>
      </c>
      <c r="H100" s="120">
        <f t="shared" si="21"/>
        <v>456.23076923077195</v>
      </c>
    </row>
    <row r="101" spans="1:8" ht="14.25" customHeight="1" x14ac:dyDescent="0.3">
      <c r="A101" s="128" t="s">
        <v>13</v>
      </c>
      <c r="B101" s="123" t="str">
        <f t="shared" si="18"/>
        <v>Garlic - ثوم مقشر</v>
      </c>
      <c r="C101" s="123" t="str">
        <f t="shared" si="18"/>
        <v>gm</v>
      </c>
      <c r="D101" s="123">
        <f t="shared" si="18"/>
        <v>20</v>
      </c>
      <c r="E101" s="281">
        <f t="shared" si="22"/>
        <v>2.0276923076923197</v>
      </c>
      <c r="F101" s="127">
        <f t="shared" si="19"/>
        <v>1</v>
      </c>
      <c r="G101" s="121">
        <f t="shared" si="20"/>
        <v>40.553846153846393</v>
      </c>
      <c r="H101" s="120">
        <f t="shared" si="21"/>
        <v>40.553846153846393</v>
      </c>
    </row>
    <row r="102" spans="1:8" ht="14.25" customHeight="1" x14ac:dyDescent="0.3">
      <c r="A102" s="128" t="s">
        <v>57</v>
      </c>
      <c r="B102" s="123" t="str">
        <f t="shared" si="18"/>
        <v>Ginger - زنجبيل</v>
      </c>
      <c r="C102" s="123" t="str">
        <f t="shared" si="18"/>
        <v>gm</v>
      </c>
      <c r="D102" s="123">
        <f t="shared" si="18"/>
        <v>20</v>
      </c>
      <c r="E102" s="281">
        <f t="shared" si="22"/>
        <v>2.0276923076923197</v>
      </c>
      <c r="F102" s="127">
        <f t="shared" si="19"/>
        <v>0.5</v>
      </c>
      <c r="G102" s="121">
        <f t="shared" si="20"/>
        <v>40.553846153846393</v>
      </c>
      <c r="H102" s="120">
        <f t="shared" si="21"/>
        <v>20.276923076923197</v>
      </c>
    </row>
    <row r="103" spans="1:8" ht="14.25" customHeight="1" x14ac:dyDescent="0.3">
      <c r="A103" s="128" t="s">
        <v>97</v>
      </c>
      <c r="B103" s="123" t="str">
        <f t="shared" si="18"/>
        <v>Coriander Powder - كزبرة مطحونة</v>
      </c>
      <c r="C103" s="123" t="str">
        <f t="shared" si="18"/>
        <v>gm</v>
      </c>
      <c r="D103" s="123">
        <f t="shared" si="18"/>
        <v>10</v>
      </c>
      <c r="E103" s="281">
        <f t="shared" si="22"/>
        <v>2.0276923076923197</v>
      </c>
      <c r="F103" s="127">
        <f t="shared" si="19"/>
        <v>0.95</v>
      </c>
      <c r="G103" s="121">
        <f t="shared" si="20"/>
        <v>20.276923076923197</v>
      </c>
      <c r="H103" s="120">
        <f t="shared" si="21"/>
        <v>19.263076923077037</v>
      </c>
    </row>
    <row r="104" spans="1:8" ht="14.25" customHeight="1" x14ac:dyDescent="0.3">
      <c r="A104" s="128" t="s">
        <v>97</v>
      </c>
      <c r="B104" s="123" t="str">
        <f t="shared" si="18"/>
        <v>Cumin Powder - كمون مطحون</v>
      </c>
      <c r="C104" s="123" t="str">
        <f t="shared" si="18"/>
        <v>gm</v>
      </c>
      <c r="D104" s="123">
        <f t="shared" si="18"/>
        <v>5</v>
      </c>
      <c r="E104" s="281">
        <f t="shared" si="22"/>
        <v>2.0276923076923197</v>
      </c>
      <c r="F104" s="127">
        <f t="shared" si="19"/>
        <v>0.95</v>
      </c>
      <c r="G104" s="121">
        <f t="shared" si="20"/>
        <v>10.138461538461598</v>
      </c>
      <c r="H104" s="120">
        <f t="shared" si="21"/>
        <v>9.6315384615385184</v>
      </c>
    </row>
    <row r="105" spans="1:8" ht="14.25" customHeight="1" x14ac:dyDescent="0.3">
      <c r="A105" s="128" t="s">
        <v>97</v>
      </c>
      <c r="B105" s="123" t="str">
        <f t="shared" si="18"/>
        <v>Red Chilli Powder - شطة حمراء مطحونة</v>
      </c>
      <c r="C105" s="123" t="str">
        <f t="shared" si="18"/>
        <v>gm</v>
      </c>
      <c r="D105" s="123">
        <f t="shared" si="18"/>
        <v>3</v>
      </c>
      <c r="E105" s="281">
        <f t="shared" si="22"/>
        <v>2.0276923076923197</v>
      </c>
      <c r="F105" s="127">
        <f t="shared" si="19"/>
        <v>0.6</v>
      </c>
      <c r="G105" s="121">
        <f t="shared" si="20"/>
        <v>6.083076923076959</v>
      </c>
      <c r="H105" s="120">
        <f t="shared" si="21"/>
        <v>3.6498461538461751</v>
      </c>
    </row>
    <row r="106" spans="1:8" ht="14.25" customHeight="1" x14ac:dyDescent="0.3">
      <c r="A106" s="128" t="s">
        <v>158</v>
      </c>
      <c r="B106" s="123" t="str">
        <f t="shared" si="18"/>
        <v>Cooking Cream - كريمة طبخ</v>
      </c>
      <c r="C106" s="123" t="str">
        <f t="shared" si="18"/>
        <v>ml</v>
      </c>
      <c r="D106" s="123">
        <f t="shared" si="18"/>
        <v>500</v>
      </c>
      <c r="E106" s="281">
        <f t="shared" si="22"/>
        <v>2.0276923076923197</v>
      </c>
      <c r="F106" s="127">
        <f t="shared" si="19"/>
        <v>1</v>
      </c>
      <c r="G106" s="121">
        <f t="shared" si="20"/>
        <v>1013.8461538461598</v>
      </c>
      <c r="H106" s="120">
        <f t="shared" si="21"/>
        <v>1013.8461538461598</v>
      </c>
    </row>
    <row r="107" spans="1:8" ht="14.25" customHeight="1" x14ac:dyDescent="0.3">
      <c r="A107" s="128" t="s">
        <v>220</v>
      </c>
      <c r="B107" s="123" t="str">
        <f t="shared" si="18"/>
        <v>لون صفار زعفران بودر - Saffron yellow color powder</v>
      </c>
      <c r="C107" s="123" t="str">
        <f t="shared" si="18"/>
        <v>gm</v>
      </c>
      <c r="D107" s="123">
        <f t="shared" si="18"/>
        <v>3</v>
      </c>
      <c r="E107" s="281">
        <f t="shared" si="22"/>
        <v>2.0276923076923197</v>
      </c>
      <c r="F107" s="127">
        <f t="shared" si="19"/>
        <v>1</v>
      </c>
      <c r="G107" s="121">
        <f t="shared" si="20"/>
        <v>6.083076923076959</v>
      </c>
      <c r="H107" s="120">
        <f t="shared" si="21"/>
        <v>6.083076923076959</v>
      </c>
    </row>
    <row r="108" spans="1:8" ht="14.25" customHeight="1" x14ac:dyDescent="0.3">
      <c r="A108" s="128" t="s">
        <v>97</v>
      </c>
      <c r="B108" s="123" t="str">
        <f t="shared" si="18"/>
        <v>Salt - ملح</v>
      </c>
      <c r="C108" s="123" t="str">
        <f t="shared" si="18"/>
        <v>gm</v>
      </c>
      <c r="D108" s="123">
        <f t="shared" si="18"/>
        <v>6</v>
      </c>
      <c r="E108" s="281">
        <f t="shared" si="22"/>
        <v>2.0276923076923197</v>
      </c>
      <c r="F108" s="127">
        <f t="shared" si="19"/>
        <v>0.75</v>
      </c>
      <c r="G108" s="121">
        <f t="shared" si="20"/>
        <v>12.166153846153918</v>
      </c>
      <c r="H108" s="120">
        <f t="shared" si="21"/>
        <v>9.1246153846154385</v>
      </c>
    </row>
    <row r="109" spans="1:8" ht="14.25" customHeight="1" x14ac:dyDescent="0.3">
      <c r="A109" s="128" t="s">
        <v>83</v>
      </c>
      <c r="B109" s="123" t="str">
        <f t="shared" si="18"/>
        <v>Dry Oregano - أوريجانو مجفف</v>
      </c>
      <c r="C109" s="123" t="str">
        <f t="shared" si="18"/>
        <v>gm</v>
      </c>
      <c r="D109" s="123">
        <f t="shared" si="18"/>
        <v>1</v>
      </c>
      <c r="E109" s="281">
        <f t="shared" si="22"/>
        <v>2.0276923076923197</v>
      </c>
      <c r="F109" s="127">
        <f t="shared" si="19"/>
        <v>0.75</v>
      </c>
      <c r="G109" s="121">
        <f t="shared" si="20"/>
        <v>2.0276923076923197</v>
      </c>
      <c r="H109" s="120">
        <f t="shared" si="21"/>
        <v>1.5207692307692398</v>
      </c>
    </row>
    <row r="110" spans="1:8" ht="14.25" customHeight="1" x14ac:dyDescent="0.3">
      <c r="A110" s="128" t="s">
        <v>97</v>
      </c>
      <c r="B110" s="123" t="str">
        <f t="shared" si="18"/>
        <v>Maggi Cubes - مكعبات ماجي</v>
      </c>
      <c r="C110" s="123" t="str">
        <f t="shared" si="18"/>
        <v>gm</v>
      </c>
      <c r="D110" s="123">
        <f t="shared" si="18"/>
        <v>7</v>
      </c>
      <c r="E110" s="281">
        <f t="shared" si="22"/>
        <v>2.0276923076923197</v>
      </c>
      <c r="F110" s="127">
        <f t="shared" si="19"/>
        <v>0.75</v>
      </c>
      <c r="G110" s="121">
        <f t="shared" si="20"/>
        <v>14.193846153846238</v>
      </c>
      <c r="H110" s="120">
        <f t="shared" si="21"/>
        <v>10.645384615384678</v>
      </c>
    </row>
    <row r="111" spans="1:8" ht="14.25" customHeight="1" x14ac:dyDescent="0.3">
      <c r="A111" s="128" t="s">
        <v>13</v>
      </c>
      <c r="B111" s="123" t="str">
        <f t="shared" si="18"/>
        <v>Fresh Coconut - جوز هند طازج</v>
      </c>
      <c r="C111" s="123" t="str">
        <f t="shared" si="18"/>
        <v>gm</v>
      </c>
      <c r="D111" s="123">
        <f t="shared" si="18"/>
        <v>50</v>
      </c>
      <c r="E111" s="281">
        <f t="shared" si="22"/>
        <v>2.0276923076923197</v>
      </c>
      <c r="F111" s="127">
        <f t="shared" si="19"/>
        <v>1</v>
      </c>
      <c r="G111" s="121">
        <f t="shared" si="20"/>
        <v>101.38461538461598</v>
      </c>
      <c r="H111" s="120">
        <f t="shared" si="21"/>
        <v>101.38461538461598</v>
      </c>
    </row>
    <row r="112" spans="1:8" ht="14.25" customHeight="1" x14ac:dyDescent="0.3">
      <c r="A112" s="128" t="s">
        <v>97</v>
      </c>
      <c r="B112" s="123" t="str">
        <f t="shared" si="18"/>
        <v>Turmeric - كركم</v>
      </c>
      <c r="C112" s="123" t="str">
        <f t="shared" si="18"/>
        <v>gm</v>
      </c>
      <c r="D112" s="123">
        <f t="shared" si="18"/>
        <v>2</v>
      </c>
      <c r="E112" s="281">
        <f t="shared" si="22"/>
        <v>2.0276923076923197</v>
      </c>
      <c r="F112" s="127">
        <f t="shared" si="19"/>
        <v>1</v>
      </c>
      <c r="G112" s="121">
        <f t="shared" si="20"/>
        <v>4.0553846153846393</v>
      </c>
      <c r="H112" s="120">
        <f t="shared" si="21"/>
        <v>4.0553846153846393</v>
      </c>
    </row>
    <row r="113" spans="1:10" ht="14.25" customHeight="1" x14ac:dyDescent="0.3">
      <c r="A113" s="128" t="s">
        <v>158</v>
      </c>
      <c r="B113" s="123" t="str">
        <f t="shared" si="18"/>
        <v>Milk - حليب</v>
      </c>
      <c r="C113" s="123" t="str">
        <f t="shared" si="18"/>
        <v>ml</v>
      </c>
      <c r="D113" s="123">
        <f t="shared" si="18"/>
        <v>100</v>
      </c>
      <c r="E113" s="281">
        <f t="shared" si="22"/>
        <v>2.0276923076923197</v>
      </c>
      <c r="F113" s="127">
        <f t="shared" si="19"/>
        <v>1</v>
      </c>
      <c r="G113" s="121">
        <f t="shared" si="20"/>
        <v>202.76923076923197</v>
      </c>
      <c r="H113" s="120">
        <f t="shared" si="21"/>
        <v>202.76923076923197</v>
      </c>
    </row>
    <row r="114" spans="1:10" ht="14.25" customHeight="1" x14ac:dyDescent="0.3">
      <c r="A114" s="128" t="s">
        <v>13</v>
      </c>
      <c r="B114" s="123" t="str">
        <f t="shared" si="18"/>
        <v>Green Chilli Pepper - فلفل أخضر حار</v>
      </c>
      <c r="C114" s="123" t="str">
        <f t="shared" si="18"/>
        <v>gm</v>
      </c>
      <c r="D114" s="123">
        <f t="shared" si="18"/>
        <v>2</v>
      </c>
      <c r="E114" s="281">
        <f t="shared" si="22"/>
        <v>2.0276923076923197</v>
      </c>
      <c r="F114" s="127">
        <f t="shared" si="19"/>
        <v>0.75</v>
      </c>
      <c r="G114" s="121">
        <f t="shared" si="20"/>
        <v>4.0553846153846393</v>
      </c>
      <c r="H114" s="120">
        <f t="shared" si="21"/>
        <v>3.0415384615384795</v>
      </c>
    </row>
    <row r="115" spans="1:10" ht="14.25" customHeight="1" x14ac:dyDescent="0.3">
      <c r="A115" s="128" t="s">
        <v>13</v>
      </c>
      <c r="B115" s="123" t="str">
        <f t="shared" si="18"/>
        <v>Green Bell Pepper - فلفل أخضر رومى</v>
      </c>
      <c r="C115" s="123" t="str">
        <f t="shared" si="18"/>
        <v>gm</v>
      </c>
      <c r="D115" s="123">
        <f t="shared" si="18"/>
        <v>50</v>
      </c>
      <c r="E115" s="281">
        <f t="shared" si="22"/>
        <v>2.0276923076923197</v>
      </c>
      <c r="F115" s="127">
        <f t="shared" si="19"/>
        <v>1.75</v>
      </c>
      <c r="G115" s="121">
        <f t="shared" si="20"/>
        <v>101.38461538461598</v>
      </c>
      <c r="H115" s="120">
        <f t="shared" si="21"/>
        <v>177.42307692307799</v>
      </c>
    </row>
    <row r="116" spans="1:10" ht="14.25" customHeight="1" x14ac:dyDescent="0.3">
      <c r="A116" s="128" t="s">
        <v>13</v>
      </c>
      <c r="B116" s="123" t="str">
        <f t="shared" si="18"/>
        <v xml:space="preserve">Red Bell Pepper - فلفل أحمر </v>
      </c>
      <c r="C116" s="123" t="str">
        <f t="shared" si="18"/>
        <v>gm</v>
      </c>
      <c r="D116" s="123">
        <f t="shared" si="18"/>
        <v>50</v>
      </c>
      <c r="E116" s="281">
        <f t="shared" si="22"/>
        <v>2.0276923076923197</v>
      </c>
      <c r="F116" s="127">
        <f t="shared" si="19"/>
        <v>0.75</v>
      </c>
      <c r="G116" s="121">
        <f t="shared" si="20"/>
        <v>101.38461538461598</v>
      </c>
      <c r="H116" s="120">
        <f t="shared" si="21"/>
        <v>76.038461538461988</v>
      </c>
    </row>
    <row r="117" spans="1:10" ht="14.25" customHeight="1" x14ac:dyDescent="0.3">
      <c r="A117" s="128" t="s">
        <v>13</v>
      </c>
      <c r="B117" s="123" t="str">
        <f t="shared" si="18"/>
        <v xml:space="preserve">Yellow Bell Pepper - فلفل أصفر </v>
      </c>
      <c r="C117" s="123" t="str">
        <f t="shared" si="18"/>
        <v>gm</v>
      </c>
      <c r="D117" s="123">
        <f t="shared" si="18"/>
        <v>50</v>
      </c>
      <c r="E117" s="281">
        <f t="shared" si="22"/>
        <v>2.0276923076923197</v>
      </c>
      <c r="F117" s="127">
        <f t="shared" si="19"/>
        <v>1</v>
      </c>
      <c r="G117" s="121">
        <f t="shared" si="20"/>
        <v>101.38461538461598</v>
      </c>
      <c r="H117" s="120">
        <f t="shared" si="21"/>
        <v>101.38461538461598</v>
      </c>
    </row>
    <row r="118" spans="1:10" ht="14.25" customHeight="1" x14ac:dyDescent="0.3">
      <c r="A118" s="128" t="s">
        <v>97</v>
      </c>
      <c r="B118" s="123" t="str">
        <f t="shared" si="18"/>
        <v>Cinnamon Whole - قرفة أعواد</v>
      </c>
      <c r="C118" s="123" t="str">
        <f t="shared" si="18"/>
        <v>gm</v>
      </c>
      <c r="D118" s="123">
        <f t="shared" si="18"/>
        <v>1</v>
      </c>
      <c r="E118" s="281">
        <f t="shared" si="22"/>
        <v>2.0276923076923197</v>
      </c>
      <c r="F118" s="127">
        <f t="shared" si="19"/>
        <v>0.75</v>
      </c>
      <c r="G118" s="121">
        <f t="shared" si="20"/>
        <v>2.0276923076923197</v>
      </c>
      <c r="H118" s="120">
        <f t="shared" si="21"/>
        <v>1.5207692307692398</v>
      </c>
    </row>
    <row r="119" spans="1:10" ht="14.25" customHeight="1" x14ac:dyDescent="0.3">
      <c r="A119" s="128" t="s">
        <v>97</v>
      </c>
      <c r="B119" s="123" t="str">
        <f t="shared" si="18"/>
        <v>Cloves Whole - قرنفل حب</v>
      </c>
      <c r="C119" s="123" t="str">
        <f t="shared" si="18"/>
        <v>gm</v>
      </c>
      <c r="D119" s="123">
        <f t="shared" si="18"/>
        <v>1</v>
      </c>
      <c r="E119" s="281">
        <f t="shared" si="22"/>
        <v>2.0276923076923197</v>
      </c>
      <c r="F119" s="127">
        <f t="shared" si="19"/>
        <v>0.75</v>
      </c>
      <c r="G119" s="121">
        <f t="shared" si="20"/>
        <v>2.0276923076923197</v>
      </c>
      <c r="H119" s="120">
        <f t="shared" si="21"/>
        <v>1.5207692307692398</v>
      </c>
    </row>
    <row r="120" spans="1:10" ht="14.25" customHeight="1" x14ac:dyDescent="0.3">
      <c r="A120" s="128" t="s">
        <v>97</v>
      </c>
      <c r="B120" s="123" t="str">
        <f t="shared" si="18"/>
        <v>Black Pepper Whole - فلفل أسود حب</v>
      </c>
      <c r="C120" s="123" t="str">
        <f t="shared" si="18"/>
        <v>gm</v>
      </c>
      <c r="D120" s="123">
        <f t="shared" si="18"/>
        <v>1</v>
      </c>
      <c r="E120" s="281">
        <f t="shared" si="22"/>
        <v>2.0276923076923197</v>
      </c>
      <c r="F120" s="127">
        <f t="shared" si="19"/>
        <v>0.75</v>
      </c>
      <c r="G120" s="121">
        <f t="shared" si="20"/>
        <v>2.0276923076923197</v>
      </c>
      <c r="H120" s="120">
        <f t="shared" si="21"/>
        <v>1.5207692307692398</v>
      </c>
    </row>
    <row r="121" spans="1:10" ht="14.25" customHeight="1" x14ac:dyDescent="0.3">
      <c r="A121" s="128" t="s">
        <v>97</v>
      </c>
      <c r="B121" s="123" t="str">
        <f t="shared" si="18"/>
        <v>Cardamom Whole - هيل حب</v>
      </c>
      <c r="C121" s="123" t="str">
        <f t="shared" si="18"/>
        <v>gm</v>
      </c>
      <c r="D121" s="123">
        <f t="shared" si="18"/>
        <v>1</v>
      </c>
      <c r="E121" s="281">
        <f t="shared" si="22"/>
        <v>2.0276923076923197</v>
      </c>
      <c r="F121" s="127">
        <f t="shared" si="19"/>
        <v>0.75</v>
      </c>
      <c r="G121" s="121">
        <f t="shared" si="20"/>
        <v>2.0276923076923197</v>
      </c>
      <c r="H121" s="120">
        <f t="shared" si="21"/>
        <v>1.5207692307692398</v>
      </c>
    </row>
    <row r="122" spans="1:10" ht="20.25" customHeight="1" x14ac:dyDescent="0.4">
      <c r="A122" s="211"/>
      <c r="B122" s="198" t="s">
        <v>299</v>
      </c>
      <c r="C122" s="200" t="s">
        <v>285</v>
      </c>
      <c r="E122" s="200" t="s">
        <v>300</v>
      </c>
      <c r="G122" s="890" t="s">
        <v>276</v>
      </c>
      <c r="H122" s="890" t="s">
        <v>733</v>
      </c>
      <c r="I122" s="204"/>
      <c r="J122" s="203"/>
    </row>
    <row r="123" spans="1:10" ht="25.25" customHeight="1" x14ac:dyDescent="0.4">
      <c r="A123" s="211"/>
      <c r="B123" s="199">
        <f>$J$54</f>
        <v>6758.3076923076806</v>
      </c>
      <c r="C123" s="199">
        <f>E123+G123</f>
        <v>2027.6923076923197</v>
      </c>
      <c r="D123" s="930"/>
      <c r="E123" s="199">
        <f>$D$54*$S$44</f>
        <v>2027.6923076923197</v>
      </c>
      <c r="F123" s="934"/>
      <c r="G123" s="199">
        <f>$D$54*$T$44</f>
        <v>0</v>
      </c>
      <c r="H123" s="199">
        <f>B123+E123</f>
        <v>8786</v>
      </c>
    </row>
  </sheetData>
  <mergeCells count="12">
    <mergeCell ref="B95:H95"/>
    <mergeCell ref="K2:K3"/>
    <mergeCell ref="B63:H63"/>
    <mergeCell ref="L2:L3"/>
    <mergeCell ref="B2:J3"/>
    <mergeCell ref="B35:F35"/>
    <mergeCell ref="AK2:AM2"/>
    <mergeCell ref="AE2:AG3"/>
    <mergeCell ref="B94:H94"/>
    <mergeCell ref="R26:U26"/>
    <mergeCell ref="R25:U25"/>
    <mergeCell ref="B62:H62"/>
  </mergeCells>
  <printOptions horizontalCentered="1"/>
  <pageMargins left="0.4" right="0.4" top="1" bottom="0.5" header="0.3" footer="0.511811023622047"/>
  <pageSetup paperSize="9" scale="48" orientation="landscape"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8" tint="-0.249977111117893"/>
    <pageSetUpPr fitToPage="1"/>
  </sheetPr>
  <dimension ref="A1:AE144"/>
  <sheetViews>
    <sheetView zoomScale="81" zoomScaleNormal="55" workbookViewId="0">
      <selection activeCell="D5" sqref="D5"/>
    </sheetView>
  </sheetViews>
  <sheetFormatPr defaultColWidth="12.5" defaultRowHeight="14" x14ac:dyDescent="0.3"/>
  <cols>
    <col min="1" max="1" width="12.5" style="79" customWidth="1"/>
    <col min="2" max="2" width="37" style="14" customWidth="1"/>
    <col min="3" max="3" width="17.25" style="14" customWidth="1"/>
    <col min="4" max="4" width="18" style="14" customWidth="1"/>
    <col min="5" max="5" width="15.1640625" style="297" customWidth="1"/>
    <col min="6" max="6" width="13.83203125" style="14" customWidth="1"/>
    <col min="7" max="7" width="16.9140625" style="14" customWidth="1"/>
    <col min="8" max="8" width="29.75" style="14" customWidth="1"/>
    <col min="9" max="10" width="12.4140625" style="14" customWidth="1"/>
    <col min="11" max="11" width="11.5" style="14" customWidth="1"/>
    <col min="12" max="12" width="8.33203125" style="14" customWidth="1"/>
    <col min="13" max="13" width="30.4140625" style="14" customWidth="1"/>
    <col min="14" max="14" width="12.5" style="14" customWidth="1"/>
    <col min="15" max="15" width="8.25" style="14" customWidth="1"/>
    <col min="16" max="16" width="7.5" style="14" customWidth="1"/>
    <col min="17" max="17" width="12.5" style="14" customWidth="1"/>
    <col min="18" max="18" width="23.5" style="14" customWidth="1"/>
    <col min="19" max="19" width="12.5" style="14" customWidth="1"/>
    <col min="20" max="26" width="12.5" style="14"/>
    <col min="27" max="27" width="29.25" style="14" bestFit="1" customWidth="1"/>
    <col min="28" max="28" width="11.33203125" style="14" bestFit="1" customWidth="1"/>
    <col min="29" max="30" width="12.5" style="782"/>
    <col min="31" max="16384" width="12.5" style="14"/>
  </cols>
  <sheetData>
    <row r="1" spans="1:31" s="250" customFormat="1" ht="35.25" customHeight="1" x14ac:dyDescent="0.25">
      <c r="A1" s="248"/>
      <c r="B1" s="80" t="s">
        <v>243</v>
      </c>
      <c r="C1" s="81">
        <v>1000</v>
      </c>
      <c r="D1" s="82" t="s">
        <v>244</v>
      </c>
      <c r="E1" s="83">
        <f>$T$32</f>
        <v>19348</v>
      </c>
      <c r="F1" s="386" t="s">
        <v>245</v>
      </c>
      <c r="G1" s="84">
        <f>E1/C1</f>
        <v>19.347999999999999</v>
      </c>
      <c r="H1" s="80" t="s">
        <v>246</v>
      </c>
      <c r="I1" s="85">
        <f>(G1/K1)</f>
        <v>20.366315789473685</v>
      </c>
      <c r="J1" s="86" t="s">
        <v>247</v>
      </c>
      <c r="K1" s="85">
        <v>0.95</v>
      </c>
      <c r="L1" s="387"/>
      <c r="M1" s="89"/>
      <c r="N1" s="90"/>
      <c r="O1" s="91" t="s">
        <v>248</v>
      </c>
      <c r="P1" s="92"/>
      <c r="Q1" s="93" t="s">
        <v>551</v>
      </c>
      <c r="R1" s="14">
        <v>3</v>
      </c>
      <c r="Y1" s="91" t="s">
        <v>479</v>
      </c>
      <c r="Z1" s="847">
        <v>48370</v>
      </c>
      <c r="AA1" s="91" t="s">
        <v>600</v>
      </c>
      <c r="AB1" s="847">
        <v>0</v>
      </c>
      <c r="AC1" s="91" t="s">
        <v>587</v>
      </c>
      <c r="AD1" s="847">
        <v>325</v>
      </c>
    </row>
    <row r="2" spans="1:31" ht="15.75" customHeight="1" x14ac:dyDescent="0.3">
      <c r="A2" s="97"/>
      <c r="B2" s="1387" t="s">
        <v>44</v>
      </c>
      <c r="C2" s="1389"/>
      <c r="D2" s="1389"/>
      <c r="E2" s="1447"/>
      <c r="F2" s="1389"/>
      <c r="G2" s="1389"/>
      <c r="H2" s="1389"/>
      <c r="I2" s="98"/>
      <c r="J2" s="98"/>
      <c r="K2" s="98"/>
      <c r="L2" s="98"/>
      <c r="M2" s="100"/>
      <c r="N2" s="100"/>
      <c r="O2" s="100"/>
      <c r="P2" s="100"/>
      <c r="Q2" s="100"/>
      <c r="R2" s="100"/>
      <c r="AC2" s="779"/>
      <c r="AD2" s="779"/>
      <c r="AE2" s="1391"/>
    </row>
    <row r="3" spans="1:31" ht="15.75" customHeight="1" x14ac:dyDescent="0.3">
      <c r="A3" s="97"/>
      <c r="B3" s="1388"/>
      <c r="C3" s="1388"/>
      <c r="D3" s="1388"/>
      <c r="E3" s="1388"/>
      <c r="F3" s="1388"/>
      <c r="G3" s="1388"/>
      <c r="H3" s="1388"/>
      <c r="I3" s="103"/>
      <c r="J3" s="103"/>
      <c r="K3" s="103"/>
      <c r="L3" s="103"/>
      <c r="P3" s="100"/>
      <c r="Q3" s="100"/>
      <c r="R3" s="100"/>
      <c r="AC3" s="779"/>
      <c r="AD3" s="779"/>
      <c r="AE3" s="1389"/>
    </row>
    <row r="4" spans="1:31" ht="36.75" customHeight="1" x14ac:dyDescent="0.25">
      <c r="A4" s="91" t="s">
        <v>1</v>
      </c>
      <c r="B4" s="91" t="s">
        <v>253</v>
      </c>
      <c r="C4" s="107" t="s">
        <v>254</v>
      </c>
      <c r="D4" s="91" t="s">
        <v>243</v>
      </c>
      <c r="E4" s="108" t="s">
        <v>246</v>
      </c>
      <c r="F4" s="108" t="s">
        <v>255</v>
      </c>
      <c r="G4" s="91" t="s">
        <v>256</v>
      </c>
      <c r="H4" s="109" t="s">
        <v>257</v>
      </c>
      <c r="I4" s="91" t="s">
        <v>258</v>
      </c>
      <c r="J4" s="91" t="s">
        <v>259</v>
      </c>
      <c r="K4" s="91" t="s">
        <v>260</v>
      </c>
      <c r="L4" s="91" t="s">
        <v>261</v>
      </c>
      <c r="M4" s="100"/>
      <c r="N4" s="100"/>
      <c r="O4" s="100"/>
      <c r="P4" s="14">
        <f>450*26</f>
        <v>11700</v>
      </c>
      <c r="Q4" s="14">
        <v>30600</v>
      </c>
      <c r="AA4" s="251"/>
      <c r="AB4" s="253"/>
      <c r="AC4" s="778"/>
      <c r="AD4" s="778"/>
      <c r="AE4" s="251"/>
    </row>
    <row r="5" spans="1:31" ht="14.25" customHeight="1" x14ac:dyDescent="0.25">
      <c r="A5" s="388" t="s">
        <v>230</v>
      </c>
      <c r="B5" s="309" t="s">
        <v>547</v>
      </c>
      <c r="C5" s="115" t="s">
        <v>14</v>
      </c>
      <c r="D5" s="121">
        <f>I51/H51</f>
        <v>500</v>
      </c>
      <c r="E5" s="197">
        <f t="shared" ref="E5:E14" si="0">$I$1</f>
        <v>20.366315789473685</v>
      </c>
      <c r="F5" s="118">
        <v>1</v>
      </c>
      <c r="G5" s="119">
        <f t="shared" ref="G5:G14" si="1">D5*E5</f>
        <v>10183.157894736842</v>
      </c>
      <c r="H5" s="120">
        <f t="shared" ref="H5:H14" si="2">G5*F5</f>
        <v>10183.157894736842</v>
      </c>
      <c r="I5" s="81">
        <f>VLOOKUP(B5,All_Ingredients!$A$1:$F$151,6,FALSE())</f>
        <v>1</v>
      </c>
      <c r="J5" s="119">
        <f>VLOOKUP(B5,All_Ingredients!$A$1:$J$151,10,FALSE())</f>
        <v>10.208333333333334</v>
      </c>
      <c r="K5" s="122">
        <f>(H5/I5)/1000</f>
        <v>10.183157894736842</v>
      </c>
      <c r="L5" s="122">
        <f t="shared" ref="L5:L18" si="3">K5*J5</f>
        <v>103.95307017543861</v>
      </c>
      <c r="M5" s="100"/>
      <c r="N5" s="100"/>
      <c r="O5" s="100"/>
      <c r="P5" s="14">
        <v>36900</v>
      </c>
      <c r="Q5" s="14">
        <f>30*450</f>
        <v>13500</v>
      </c>
      <c r="AA5" s="92"/>
      <c r="AB5" s="133"/>
      <c r="AC5" s="780"/>
      <c r="AD5" s="781"/>
      <c r="AE5" s="136"/>
    </row>
    <row r="6" spans="1:31" ht="14.25" customHeight="1" x14ac:dyDescent="0.3">
      <c r="A6" s="128" t="s">
        <v>158</v>
      </c>
      <c r="B6" s="267" t="s">
        <v>171</v>
      </c>
      <c r="C6" s="124" t="s">
        <v>165</v>
      </c>
      <c r="D6" s="125">
        <v>600</v>
      </c>
      <c r="E6" s="197">
        <f t="shared" si="0"/>
        <v>20.366315789473685</v>
      </c>
      <c r="F6" s="127">
        <v>1</v>
      </c>
      <c r="G6" s="119">
        <f t="shared" si="1"/>
        <v>12219.789473684212</v>
      </c>
      <c r="H6" s="120">
        <f t="shared" si="2"/>
        <v>12219.789473684212</v>
      </c>
      <c r="I6" s="81">
        <f>VLOOKUP(B6,All_Ingredients!$A$1:$F$151,6,FALSE())</f>
        <v>1</v>
      </c>
      <c r="J6" s="119">
        <f>VLOOKUP(B6,All_Ingredients!$A$1:$J$151,10,FALSE())</f>
        <v>12.666666666666666</v>
      </c>
      <c r="K6" s="122">
        <f>(H6/I6)/1000</f>
        <v>12.219789473684212</v>
      </c>
      <c r="L6" s="122">
        <f t="shared" si="3"/>
        <v>154.78400000000002</v>
      </c>
      <c r="P6" s="14">
        <f>P5/P4</f>
        <v>3.1538461538461537</v>
      </c>
      <c r="Q6" s="14">
        <f>Q4/Q5</f>
        <v>2.2666666666666666</v>
      </c>
    </row>
    <row r="7" spans="1:31" ht="14.25" customHeight="1" x14ac:dyDescent="0.3">
      <c r="A7" s="128" t="s">
        <v>158</v>
      </c>
      <c r="B7" s="267" t="s">
        <v>164</v>
      </c>
      <c r="C7" s="124" t="s">
        <v>165</v>
      </c>
      <c r="D7" s="125">
        <v>600</v>
      </c>
      <c r="E7" s="197">
        <f t="shared" si="0"/>
        <v>20.366315789473685</v>
      </c>
      <c r="F7" s="127">
        <v>1</v>
      </c>
      <c r="G7" s="119">
        <f t="shared" si="1"/>
        <v>12219.789473684212</v>
      </c>
      <c r="H7" s="120">
        <f t="shared" si="2"/>
        <v>12219.789473684212</v>
      </c>
      <c r="I7" s="81">
        <f>VLOOKUP(B7,All_Ingredients!$A$1:$F$151,6,FALSE())</f>
        <v>1</v>
      </c>
      <c r="J7" s="119">
        <f>VLOOKUP(B7,All_Ingredients!$A$1:$J$151,10,FALSE())</f>
        <v>4.2033333333333331</v>
      </c>
      <c r="K7" s="122">
        <f t="shared" ref="K7:K18" si="4">(H7/I7)/1000</f>
        <v>12.219789473684212</v>
      </c>
      <c r="L7" s="122">
        <f t="shared" si="3"/>
        <v>51.363848421052637</v>
      </c>
    </row>
    <row r="8" spans="1:31" ht="14.25" customHeight="1" x14ac:dyDescent="0.3">
      <c r="A8" s="128" t="s">
        <v>13</v>
      </c>
      <c r="B8" s="267" t="s">
        <v>12</v>
      </c>
      <c r="C8" s="124" t="s">
        <v>14</v>
      </c>
      <c r="D8" s="125">
        <v>20</v>
      </c>
      <c r="E8" s="197">
        <f t="shared" si="0"/>
        <v>20.366315789473685</v>
      </c>
      <c r="F8" s="127">
        <v>1</v>
      </c>
      <c r="G8" s="119">
        <f t="shared" si="1"/>
        <v>407.32631578947371</v>
      </c>
      <c r="H8" s="120">
        <f t="shared" si="2"/>
        <v>407.32631578947371</v>
      </c>
      <c r="I8" s="81">
        <f>VLOOKUP(B8,All_Ingredients!$A$1:$F$151,6,FALSE())</f>
        <v>0.9</v>
      </c>
      <c r="J8" s="119">
        <f>VLOOKUP(B8,All_Ingredients!$A$1:$J$151,10,FALSE())</f>
        <v>3</v>
      </c>
      <c r="K8" s="122">
        <f t="shared" si="4"/>
        <v>0.45258479532163742</v>
      </c>
      <c r="L8" s="122">
        <f t="shared" si="3"/>
        <v>1.3577543859649124</v>
      </c>
      <c r="S8" s="14" t="s">
        <v>365</v>
      </c>
      <c r="T8" s="14" t="s">
        <v>366</v>
      </c>
    </row>
    <row r="9" spans="1:31" ht="14.25" customHeight="1" x14ac:dyDescent="0.3">
      <c r="A9" s="128" t="s">
        <v>97</v>
      </c>
      <c r="B9" s="267" t="s">
        <v>144</v>
      </c>
      <c r="C9" s="124" t="s">
        <v>14</v>
      </c>
      <c r="D9" s="125">
        <v>10</v>
      </c>
      <c r="E9" s="197">
        <f t="shared" si="0"/>
        <v>20.366315789473685</v>
      </c>
      <c r="F9" s="127">
        <v>1</v>
      </c>
      <c r="G9" s="119">
        <f t="shared" si="1"/>
        <v>203.66315789473686</v>
      </c>
      <c r="H9" s="120">
        <f t="shared" si="2"/>
        <v>203.66315789473686</v>
      </c>
      <c r="I9" s="81">
        <f>VLOOKUP(B9,All_Ingredients!$A$1:$F$151,6,FALSE())</f>
        <v>1</v>
      </c>
      <c r="J9" s="119">
        <f>VLOOKUP(B9,All_Ingredients!$A$1:$J$151,10,FALSE())</f>
        <v>15.277777777777779</v>
      </c>
      <c r="K9" s="122">
        <f t="shared" si="4"/>
        <v>0.20366315789473685</v>
      </c>
      <c r="L9" s="122">
        <f t="shared" si="3"/>
        <v>3.1115204678362578</v>
      </c>
    </row>
    <row r="10" spans="1:31" ht="14.25" customHeight="1" x14ac:dyDescent="0.3">
      <c r="A10" s="128" t="s">
        <v>97</v>
      </c>
      <c r="B10" s="267" t="s">
        <v>104</v>
      </c>
      <c r="C10" s="124" t="s">
        <v>14</v>
      </c>
      <c r="D10" s="125">
        <v>2</v>
      </c>
      <c r="E10" s="197">
        <f t="shared" si="0"/>
        <v>20.366315789473685</v>
      </c>
      <c r="F10" s="127">
        <v>1</v>
      </c>
      <c r="G10" s="119">
        <f t="shared" si="1"/>
        <v>40.73263157894737</v>
      </c>
      <c r="H10" s="120">
        <f t="shared" si="2"/>
        <v>40.73263157894737</v>
      </c>
      <c r="I10" s="81">
        <f>VLOOKUP(B10,All_Ingredients!$A$1:$F$151,6,FALSE())</f>
        <v>1</v>
      </c>
      <c r="J10" s="119">
        <f>VLOOKUP(B10,All_Ingredients!$A$1:$J$151,10,FALSE())</f>
        <v>47</v>
      </c>
      <c r="K10" s="122">
        <f t="shared" si="4"/>
        <v>4.0732631578947368E-2</v>
      </c>
      <c r="L10" s="122">
        <f t="shared" si="3"/>
        <v>1.9144336842105263</v>
      </c>
    </row>
    <row r="11" spans="1:31" ht="14.25" customHeight="1" x14ac:dyDescent="0.3">
      <c r="A11" s="128" t="s">
        <v>97</v>
      </c>
      <c r="B11" s="267" t="s">
        <v>96</v>
      </c>
      <c r="C11" s="124" t="s">
        <v>165</v>
      </c>
      <c r="D11" s="125">
        <v>2</v>
      </c>
      <c r="E11" s="197">
        <f t="shared" si="0"/>
        <v>20.366315789473685</v>
      </c>
      <c r="F11" s="127">
        <v>1</v>
      </c>
      <c r="G11" s="119">
        <f t="shared" si="1"/>
        <v>40.73263157894737</v>
      </c>
      <c r="H11" s="120">
        <f t="shared" si="2"/>
        <v>40.73263157894737</v>
      </c>
      <c r="I11" s="81">
        <f>VLOOKUP(B11,All_Ingredients!$A$1:$F$151,6,FALSE())</f>
        <v>1</v>
      </c>
      <c r="J11" s="119">
        <f>VLOOKUP(B11,All_Ingredients!$A$1:$J$151,10,FALSE())</f>
        <v>0.74</v>
      </c>
      <c r="K11" s="122">
        <f t="shared" si="4"/>
        <v>4.0732631578947368E-2</v>
      </c>
      <c r="L11" s="122">
        <f t="shared" si="3"/>
        <v>3.0142147368421052E-2</v>
      </c>
    </row>
    <row r="12" spans="1:31" ht="14.25" customHeight="1" x14ac:dyDescent="0.3">
      <c r="A12" s="128" t="s">
        <v>158</v>
      </c>
      <c r="B12" s="267" t="s">
        <v>157</v>
      </c>
      <c r="C12" s="124" t="s">
        <v>14</v>
      </c>
      <c r="D12" s="125">
        <v>20</v>
      </c>
      <c r="E12" s="197">
        <f t="shared" si="0"/>
        <v>20.366315789473685</v>
      </c>
      <c r="F12" s="127">
        <v>1</v>
      </c>
      <c r="G12" s="119">
        <f t="shared" si="1"/>
        <v>407.32631578947371</v>
      </c>
      <c r="H12" s="120">
        <f t="shared" si="2"/>
        <v>407.32631578947371</v>
      </c>
      <c r="I12" s="81">
        <f>VLOOKUP(B12,All_Ingredients!$A$1:$F$151,6,FALSE())</f>
        <v>1</v>
      </c>
      <c r="J12" s="119">
        <f>VLOOKUP(B12,All_Ingredients!$A$1:$J$151,10,FALSE())</f>
        <v>30</v>
      </c>
      <c r="K12" s="122">
        <f t="shared" si="4"/>
        <v>0.4073263157894737</v>
      </c>
      <c r="L12" s="122">
        <f t="shared" si="3"/>
        <v>12.219789473684211</v>
      </c>
    </row>
    <row r="13" spans="1:31" ht="14.25" customHeight="1" x14ac:dyDescent="0.3">
      <c r="A13" s="128" t="s">
        <v>192</v>
      </c>
      <c r="B13" s="267" t="s">
        <v>191</v>
      </c>
      <c r="C13" s="124" t="s">
        <v>14</v>
      </c>
      <c r="D13" s="125">
        <v>15</v>
      </c>
      <c r="E13" s="197">
        <f t="shared" si="0"/>
        <v>20.366315789473685</v>
      </c>
      <c r="F13" s="127">
        <v>1</v>
      </c>
      <c r="G13" s="119">
        <f t="shared" si="1"/>
        <v>305.49473684210528</v>
      </c>
      <c r="H13" s="120">
        <f t="shared" si="2"/>
        <v>305.49473684210528</v>
      </c>
      <c r="I13" s="81">
        <f>VLOOKUP(B13,All_Ingredients!$A$1:$F$151,6,FALSE())</f>
        <v>1</v>
      </c>
      <c r="J13" s="119">
        <f>VLOOKUP(B13,All_Ingredients!$A$1:$J$151,10,FALSE())</f>
        <v>1.7</v>
      </c>
      <c r="K13" s="122">
        <f t="shared" si="4"/>
        <v>0.30549473684210526</v>
      </c>
      <c r="L13" s="122">
        <f t="shared" si="3"/>
        <v>0.51934105263157893</v>
      </c>
      <c r="S13" s="14" t="s">
        <v>364</v>
      </c>
      <c r="T13" s="14" t="s">
        <v>268</v>
      </c>
      <c r="U13" s="14" t="s">
        <v>367</v>
      </c>
      <c r="V13" s="14" t="s">
        <v>364</v>
      </c>
    </row>
    <row r="14" spans="1:31" ht="14.75" customHeight="1" x14ac:dyDescent="0.3">
      <c r="A14" s="128"/>
      <c r="B14" s="267" t="s">
        <v>792</v>
      </c>
      <c r="C14" s="124" t="s">
        <v>14</v>
      </c>
      <c r="D14" s="125">
        <v>20</v>
      </c>
      <c r="E14" s="197">
        <f t="shared" si="0"/>
        <v>20.366315789473685</v>
      </c>
      <c r="F14" s="127">
        <v>1</v>
      </c>
      <c r="G14" s="119">
        <f t="shared" si="1"/>
        <v>407.32631578947371</v>
      </c>
      <c r="H14" s="120">
        <f t="shared" si="2"/>
        <v>407.32631578947371</v>
      </c>
      <c r="I14" s="81">
        <f>VLOOKUP(B14,All_Ingredients!$A$1:$F$151,6,FALSE())</f>
        <v>1</v>
      </c>
      <c r="J14" s="119">
        <f>VLOOKUP(B14,All_Ingredients!$A$1:$J$151,10,FALSE())</f>
        <v>10.5</v>
      </c>
      <c r="K14" s="122">
        <f t="shared" si="4"/>
        <v>0.4073263157894737</v>
      </c>
      <c r="L14" s="122">
        <f t="shared" si="3"/>
        <v>4.2769263157894741</v>
      </c>
      <c r="S14" s="14">
        <v>28</v>
      </c>
      <c r="T14" s="250">
        <v>17862</v>
      </c>
      <c r="U14" s="150">
        <v>59540</v>
      </c>
      <c r="V14" s="338">
        <v>53690</v>
      </c>
    </row>
    <row r="15" spans="1:31" ht="14.25" customHeight="1" x14ac:dyDescent="0.3">
      <c r="B15" s="267" t="s">
        <v>735</v>
      </c>
      <c r="C15" s="171"/>
      <c r="D15" s="171"/>
      <c r="E15" s="346"/>
      <c r="F15" s="136"/>
      <c r="G15" s="171"/>
      <c r="I15" s="81"/>
      <c r="J15" s="119"/>
      <c r="K15" s="122"/>
      <c r="L15" s="122">
        <f t="shared" si="3"/>
        <v>0</v>
      </c>
      <c r="S15" s="14" t="s">
        <v>368</v>
      </c>
    </row>
    <row r="16" spans="1:31" ht="14.25" customHeight="1" x14ac:dyDescent="0.3">
      <c r="B16" s="864" t="s">
        <v>209</v>
      </c>
      <c r="C16" s="865" t="s">
        <v>211</v>
      </c>
      <c r="D16" s="866">
        <v>15.780298507462685</v>
      </c>
      <c r="E16" s="866">
        <f>$I$1</f>
        <v>20.366315789473685</v>
      </c>
      <c r="F16" s="867">
        <v>1</v>
      </c>
      <c r="G16" s="868">
        <f>D16*E16</f>
        <v>321.38654265514532</v>
      </c>
      <c r="H16" s="869">
        <f>G16*F16</f>
        <v>321.38654265514532</v>
      </c>
      <c r="I16" s="81">
        <f>VLOOKUP(B16,All_Ingredients!$A$1:$F$151,6,FALSE())</f>
        <v>1</v>
      </c>
      <c r="J16" s="119">
        <f>VLOOKUP(B16,All_Ingredients!$A$1:$J$151,10,FALSE())</f>
        <v>0</v>
      </c>
      <c r="K16" s="122">
        <f>(H16/I16)/1000</f>
        <v>0.32138654265514532</v>
      </c>
      <c r="L16" s="122">
        <f>K16*J16</f>
        <v>0</v>
      </c>
      <c r="S16" s="14">
        <f>28*450</f>
        <v>12600</v>
      </c>
    </row>
    <row r="17" spans="2:29" ht="14.25" customHeight="1" x14ac:dyDescent="0.3">
      <c r="B17" s="864" t="s">
        <v>96</v>
      </c>
      <c r="C17" s="865" t="s">
        <v>14</v>
      </c>
      <c r="D17" s="866">
        <v>19.725373134328358</v>
      </c>
      <c r="E17" s="866">
        <f>$I$1</f>
        <v>20.366315789473685</v>
      </c>
      <c r="F17" s="867">
        <v>1</v>
      </c>
      <c r="G17" s="868">
        <f>D17*E17</f>
        <v>401.73317831893166</v>
      </c>
      <c r="H17" s="869">
        <f>G17*F17</f>
        <v>401.73317831893166</v>
      </c>
      <c r="I17" s="81">
        <f>VLOOKUP(B17,All_Ingredients!$A$1:$F$151,6,FALSE())</f>
        <v>1</v>
      </c>
      <c r="J17" s="119">
        <f>VLOOKUP(B17,All_Ingredients!$A$1:$J$151,10,FALSE())</f>
        <v>0.74</v>
      </c>
      <c r="K17" s="122">
        <f t="shared" si="4"/>
        <v>0.40173317831893168</v>
      </c>
      <c r="L17" s="122">
        <f t="shared" si="3"/>
        <v>0.29728255195600944</v>
      </c>
    </row>
    <row r="18" spans="2:29" ht="14.25" customHeight="1" x14ac:dyDescent="0.3">
      <c r="B18" s="864" t="s">
        <v>218</v>
      </c>
      <c r="C18" s="865" t="s">
        <v>14</v>
      </c>
      <c r="D18" s="866">
        <v>9.8626865671641788</v>
      </c>
      <c r="E18" s="866">
        <f>$I$1</f>
        <v>20.366315789473685</v>
      </c>
      <c r="F18" s="867">
        <v>1</v>
      </c>
      <c r="G18" s="868">
        <f>D18*E18</f>
        <v>200.86658915946583</v>
      </c>
      <c r="H18" s="869">
        <f>G18*F18</f>
        <v>200.86658915946583</v>
      </c>
      <c r="I18" s="81">
        <f>VLOOKUP(B18,All_Ingredients!$A$1:$F$151,6,FALSE())</f>
        <v>1</v>
      </c>
      <c r="J18" s="119">
        <f>VLOOKUP(B18,All_Ingredients!$A$1:$J$151,10,FALSE())</f>
        <v>15.5</v>
      </c>
      <c r="K18" s="122">
        <f t="shared" si="4"/>
        <v>0.20086658915946584</v>
      </c>
      <c r="L18" s="122">
        <f t="shared" si="3"/>
        <v>3.1134321319717206</v>
      </c>
    </row>
    <row r="19" spans="2:29" ht="14.25" customHeight="1" x14ac:dyDescent="0.3">
      <c r="L19" s="297"/>
    </row>
    <row r="20" spans="2:29" ht="14.25" customHeight="1" x14ac:dyDescent="0.3">
      <c r="L20" s="297"/>
      <c r="N20" s="532" t="s">
        <v>734</v>
      </c>
    </row>
    <row r="21" spans="2:29" ht="14.25" customHeight="1" x14ac:dyDescent="0.3"/>
    <row r="22" spans="2:29" ht="14.25" customHeight="1" x14ac:dyDescent="0.3">
      <c r="B22" s="100"/>
      <c r="D22" s="389"/>
      <c r="E22" s="346"/>
      <c r="F22" s="891"/>
    </row>
    <row r="23" spans="2:29" ht="14.25" customHeight="1" x14ac:dyDescent="0.3">
      <c r="B23" s="100"/>
      <c r="D23" s="389"/>
      <c r="E23" s="346"/>
      <c r="F23" s="891"/>
      <c r="R23"/>
    </row>
    <row r="24" spans="2:29" ht="14.25" customHeight="1" x14ac:dyDescent="0.3">
      <c r="B24" s="100"/>
      <c r="D24" s="389"/>
      <c r="E24" s="346"/>
      <c r="F24" s="891"/>
      <c r="Z24" s="1234"/>
    </row>
    <row r="25" spans="2:29" ht="14.25" customHeight="1" x14ac:dyDescent="0.35">
      <c r="B25" s="100"/>
      <c r="D25" s="389"/>
      <c r="E25" s="346"/>
      <c r="F25" s="100"/>
      <c r="N25" s="303"/>
      <c r="R25" s="1411" t="s">
        <v>369</v>
      </c>
      <c r="S25" s="1388"/>
      <c r="T25" s="1388"/>
      <c r="U25" s="1388"/>
      <c r="Z25" s="141" t="s">
        <v>264</v>
      </c>
      <c r="AA25" s="142">
        <v>47890</v>
      </c>
      <c r="AB25" s="141" t="s">
        <v>261</v>
      </c>
      <c r="AC25" s="143">
        <f>(AA25*AC30)</f>
        <v>333.59789930309171</v>
      </c>
    </row>
    <row r="26" spans="2:29" ht="14.25" customHeight="1" x14ac:dyDescent="0.3">
      <c r="N26" s="303"/>
      <c r="R26" s="1423" t="s">
        <v>265</v>
      </c>
      <c r="S26" s="1388"/>
      <c r="T26" s="1388"/>
      <c r="U26" s="1388"/>
      <c r="AC26" s="14"/>
    </row>
    <row r="27" spans="2:29" ht="14.25" customHeight="1" thickBot="1" x14ac:dyDescent="0.35">
      <c r="N27" s="303"/>
      <c r="R27" s="145" t="s">
        <v>266</v>
      </c>
      <c r="S27" s="146" t="s">
        <v>364</v>
      </c>
      <c r="T27" s="146" t="s">
        <v>268</v>
      </c>
      <c r="U27" s="146" t="s">
        <v>274</v>
      </c>
      <c r="Z27" s="141" t="s">
        <v>270</v>
      </c>
      <c r="AA27" s="147" t="s">
        <v>364</v>
      </c>
      <c r="AB27" s="147" t="s">
        <v>272</v>
      </c>
      <c r="AC27" s="147" t="s">
        <v>274</v>
      </c>
    </row>
    <row r="28" spans="2:29" ht="14.25" customHeight="1" thickBot="1" x14ac:dyDescent="0.35">
      <c r="R28" s="148" t="s">
        <v>275</v>
      </c>
      <c r="S28" s="149">
        <f>U28*S40</f>
        <v>29022</v>
      </c>
      <c r="T28" s="149">
        <f>U28*U40</f>
        <v>19348</v>
      </c>
      <c r="U28" s="150">
        <f>$Z$1</f>
        <v>48370</v>
      </c>
      <c r="Z28" s="151"/>
      <c r="AA28" s="1200">
        <f>AA25*$S$40</f>
        <v>28734</v>
      </c>
      <c r="AB28" s="1200">
        <f>AA25*$U$40</f>
        <v>19156</v>
      </c>
      <c r="AC28" s="154">
        <f>SUM(AA28:AB28)</f>
        <v>47890</v>
      </c>
    </row>
    <row r="29" spans="2:29" ht="21" customHeight="1" thickBot="1" x14ac:dyDescent="0.35">
      <c r="R29" s="148" t="s">
        <v>276</v>
      </c>
      <c r="S29" s="155"/>
      <c r="T29" s="149"/>
      <c r="U29" s="149">
        <f>T29</f>
        <v>0</v>
      </c>
      <c r="Z29" s="151"/>
      <c r="AA29" s="1227">
        <f>AA28/$AC$28</f>
        <v>0.6</v>
      </c>
      <c r="AB29" s="1227">
        <f>AB28/$AC$28</f>
        <v>0.4</v>
      </c>
      <c r="AC29" s="1225">
        <f>SUM(AA29:AB29)</f>
        <v>1</v>
      </c>
    </row>
    <row r="30" spans="2:29" ht="26.75" customHeight="1" thickBot="1" x14ac:dyDescent="0.35">
      <c r="R30" s="148" t="s">
        <v>277</v>
      </c>
      <c r="S30" s="149">
        <f>U30*S40</f>
        <v>0</v>
      </c>
      <c r="T30" s="149">
        <f>U30*U40</f>
        <v>0</v>
      </c>
      <c r="U30" s="150">
        <f>$AB$1</f>
        <v>0</v>
      </c>
      <c r="Z30" s="141" t="s">
        <v>278</v>
      </c>
      <c r="AA30" s="157">
        <f>S35/(S32)</f>
        <v>3.5818713450292403E-3</v>
      </c>
      <c r="AB30" s="158">
        <f>T35/T32</f>
        <v>1.2041992486689364E-2</v>
      </c>
      <c r="AC30" s="1201">
        <f>SUMPRODUCT(AA29:AB29,AA30:AB30)</f>
        <v>6.9659198016932908E-3</v>
      </c>
    </row>
    <row r="31" spans="2:29" ht="14.25" customHeight="1" thickBot="1" x14ac:dyDescent="0.35">
      <c r="R31" s="148" t="s">
        <v>279</v>
      </c>
      <c r="S31" s="155"/>
      <c r="T31" s="149"/>
      <c r="U31" s="149"/>
      <c r="AC31" s="14"/>
    </row>
    <row r="32" spans="2:29" ht="14.25" customHeight="1" thickBot="1" x14ac:dyDescent="0.35">
      <c r="B32" s="100"/>
      <c r="E32" s="14"/>
      <c r="O32" s="303"/>
      <c r="R32" s="160" t="s">
        <v>269</v>
      </c>
      <c r="S32" s="149">
        <f>SUM(S28:S30)</f>
        <v>29022</v>
      </c>
      <c r="T32" s="149">
        <f>SUM(T28:T30)</f>
        <v>19348</v>
      </c>
      <c r="U32" s="149">
        <f>SUM(U28:U30)</f>
        <v>48370</v>
      </c>
      <c r="AC32" s="14"/>
    </row>
    <row r="33" spans="2:29" ht="14.25" customHeight="1" thickBot="1" x14ac:dyDescent="0.35">
      <c r="B33" s="100"/>
      <c r="E33" s="14"/>
      <c r="O33" s="303"/>
      <c r="R33" s="161" t="s">
        <v>280</v>
      </c>
      <c r="S33" s="155"/>
      <c r="T33" s="155"/>
      <c r="U33" s="155"/>
      <c r="AC33" s="14"/>
    </row>
    <row r="34" spans="2:29" ht="14.25" customHeight="1" thickBot="1" x14ac:dyDescent="0.35">
      <c r="E34" s="14"/>
      <c r="O34" s="303"/>
      <c r="R34" s="162" t="s">
        <v>281</v>
      </c>
      <c r="S34" s="155"/>
      <c r="T34" s="149"/>
      <c r="U34" s="155"/>
      <c r="AA34" s="1181"/>
      <c r="AB34" s="1181"/>
      <c r="AC34" s="14"/>
    </row>
    <row r="35" spans="2:29" ht="14.25" customHeight="1" thickBot="1" x14ac:dyDescent="0.35">
      <c r="E35" s="14"/>
      <c r="R35" s="163" t="s">
        <v>261</v>
      </c>
      <c r="S35" s="1144">
        <f>$L$5</f>
        <v>103.95307017543861</v>
      </c>
      <c r="T35" s="1144">
        <f>SUM(L6:L18)</f>
        <v>232.98847063246581</v>
      </c>
      <c r="U35" s="1240">
        <f>S35+T35</f>
        <v>336.9415408079044</v>
      </c>
    </row>
    <row r="36" spans="2:29" x14ac:dyDescent="0.3">
      <c r="E36" s="14"/>
    </row>
    <row r="37" spans="2:29" x14ac:dyDescent="0.3">
      <c r="E37" s="14"/>
    </row>
    <row r="40" spans="2:29" ht="20.75" customHeight="1" x14ac:dyDescent="0.3">
      <c r="R40" s="165" t="s">
        <v>282</v>
      </c>
      <c r="S40" s="166">
        <v>0.6</v>
      </c>
      <c r="T40" s="165" t="s">
        <v>283</v>
      </c>
      <c r="U40" s="167">
        <v>0.4</v>
      </c>
      <c r="V40" s="168">
        <f>S40+U40</f>
        <v>1</v>
      </c>
    </row>
    <row r="41" spans="2:29" ht="14.25" customHeight="1" x14ac:dyDescent="0.3">
      <c r="U41" s="169"/>
    </row>
    <row r="43" spans="2:29" ht="14.25" customHeight="1" x14ac:dyDescent="0.3">
      <c r="Q43" s="170" t="s">
        <v>284</v>
      </c>
      <c r="R43" s="170" t="s">
        <v>285</v>
      </c>
      <c r="S43" s="170" t="s">
        <v>286</v>
      </c>
      <c r="T43" s="170" t="s">
        <v>287</v>
      </c>
      <c r="U43" s="170" t="s">
        <v>288</v>
      </c>
      <c r="V43" s="170" t="s">
        <v>289</v>
      </c>
      <c r="W43" s="258" t="s">
        <v>545</v>
      </c>
    </row>
    <row r="44" spans="2:29" ht="14.25" customHeight="1" x14ac:dyDescent="0.3">
      <c r="Q44" s="551">
        <v>25000</v>
      </c>
      <c r="R44" s="173">
        <f>D51</f>
        <v>10000</v>
      </c>
      <c r="S44" s="174">
        <v>1</v>
      </c>
      <c r="T44" s="174">
        <v>0</v>
      </c>
      <c r="U44" s="242">
        <f>R44*S44</f>
        <v>10000</v>
      </c>
      <c r="V44" s="176">
        <f>R44*T44</f>
        <v>0</v>
      </c>
      <c r="W44" s="1150">
        <f>Q44-U44</f>
        <v>15000</v>
      </c>
    </row>
    <row r="50" spans="1:18" ht="20.25" customHeight="1" x14ac:dyDescent="0.3">
      <c r="B50" s="145"/>
      <c r="C50" s="145" t="s">
        <v>245</v>
      </c>
      <c r="D50" s="145" t="s">
        <v>291</v>
      </c>
      <c r="E50" s="100"/>
      <c r="F50" s="100"/>
      <c r="G50" s="145" t="s">
        <v>292</v>
      </c>
      <c r="H50" s="145" t="s">
        <v>245</v>
      </c>
      <c r="I50" s="145" t="s">
        <v>544</v>
      </c>
      <c r="J50" s="145" t="s">
        <v>543</v>
      </c>
    </row>
    <row r="51" spans="1:18" ht="20.25" customHeight="1" x14ac:dyDescent="0.3">
      <c r="B51" s="180" t="s">
        <v>295</v>
      </c>
      <c r="C51" s="181">
        <f>10/$K$1</f>
        <v>10.526315789473685</v>
      </c>
      <c r="D51" s="182">
        <f>$C$1*10</f>
        <v>10000</v>
      </c>
      <c r="E51" s="100"/>
      <c r="F51" s="100"/>
      <c r="G51" s="180" t="s">
        <v>295</v>
      </c>
      <c r="H51" s="277">
        <v>10</v>
      </c>
      <c r="I51" s="181">
        <f>J51/$R$1</f>
        <v>5000</v>
      </c>
      <c r="J51" s="181">
        <f>$W$44</f>
        <v>15000</v>
      </c>
    </row>
    <row r="52" spans="1:18" x14ac:dyDescent="0.3">
      <c r="B52" s="145" t="s">
        <v>274</v>
      </c>
      <c r="C52" s="184">
        <f>$I$1</f>
        <v>20.366315789473685</v>
      </c>
      <c r="D52" s="185">
        <f>$E$1</f>
        <v>19348</v>
      </c>
      <c r="E52" s="100"/>
      <c r="F52" s="100"/>
      <c r="G52" s="148" t="s">
        <v>274</v>
      </c>
      <c r="H52" s="569">
        <f>I52/$D$5</f>
        <v>19.347999999999999</v>
      </c>
      <c r="I52" s="176">
        <f>J52/$R$1</f>
        <v>9674</v>
      </c>
      <c r="J52" s="184">
        <f>$S$32</f>
        <v>29022</v>
      </c>
    </row>
    <row r="53" spans="1:18" x14ac:dyDescent="0.3">
      <c r="B53" s="145" t="s">
        <v>296</v>
      </c>
      <c r="C53" s="425">
        <f>MIN($C$52, C51)</f>
        <v>10.526315789473685</v>
      </c>
      <c r="D53" s="185">
        <f>(C53*$K$1)*$C$1</f>
        <v>10000</v>
      </c>
      <c r="E53" s="100"/>
      <c r="F53" s="100"/>
      <c r="G53" s="148" t="s">
        <v>296</v>
      </c>
      <c r="H53" s="187">
        <f>MIN(H52,H51)</f>
        <v>10</v>
      </c>
      <c r="I53" s="176">
        <f>J53/$R$1</f>
        <v>5000</v>
      </c>
      <c r="J53" s="176">
        <f>MIN(J52,J51)</f>
        <v>15000</v>
      </c>
    </row>
    <row r="54" spans="1:18" x14ac:dyDescent="0.3">
      <c r="B54" s="145" t="s">
        <v>297</v>
      </c>
      <c r="C54" s="187">
        <f>MIN(MAX(C52-C53),C51)</f>
        <v>9.84</v>
      </c>
      <c r="D54" s="185">
        <f>(C54*$K$1)*$C$1</f>
        <v>9347.9999999999982</v>
      </c>
      <c r="E54" s="100"/>
      <c r="F54" s="100"/>
      <c r="G54" s="148" t="s">
        <v>297</v>
      </c>
      <c r="H54" s="187">
        <f>MIN(MAX(H52-H53),H51)</f>
        <v>9.347999999999999</v>
      </c>
      <c r="I54" s="176">
        <f>J54/$R$1</f>
        <v>4674</v>
      </c>
      <c r="J54" s="176">
        <f>MIN(MAX(J52-J53),J51)</f>
        <v>14022</v>
      </c>
    </row>
    <row r="55" spans="1:18" x14ac:dyDescent="0.3">
      <c r="B55" s="145"/>
      <c r="C55" s="187">
        <f>MIN(MAX(C52-C53-C54),C51)</f>
        <v>0</v>
      </c>
      <c r="D55" s="185">
        <f>(C55*$K$1)*$C$1</f>
        <v>0</v>
      </c>
      <c r="E55" s="100"/>
      <c r="F55" s="100"/>
      <c r="G55" s="145" t="s">
        <v>298</v>
      </c>
      <c r="H55" s="187">
        <f>MIN(MAX(H52-H53-H54),H51)</f>
        <v>0</v>
      </c>
      <c r="I55" s="176">
        <f>J55/$R$1</f>
        <v>0</v>
      </c>
      <c r="J55" s="176">
        <f>MIN(MAX(J52-J53-J54),J51)</f>
        <v>0</v>
      </c>
      <c r="R55" s="14" t="s">
        <v>736</v>
      </c>
    </row>
    <row r="56" spans="1:18" x14ac:dyDescent="0.3">
      <c r="R56" s="14" t="s">
        <v>737</v>
      </c>
    </row>
    <row r="58" spans="1:18" x14ac:dyDescent="0.3">
      <c r="R58" s="14" t="s">
        <v>738</v>
      </c>
    </row>
    <row r="59" spans="1:18" x14ac:dyDescent="0.3">
      <c r="R59" s="14" t="s">
        <v>739</v>
      </c>
    </row>
    <row r="61" spans="1:18" x14ac:dyDescent="0.3">
      <c r="R61" s="14" t="s">
        <v>740</v>
      </c>
    </row>
    <row r="63" spans="1:18" ht="17.75" customHeight="1" x14ac:dyDescent="0.3">
      <c r="A63" s="937"/>
      <c r="B63" s="1413" t="str">
        <f>"صوص الفيتوتشيني 1 / " &amp; COUNTIF($C$53:$C$55, "&gt;0")</f>
        <v>صوص الفيتوتشيني 1 / 2</v>
      </c>
      <c r="C63" s="1424"/>
      <c r="D63" s="1424"/>
      <c r="E63" s="1448"/>
      <c r="F63" s="1424"/>
      <c r="G63" s="1424"/>
      <c r="H63" s="1424"/>
      <c r="R63" s="14" t="s">
        <v>741</v>
      </c>
    </row>
    <row r="64" spans="1:18" ht="17.75" customHeight="1" x14ac:dyDescent="0.3">
      <c r="A64" s="937"/>
      <c r="B64" s="1382" t="str">
        <f>"Fettuccine Pasta Sauce  1 / " &amp; COUNTIF(C$53:$C$55, "&gt;0")</f>
        <v>Fettuccine Pasta Sauce  1 / 2</v>
      </c>
      <c r="C64" s="1383"/>
      <c r="D64" s="1383"/>
      <c r="E64" s="1383"/>
      <c r="F64" s="1383"/>
      <c r="G64" s="1383"/>
      <c r="H64" s="1383"/>
    </row>
    <row r="65" spans="1:18" ht="48.5" customHeight="1" x14ac:dyDescent="0.25">
      <c r="A65" s="91"/>
      <c r="B65" s="91" t="s">
        <v>253</v>
      </c>
      <c r="C65" s="107" t="s">
        <v>254</v>
      </c>
      <c r="D65" s="91" t="s">
        <v>243</v>
      </c>
      <c r="E65" s="108" t="s">
        <v>246</v>
      </c>
      <c r="F65" s="108" t="s">
        <v>255</v>
      </c>
      <c r="G65" s="91" t="s">
        <v>256</v>
      </c>
      <c r="H65" s="109" t="s">
        <v>257</v>
      </c>
    </row>
    <row r="66" spans="1:18" ht="14.25" customHeight="1" x14ac:dyDescent="0.3">
      <c r="A66" s="128" t="s">
        <v>230</v>
      </c>
      <c r="B66" s="123" t="str">
        <f t="shared" ref="B66:D74" si="5">B5</f>
        <v>Fettuccine Pasta - مكرونة فيتوتشيني</v>
      </c>
      <c r="C66" s="123" t="str">
        <f t="shared" si="5"/>
        <v>gm</v>
      </c>
      <c r="D66" s="279">
        <f t="shared" si="5"/>
        <v>500</v>
      </c>
      <c r="E66" s="116">
        <f>H53</f>
        <v>10</v>
      </c>
      <c r="F66" s="127">
        <f t="shared" ref="F66:F79" si="6">F5</f>
        <v>1</v>
      </c>
      <c r="G66" s="119">
        <f t="shared" ref="G66:G74" si="7">D66*E66</f>
        <v>5000</v>
      </c>
      <c r="H66" s="120">
        <f t="shared" ref="H66:H74" si="8">G66*F66</f>
        <v>5000</v>
      </c>
    </row>
    <row r="67" spans="1:18" ht="14.25" customHeight="1" x14ac:dyDescent="0.3">
      <c r="A67" s="128" t="s">
        <v>158</v>
      </c>
      <c r="B67" s="123" t="str">
        <f t="shared" si="5"/>
        <v>Cooking Cream - كريمة طبخ</v>
      </c>
      <c r="C67" s="123" t="str">
        <f t="shared" si="5"/>
        <v>ml</v>
      </c>
      <c r="D67" s="123">
        <f t="shared" si="5"/>
        <v>600</v>
      </c>
      <c r="E67" s="116">
        <f t="shared" ref="E67:E79" si="9">$C$53</f>
        <v>10.526315789473685</v>
      </c>
      <c r="F67" s="127">
        <f t="shared" si="6"/>
        <v>1</v>
      </c>
      <c r="G67" s="119">
        <f t="shared" si="7"/>
        <v>6315.7894736842109</v>
      </c>
      <c r="H67" s="120">
        <f t="shared" si="8"/>
        <v>6315.7894736842109</v>
      </c>
      <c r="R67" s="14" t="s">
        <v>742</v>
      </c>
    </row>
    <row r="68" spans="1:18" ht="14.25" customHeight="1" x14ac:dyDescent="0.3">
      <c r="A68" s="128" t="s">
        <v>158</v>
      </c>
      <c r="B68" s="123" t="str">
        <f t="shared" si="5"/>
        <v>Milk - حليب</v>
      </c>
      <c r="C68" s="123" t="str">
        <f t="shared" si="5"/>
        <v>ml</v>
      </c>
      <c r="D68" s="123">
        <f t="shared" si="5"/>
        <v>600</v>
      </c>
      <c r="E68" s="116">
        <f t="shared" si="9"/>
        <v>10.526315789473685</v>
      </c>
      <c r="F68" s="127">
        <f t="shared" si="6"/>
        <v>1</v>
      </c>
      <c r="G68" s="119">
        <f t="shared" si="7"/>
        <v>6315.7894736842109</v>
      </c>
      <c r="H68" s="120">
        <f t="shared" si="8"/>
        <v>6315.7894736842109</v>
      </c>
      <c r="R68" s="14" t="s">
        <v>743</v>
      </c>
    </row>
    <row r="69" spans="1:18" ht="14.25" customHeight="1" x14ac:dyDescent="0.3">
      <c r="A69" s="128" t="s">
        <v>13</v>
      </c>
      <c r="B69" s="123" t="str">
        <f t="shared" si="5"/>
        <v>Onion - بصل</v>
      </c>
      <c r="C69" s="123" t="str">
        <f t="shared" si="5"/>
        <v>gm</v>
      </c>
      <c r="D69" s="123">
        <f t="shared" si="5"/>
        <v>20</v>
      </c>
      <c r="E69" s="116">
        <f t="shared" si="9"/>
        <v>10.526315789473685</v>
      </c>
      <c r="F69" s="127">
        <f t="shared" si="6"/>
        <v>1</v>
      </c>
      <c r="G69" s="119">
        <f t="shared" si="7"/>
        <v>210.5263157894737</v>
      </c>
      <c r="H69" s="120">
        <f t="shared" si="8"/>
        <v>210.5263157894737</v>
      </c>
    </row>
    <row r="70" spans="1:18" ht="14.25" customHeight="1" x14ac:dyDescent="0.3">
      <c r="A70" s="128" t="s">
        <v>97</v>
      </c>
      <c r="B70" s="123" t="str">
        <f t="shared" si="5"/>
        <v>Maggi Cubes - مكعبات ماجي</v>
      </c>
      <c r="C70" s="123" t="str">
        <f t="shared" si="5"/>
        <v>gm</v>
      </c>
      <c r="D70" s="123">
        <f t="shared" si="5"/>
        <v>10</v>
      </c>
      <c r="E70" s="116">
        <f t="shared" si="9"/>
        <v>10.526315789473685</v>
      </c>
      <c r="F70" s="127">
        <f t="shared" si="6"/>
        <v>1</v>
      </c>
      <c r="G70" s="119">
        <f t="shared" si="7"/>
        <v>105.26315789473685</v>
      </c>
      <c r="H70" s="120">
        <f t="shared" si="8"/>
        <v>105.26315789473685</v>
      </c>
    </row>
    <row r="71" spans="1:18" ht="14.25" customHeight="1" x14ac:dyDescent="0.3">
      <c r="A71" s="128" t="s">
        <v>97</v>
      </c>
      <c r="B71" s="123" t="str">
        <f t="shared" si="5"/>
        <v>White Pepper - فلفل أبيض</v>
      </c>
      <c r="C71" s="123" t="str">
        <f t="shared" si="5"/>
        <v>gm</v>
      </c>
      <c r="D71" s="123">
        <f t="shared" si="5"/>
        <v>2</v>
      </c>
      <c r="E71" s="116">
        <f t="shared" si="9"/>
        <v>10.526315789473685</v>
      </c>
      <c r="F71" s="127">
        <f t="shared" si="6"/>
        <v>1</v>
      </c>
      <c r="G71" s="119">
        <f t="shared" si="7"/>
        <v>21.05263157894737</v>
      </c>
      <c r="H71" s="120">
        <f t="shared" si="8"/>
        <v>21.05263157894737</v>
      </c>
    </row>
    <row r="72" spans="1:18" ht="14.25" customHeight="1" x14ac:dyDescent="0.3">
      <c r="A72" s="128" t="s">
        <v>97</v>
      </c>
      <c r="B72" s="123" t="str">
        <f t="shared" si="5"/>
        <v>Salt - ملح</v>
      </c>
      <c r="C72" s="123" t="str">
        <f t="shared" si="5"/>
        <v>ml</v>
      </c>
      <c r="D72" s="123">
        <f t="shared" si="5"/>
        <v>2</v>
      </c>
      <c r="E72" s="116">
        <f t="shared" si="9"/>
        <v>10.526315789473685</v>
      </c>
      <c r="F72" s="127">
        <f t="shared" si="6"/>
        <v>1</v>
      </c>
      <c r="G72" s="119">
        <f t="shared" si="7"/>
        <v>21.05263157894737</v>
      </c>
      <c r="H72" s="120">
        <f t="shared" si="8"/>
        <v>21.05263157894737</v>
      </c>
    </row>
    <row r="73" spans="1:18" ht="14.25" customHeight="1" x14ac:dyDescent="0.3">
      <c r="A73" s="128" t="s">
        <v>158</v>
      </c>
      <c r="B73" s="123" t="str">
        <f t="shared" si="5"/>
        <v>Butter - زبدة</v>
      </c>
      <c r="C73" s="123" t="str">
        <f t="shared" si="5"/>
        <v>gm</v>
      </c>
      <c r="D73" s="123">
        <f t="shared" si="5"/>
        <v>20</v>
      </c>
      <c r="E73" s="116">
        <f t="shared" si="9"/>
        <v>10.526315789473685</v>
      </c>
      <c r="F73" s="127">
        <f t="shared" si="6"/>
        <v>1</v>
      </c>
      <c r="G73" s="119">
        <f t="shared" si="7"/>
        <v>210.5263157894737</v>
      </c>
      <c r="H73" s="120">
        <f t="shared" si="8"/>
        <v>210.5263157894737</v>
      </c>
    </row>
    <row r="74" spans="1:18" ht="14.25" customHeight="1" x14ac:dyDescent="0.3">
      <c r="A74" s="128" t="s">
        <v>192</v>
      </c>
      <c r="B74" s="123" t="str">
        <f t="shared" si="5"/>
        <v>Flour - دقيق</v>
      </c>
      <c r="C74" s="123" t="str">
        <f t="shared" si="5"/>
        <v>gm</v>
      </c>
      <c r="D74" s="123">
        <f t="shared" si="5"/>
        <v>15</v>
      </c>
      <c r="E74" s="116">
        <f t="shared" si="9"/>
        <v>10.526315789473685</v>
      </c>
      <c r="F74" s="127">
        <f t="shared" si="6"/>
        <v>1</v>
      </c>
      <c r="G74" s="119">
        <f t="shared" si="7"/>
        <v>157.89473684210526</v>
      </c>
      <c r="H74" s="120">
        <f t="shared" si="8"/>
        <v>157.89473684210526</v>
      </c>
    </row>
    <row r="75" spans="1:18" ht="20.25" customHeight="1" x14ac:dyDescent="0.3">
      <c r="B75" s="123" t="str">
        <f t="shared" ref="B75:D79" si="10">B14</f>
        <v>Garlic - ثوم مقشر</v>
      </c>
      <c r="C75" s="123" t="str">
        <f t="shared" si="10"/>
        <v>gm</v>
      </c>
      <c r="D75" s="123">
        <f t="shared" si="10"/>
        <v>20</v>
      </c>
      <c r="E75" s="116">
        <f t="shared" si="9"/>
        <v>10.526315789473685</v>
      </c>
      <c r="F75" s="127">
        <f t="shared" si="6"/>
        <v>1</v>
      </c>
      <c r="G75" s="119">
        <f>D75*E75</f>
        <v>210.5263157894737</v>
      </c>
      <c r="H75" s="120">
        <f>G75*F75</f>
        <v>210.5263157894737</v>
      </c>
    </row>
    <row r="76" spans="1:18" ht="14.25" customHeight="1" x14ac:dyDescent="0.3">
      <c r="B76" s="123" t="str">
        <f t="shared" si="10"/>
        <v>Boiling</v>
      </c>
      <c r="C76" s="123">
        <f t="shared" si="10"/>
        <v>0</v>
      </c>
      <c r="D76" s="123">
        <f t="shared" si="10"/>
        <v>0</v>
      </c>
      <c r="E76" s="116">
        <f t="shared" si="9"/>
        <v>10.526315789473685</v>
      </c>
      <c r="F76" s="127">
        <f t="shared" si="6"/>
        <v>0</v>
      </c>
      <c r="G76" s="119">
        <f>D76*E76</f>
        <v>0</v>
      </c>
      <c r="H76" s="120">
        <f>G76*F76</f>
        <v>0</v>
      </c>
    </row>
    <row r="77" spans="1:18" ht="14.25" customHeight="1" x14ac:dyDescent="0.3">
      <c r="B77" s="123" t="str">
        <f t="shared" si="10"/>
        <v>Water - ماء</v>
      </c>
      <c r="C77" s="123" t="str">
        <f t="shared" si="10"/>
        <v>L</v>
      </c>
      <c r="D77" s="279">
        <f t="shared" si="10"/>
        <v>15.780298507462685</v>
      </c>
      <c r="E77" s="116">
        <f t="shared" si="9"/>
        <v>10.526315789473685</v>
      </c>
      <c r="F77" s="127">
        <f t="shared" si="6"/>
        <v>1</v>
      </c>
      <c r="G77" s="119">
        <f>D77*E77</f>
        <v>166.10840534171248</v>
      </c>
      <c r="H77" s="120">
        <f>G77*F77</f>
        <v>166.10840534171248</v>
      </c>
    </row>
    <row r="78" spans="1:18" ht="17.75" customHeight="1" x14ac:dyDescent="0.3">
      <c r="B78" s="123" t="str">
        <f t="shared" si="10"/>
        <v>Salt - ملح</v>
      </c>
      <c r="C78" s="123" t="str">
        <f t="shared" si="10"/>
        <v>gm</v>
      </c>
      <c r="D78" s="279">
        <f t="shared" si="10"/>
        <v>19.725373134328358</v>
      </c>
      <c r="E78" s="116">
        <f t="shared" si="9"/>
        <v>10.526315789473685</v>
      </c>
      <c r="F78" s="127">
        <f t="shared" si="6"/>
        <v>1</v>
      </c>
      <c r="G78" s="119">
        <f>D78*E78</f>
        <v>207.63550667714063</v>
      </c>
      <c r="H78" s="120">
        <f>G78*F78</f>
        <v>207.63550667714063</v>
      </c>
    </row>
    <row r="79" spans="1:18" ht="17.75" customHeight="1" x14ac:dyDescent="0.3">
      <c r="B79" s="123" t="str">
        <f t="shared" si="10"/>
        <v>Olive Oil - زيت زيتون</v>
      </c>
      <c r="C79" s="123" t="str">
        <f t="shared" si="10"/>
        <v>gm</v>
      </c>
      <c r="D79" s="279">
        <f t="shared" si="10"/>
        <v>9.8626865671641788</v>
      </c>
      <c r="E79" s="116">
        <f t="shared" si="9"/>
        <v>10.526315789473685</v>
      </c>
      <c r="F79" s="127">
        <f t="shared" si="6"/>
        <v>1</v>
      </c>
      <c r="G79" s="119">
        <f>D79*E79</f>
        <v>103.81775333857031</v>
      </c>
      <c r="H79" s="120">
        <f>G79*F79</f>
        <v>103.81775333857031</v>
      </c>
    </row>
    <row r="80" spans="1:18" ht="24" customHeight="1" x14ac:dyDescent="0.3">
      <c r="A80" s="211"/>
      <c r="B80" s="198" t="s">
        <v>766</v>
      </c>
      <c r="C80" s="200" t="s">
        <v>285</v>
      </c>
      <c r="E80" s="200" t="s">
        <v>300</v>
      </c>
      <c r="G80" s="890" t="s">
        <v>276</v>
      </c>
      <c r="H80" s="890" t="s">
        <v>744</v>
      </c>
    </row>
    <row r="81" spans="1:8" ht="21" customHeight="1" x14ac:dyDescent="0.4">
      <c r="A81" s="211"/>
      <c r="B81" s="199">
        <f>$J$53</f>
        <v>15000</v>
      </c>
      <c r="C81" s="199">
        <f>E81+G81</f>
        <v>10000</v>
      </c>
      <c r="D81" s="930"/>
      <c r="E81" s="199">
        <f>$D$53*$S$44</f>
        <v>10000</v>
      </c>
      <c r="F81" s="934"/>
      <c r="G81" s="199">
        <f>$D$53*$T$44</f>
        <v>0</v>
      </c>
      <c r="H81" s="199">
        <f>B81+E81</f>
        <v>25000</v>
      </c>
    </row>
    <row r="82" spans="1:8" ht="14.25" customHeight="1" x14ac:dyDescent="0.3">
      <c r="B82" s="100"/>
      <c r="E82" s="346"/>
      <c r="F82" s="100"/>
    </row>
    <row r="83" spans="1:8" ht="14.25" customHeight="1" x14ac:dyDescent="0.3">
      <c r="A83" s="937"/>
      <c r="B83" s="1413" t="str">
        <f>"صوص الفيتوتشيني  2 / " &amp; COUNTIF($C$53:$C$55, "&gt;0")</f>
        <v>صوص الفيتوتشيني  2 / 2</v>
      </c>
      <c r="C83" s="1424"/>
      <c r="D83" s="1424"/>
      <c r="E83" s="1448"/>
      <c r="F83" s="1424"/>
      <c r="G83" s="1424"/>
      <c r="H83" s="1424"/>
    </row>
    <row r="84" spans="1:8" ht="14.25" customHeight="1" x14ac:dyDescent="0.3">
      <c r="A84" s="937"/>
      <c r="B84" s="1382" t="str">
        <f>"Fettuccine Pasta Sauce  2 / " &amp; COUNTIF(C$53:$C$55, "&gt;0")</f>
        <v>Fettuccine Pasta Sauce  2 / 2</v>
      </c>
      <c r="C84" s="1383"/>
      <c r="D84" s="1383"/>
      <c r="E84" s="1383"/>
      <c r="F84" s="1383"/>
      <c r="G84" s="1383"/>
      <c r="H84" s="1383"/>
    </row>
    <row r="85" spans="1:8" ht="38.75" customHeight="1" x14ac:dyDescent="0.25">
      <c r="A85" s="91"/>
      <c r="B85" s="91" t="s">
        <v>253</v>
      </c>
      <c r="C85" s="107" t="s">
        <v>254</v>
      </c>
      <c r="D85" s="91" t="s">
        <v>243</v>
      </c>
      <c r="E85" s="108" t="s">
        <v>246</v>
      </c>
      <c r="F85" s="108" t="s">
        <v>255</v>
      </c>
      <c r="G85" s="91" t="s">
        <v>256</v>
      </c>
      <c r="H85" s="109" t="s">
        <v>257</v>
      </c>
    </row>
    <row r="86" spans="1:8" ht="14.25" customHeight="1" x14ac:dyDescent="0.3">
      <c r="A86" s="128" t="s">
        <v>230</v>
      </c>
      <c r="B86" s="123" t="str">
        <f t="shared" ref="B86:D96" si="11">B5</f>
        <v>Fettuccine Pasta - مكرونة فيتوتشيني</v>
      </c>
      <c r="C86" s="123" t="str">
        <f t="shared" si="11"/>
        <v>gm</v>
      </c>
      <c r="D86" s="279">
        <f t="shared" si="11"/>
        <v>500</v>
      </c>
      <c r="E86" s="197">
        <f>H54</f>
        <v>9.347999999999999</v>
      </c>
      <c r="F86" s="127">
        <f t="shared" ref="F86:F99" si="12">F5</f>
        <v>1</v>
      </c>
      <c r="G86" s="121">
        <f>D86*E86</f>
        <v>4673.9999999999991</v>
      </c>
      <c r="H86" s="120">
        <f t="shared" ref="H86:H94" si="13">G86*F86</f>
        <v>4673.9999999999991</v>
      </c>
    </row>
    <row r="87" spans="1:8" ht="14.25" customHeight="1" x14ac:dyDescent="0.3">
      <c r="A87" s="128" t="s">
        <v>158</v>
      </c>
      <c r="B87" s="123" t="str">
        <f t="shared" si="11"/>
        <v>Cooking Cream - كريمة طبخ</v>
      </c>
      <c r="C87" s="123" t="str">
        <f t="shared" si="11"/>
        <v>ml</v>
      </c>
      <c r="D87" s="123">
        <f t="shared" si="11"/>
        <v>600</v>
      </c>
      <c r="E87" s="197">
        <f t="shared" ref="E87:E99" si="14">$C$54</f>
        <v>9.84</v>
      </c>
      <c r="F87" s="127">
        <f t="shared" si="12"/>
        <v>1</v>
      </c>
      <c r="G87" s="121">
        <f t="shared" ref="G87:G94" si="15">D87*E87</f>
        <v>5904</v>
      </c>
      <c r="H87" s="120">
        <f t="shared" si="13"/>
        <v>5904</v>
      </c>
    </row>
    <row r="88" spans="1:8" ht="14.25" customHeight="1" x14ac:dyDescent="0.3">
      <c r="A88" s="128" t="s">
        <v>158</v>
      </c>
      <c r="B88" s="123" t="str">
        <f t="shared" si="11"/>
        <v>Milk - حليب</v>
      </c>
      <c r="C88" s="123" t="str">
        <f t="shared" si="11"/>
        <v>ml</v>
      </c>
      <c r="D88" s="123">
        <f t="shared" si="11"/>
        <v>600</v>
      </c>
      <c r="E88" s="197">
        <f t="shared" si="14"/>
        <v>9.84</v>
      </c>
      <c r="F88" s="127">
        <f t="shared" si="12"/>
        <v>1</v>
      </c>
      <c r="G88" s="121">
        <f t="shared" si="15"/>
        <v>5904</v>
      </c>
      <c r="H88" s="120">
        <f t="shared" si="13"/>
        <v>5904</v>
      </c>
    </row>
    <row r="89" spans="1:8" ht="14.25" customHeight="1" x14ac:dyDescent="0.3">
      <c r="A89" s="128" t="s">
        <v>13</v>
      </c>
      <c r="B89" s="123" t="str">
        <f t="shared" si="11"/>
        <v>Onion - بصل</v>
      </c>
      <c r="C89" s="123" t="str">
        <f t="shared" si="11"/>
        <v>gm</v>
      </c>
      <c r="D89" s="123">
        <f t="shared" si="11"/>
        <v>20</v>
      </c>
      <c r="E89" s="197">
        <f t="shared" si="14"/>
        <v>9.84</v>
      </c>
      <c r="F89" s="127">
        <f t="shared" si="12"/>
        <v>1</v>
      </c>
      <c r="G89" s="121">
        <f t="shared" si="15"/>
        <v>196.8</v>
      </c>
      <c r="H89" s="120">
        <f t="shared" si="13"/>
        <v>196.8</v>
      </c>
    </row>
    <row r="90" spans="1:8" ht="20.25" customHeight="1" x14ac:dyDescent="0.3">
      <c r="A90" s="128" t="s">
        <v>97</v>
      </c>
      <c r="B90" s="123" t="str">
        <f t="shared" si="11"/>
        <v>Maggi Cubes - مكعبات ماجي</v>
      </c>
      <c r="C90" s="123" t="str">
        <f t="shared" si="11"/>
        <v>gm</v>
      </c>
      <c r="D90" s="123">
        <f t="shared" si="11"/>
        <v>10</v>
      </c>
      <c r="E90" s="197">
        <f t="shared" si="14"/>
        <v>9.84</v>
      </c>
      <c r="F90" s="127">
        <f t="shared" si="12"/>
        <v>1</v>
      </c>
      <c r="G90" s="121">
        <f t="shared" si="15"/>
        <v>98.4</v>
      </c>
      <c r="H90" s="120">
        <f t="shared" si="13"/>
        <v>98.4</v>
      </c>
    </row>
    <row r="91" spans="1:8" ht="14.25" customHeight="1" x14ac:dyDescent="0.3">
      <c r="A91" s="128" t="s">
        <v>97</v>
      </c>
      <c r="B91" s="123" t="str">
        <f t="shared" si="11"/>
        <v>White Pepper - فلفل أبيض</v>
      </c>
      <c r="C91" s="123" t="str">
        <f t="shared" si="11"/>
        <v>gm</v>
      </c>
      <c r="D91" s="123">
        <f t="shared" si="11"/>
        <v>2</v>
      </c>
      <c r="E91" s="197">
        <f t="shared" si="14"/>
        <v>9.84</v>
      </c>
      <c r="F91" s="127">
        <f t="shared" si="12"/>
        <v>1</v>
      </c>
      <c r="G91" s="121">
        <f t="shared" si="15"/>
        <v>19.68</v>
      </c>
      <c r="H91" s="120">
        <f t="shared" si="13"/>
        <v>19.68</v>
      </c>
    </row>
    <row r="92" spans="1:8" x14ac:dyDescent="0.3">
      <c r="A92" s="128" t="s">
        <v>97</v>
      </c>
      <c r="B92" s="123" t="str">
        <f t="shared" si="11"/>
        <v>Salt - ملح</v>
      </c>
      <c r="C92" s="123" t="str">
        <f t="shared" si="11"/>
        <v>ml</v>
      </c>
      <c r="D92" s="123">
        <f t="shared" si="11"/>
        <v>2</v>
      </c>
      <c r="E92" s="197">
        <f t="shared" si="14"/>
        <v>9.84</v>
      </c>
      <c r="F92" s="127">
        <f t="shared" si="12"/>
        <v>1</v>
      </c>
      <c r="G92" s="121">
        <f t="shared" si="15"/>
        <v>19.68</v>
      </c>
      <c r="H92" s="120">
        <f t="shared" si="13"/>
        <v>19.68</v>
      </c>
    </row>
    <row r="93" spans="1:8" x14ac:dyDescent="0.3">
      <c r="A93" s="128" t="s">
        <v>158</v>
      </c>
      <c r="B93" s="123" t="str">
        <f t="shared" si="11"/>
        <v>Butter - زبدة</v>
      </c>
      <c r="C93" s="123" t="str">
        <f t="shared" si="11"/>
        <v>gm</v>
      </c>
      <c r="D93" s="123">
        <f t="shared" si="11"/>
        <v>20</v>
      </c>
      <c r="E93" s="197">
        <f t="shared" si="14"/>
        <v>9.84</v>
      </c>
      <c r="F93" s="127">
        <f t="shared" si="12"/>
        <v>1</v>
      </c>
      <c r="G93" s="121">
        <f t="shared" si="15"/>
        <v>196.8</v>
      </c>
      <c r="H93" s="120">
        <f t="shared" si="13"/>
        <v>196.8</v>
      </c>
    </row>
    <row r="94" spans="1:8" x14ac:dyDescent="0.3">
      <c r="A94" s="128" t="s">
        <v>192</v>
      </c>
      <c r="B94" s="123" t="str">
        <f t="shared" si="11"/>
        <v>Flour - دقيق</v>
      </c>
      <c r="C94" s="123" t="str">
        <f t="shared" si="11"/>
        <v>gm</v>
      </c>
      <c r="D94" s="123">
        <f t="shared" si="11"/>
        <v>15</v>
      </c>
      <c r="E94" s="197">
        <f t="shared" si="14"/>
        <v>9.84</v>
      </c>
      <c r="F94" s="127">
        <f t="shared" si="12"/>
        <v>1</v>
      </c>
      <c r="G94" s="121">
        <f t="shared" si="15"/>
        <v>147.6</v>
      </c>
      <c r="H94" s="120">
        <f t="shared" si="13"/>
        <v>147.6</v>
      </c>
    </row>
    <row r="95" spans="1:8" ht="17.75" customHeight="1" x14ac:dyDescent="0.3">
      <c r="B95" s="123" t="str">
        <f t="shared" si="11"/>
        <v>Garlic - ثوم مقشر</v>
      </c>
      <c r="C95" s="123" t="str">
        <f t="shared" si="11"/>
        <v>gm</v>
      </c>
      <c r="D95" s="123">
        <f t="shared" si="11"/>
        <v>20</v>
      </c>
      <c r="E95" s="197">
        <f t="shared" si="14"/>
        <v>9.84</v>
      </c>
      <c r="F95" s="127">
        <f t="shared" si="12"/>
        <v>1</v>
      </c>
      <c r="G95" s="121">
        <f>D95*E95</f>
        <v>196.8</v>
      </c>
      <c r="H95" s="120">
        <f>G95*F95</f>
        <v>196.8</v>
      </c>
    </row>
    <row r="96" spans="1:8" ht="17.75" customHeight="1" x14ac:dyDescent="0.3">
      <c r="B96" s="123" t="str">
        <f t="shared" si="11"/>
        <v>Boiling</v>
      </c>
      <c r="C96" s="123">
        <f t="shared" si="11"/>
        <v>0</v>
      </c>
      <c r="D96" s="123">
        <f t="shared" si="11"/>
        <v>0</v>
      </c>
      <c r="E96" s="197">
        <f t="shared" si="14"/>
        <v>9.84</v>
      </c>
      <c r="F96" s="127">
        <f t="shared" si="12"/>
        <v>0</v>
      </c>
      <c r="G96" s="121">
        <f>D96*E96</f>
        <v>0</v>
      </c>
      <c r="H96" s="120">
        <f>G96*F96</f>
        <v>0</v>
      </c>
    </row>
    <row r="97" spans="1:8" x14ac:dyDescent="0.3">
      <c r="B97" s="123" t="str">
        <f t="shared" ref="B97:D99" si="16">B16</f>
        <v>Water - ماء</v>
      </c>
      <c r="C97" s="123" t="str">
        <f t="shared" si="16"/>
        <v>L</v>
      </c>
      <c r="D97" s="263">
        <f t="shared" si="16"/>
        <v>15.780298507462685</v>
      </c>
      <c r="E97" s="197">
        <f t="shared" si="14"/>
        <v>9.84</v>
      </c>
      <c r="F97" s="127">
        <f t="shared" si="12"/>
        <v>1</v>
      </c>
      <c r="G97" s="121">
        <f>D97*E97</f>
        <v>155.27813731343281</v>
      </c>
      <c r="H97" s="120">
        <f>G97*F97</f>
        <v>155.27813731343281</v>
      </c>
    </row>
    <row r="98" spans="1:8" ht="14.25" customHeight="1" x14ac:dyDescent="0.3">
      <c r="B98" s="123" t="str">
        <f>B17</f>
        <v>Salt - ملح</v>
      </c>
      <c r="C98" s="123" t="str">
        <f>C17</f>
        <v>gm</v>
      </c>
      <c r="D98" s="263">
        <f>D17</f>
        <v>19.725373134328358</v>
      </c>
      <c r="E98" s="197">
        <f t="shared" si="14"/>
        <v>9.84</v>
      </c>
      <c r="F98" s="127">
        <f t="shared" si="12"/>
        <v>1</v>
      </c>
      <c r="G98" s="121">
        <f>D98*E98</f>
        <v>194.09767164179104</v>
      </c>
      <c r="H98" s="120">
        <f>G98*F98</f>
        <v>194.09767164179104</v>
      </c>
    </row>
    <row r="99" spans="1:8" ht="14.25" customHeight="1" x14ac:dyDescent="0.3">
      <c r="B99" s="123" t="str">
        <f t="shared" si="16"/>
        <v>Olive Oil - زيت زيتون</v>
      </c>
      <c r="C99" s="123" t="str">
        <f t="shared" si="16"/>
        <v>gm</v>
      </c>
      <c r="D99" s="263">
        <f t="shared" si="16"/>
        <v>9.8626865671641788</v>
      </c>
      <c r="E99" s="197">
        <f t="shared" si="14"/>
        <v>9.84</v>
      </c>
      <c r="F99" s="127">
        <f t="shared" si="12"/>
        <v>1</v>
      </c>
      <c r="G99" s="121">
        <f>D99*E99</f>
        <v>97.048835820895519</v>
      </c>
      <c r="H99" s="120">
        <f>G99*F99</f>
        <v>97.048835820895519</v>
      </c>
    </row>
    <row r="100" spans="1:8" ht="29.75" customHeight="1" x14ac:dyDescent="0.3">
      <c r="A100" s="211"/>
      <c r="B100" s="198" t="s">
        <v>766</v>
      </c>
      <c r="C100" s="200" t="s">
        <v>285</v>
      </c>
      <c r="E100" s="200" t="s">
        <v>300</v>
      </c>
      <c r="G100" s="890" t="s">
        <v>276</v>
      </c>
      <c r="H100" s="890" t="s">
        <v>744</v>
      </c>
    </row>
    <row r="101" spans="1:8" ht="19.5" customHeight="1" x14ac:dyDescent="0.4">
      <c r="A101" s="211"/>
      <c r="B101" s="199">
        <f>$J$54</f>
        <v>14022</v>
      </c>
      <c r="C101" s="199">
        <f>E101+G101</f>
        <v>9347.9999999999982</v>
      </c>
      <c r="D101" s="930"/>
      <c r="E101" s="199">
        <f>$D$54*$S$44</f>
        <v>9347.9999999999982</v>
      </c>
      <c r="F101" s="934"/>
      <c r="G101" s="199">
        <f>$D$54*$T$44</f>
        <v>0</v>
      </c>
      <c r="H101" s="199">
        <f>B101+E101</f>
        <v>23370</v>
      </c>
    </row>
    <row r="102" spans="1:8" ht="14.25" customHeight="1" x14ac:dyDescent="0.3"/>
    <row r="103" spans="1:8" ht="14.25" customHeight="1" x14ac:dyDescent="0.3"/>
    <row r="104" spans="1:8" ht="14.25" customHeight="1" x14ac:dyDescent="0.3"/>
    <row r="105" spans="1:8" ht="14.25" customHeight="1" x14ac:dyDescent="0.3">
      <c r="A105" s="97"/>
      <c r="B105" s="1413" t="str">
        <f>"صوص الفيتوتشيني  3 / " &amp; COUNTIF($C$53:$C$55, "&gt;0")</f>
        <v>صوص الفيتوتشيني  3 / 2</v>
      </c>
      <c r="C105" s="1389"/>
      <c r="D105" s="1389"/>
      <c r="E105" s="1447"/>
      <c r="F105" s="1389"/>
      <c r="G105" s="1389"/>
      <c r="H105" s="1389"/>
    </row>
    <row r="106" spans="1:8" ht="14.25" customHeight="1" x14ac:dyDescent="0.3">
      <c r="A106" s="97"/>
      <c r="B106" s="1382" t="str">
        <f>"Fettuccine Pasta Sauce  3 / " &amp; COUNTIF(C$53:$C$55, "&gt;0")</f>
        <v>Fettuccine Pasta Sauce  3 / 2</v>
      </c>
      <c r="C106" s="1388"/>
      <c r="D106" s="1388"/>
      <c r="E106" s="1388"/>
      <c r="F106" s="1388"/>
      <c r="G106" s="1388"/>
      <c r="H106" s="1388"/>
    </row>
    <row r="107" spans="1:8" ht="43.25" customHeight="1" x14ac:dyDescent="0.25">
      <c r="A107" s="91"/>
      <c r="B107" s="91" t="s">
        <v>253</v>
      </c>
      <c r="C107" s="107" t="s">
        <v>254</v>
      </c>
      <c r="D107" s="91" t="s">
        <v>243</v>
      </c>
      <c r="E107" s="108" t="s">
        <v>246</v>
      </c>
      <c r="F107" s="108" t="s">
        <v>255</v>
      </c>
      <c r="G107" s="91" t="s">
        <v>256</v>
      </c>
      <c r="H107" s="109" t="s">
        <v>257</v>
      </c>
    </row>
    <row r="108" spans="1:8" ht="14.25" customHeight="1" x14ac:dyDescent="0.3">
      <c r="A108" s="128" t="s">
        <v>230</v>
      </c>
      <c r="B108" s="123" t="str">
        <f t="shared" ref="B108:D121" si="17">B5</f>
        <v>Fettuccine Pasta - مكرونة فيتوتشيني</v>
      </c>
      <c r="C108" s="123" t="str">
        <f t="shared" si="17"/>
        <v>gm</v>
      </c>
      <c r="D108" s="263">
        <f t="shared" si="17"/>
        <v>500</v>
      </c>
      <c r="E108" s="197">
        <f>H55</f>
        <v>0</v>
      </c>
      <c r="F108" s="127">
        <f t="shared" ref="F108:F121" si="18">F5</f>
        <v>1</v>
      </c>
      <c r="G108" s="121">
        <f t="shared" ref="G108:G113" si="19">D108*E108</f>
        <v>0</v>
      </c>
      <c r="H108" s="120">
        <f t="shared" ref="H108:H113" si="20">G108*F108</f>
        <v>0</v>
      </c>
    </row>
    <row r="109" spans="1:8" x14ac:dyDescent="0.3">
      <c r="A109" s="128" t="s">
        <v>158</v>
      </c>
      <c r="B109" s="123" t="str">
        <f t="shared" si="17"/>
        <v>Cooking Cream - كريمة طبخ</v>
      </c>
      <c r="C109" s="123" t="str">
        <f t="shared" si="17"/>
        <v>ml</v>
      </c>
      <c r="D109" s="263">
        <f t="shared" si="17"/>
        <v>600</v>
      </c>
      <c r="E109" s="197">
        <f t="shared" ref="E109:E121" si="21">$C$55</f>
        <v>0</v>
      </c>
      <c r="F109" s="127">
        <f t="shared" si="18"/>
        <v>1</v>
      </c>
      <c r="G109" s="121">
        <f t="shared" si="19"/>
        <v>0</v>
      </c>
      <c r="H109" s="120">
        <f t="shared" si="20"/>
        <v>0</v>
      </c>
    </row>
    <row r="110" spans="1:8" x14ac:dyDescent="0.3">
      <c r="A110" s="128" t="s">
        <v>158</v>
      </c>
      <c r="B110" s="123" t="str">
        <f t="shared" si="17"/>
        <v>Milk - حليب</v>
      </c>
      <c r="C110" s="123" t="str">
        <f t="shared" si="17"/>
        <v>ml</v>
      </c>
      <c r="D110" s="263">
        <f t="shared" si="17"/>
        <v>600</v>
      </c>
      <c r="E110" s="197">
        <f t="shared" si="21"/>
        <v>0</v>
      </c>
      <c r="F110" s="127">
        <f t="shared" si="18"/>
        <v>1</v>
      </c>
      <c r="G110" s="121">
        <f t="shared" si="19"/>
        <v>0</v>
      </c>
      <c r="H110" s="120">
        <f t="shared" si="20"/>
        <v>0</v>
      </c>
    </row>
    <row r="111" spans="1:8" ht="17.75" customHeight="1" x14ac:dyDescent="0.3">
      <c r="A111" s="128" t="s">
        <v>13</v>
      </c>
      <c r="B111" s="123" t="str">
        <f t="shared" si="17"/>
        <v>Onion - بصل</v>
      </c>
      <c r="C111" s="123" t="str">
        <f t="shared" si="17"/>
        <v>gm</v>
      </c>
      <c r="D111" s="263">
        <f t="shared" si="17"/>
        <v>20</v>
      </c>
      <c r="E111" s="197">
        <f t="shared" si="21"/>
        <v>0</v>
      </c>
      <c r="F111" s="127">
        <f t="shared" si="18"/>
        <v>1</v>
      </c>
      <c r="G111" s="121">
        <f t="shared" si="19"/>
        <v>0</v>
      </c>
      <c r="H111" s="120">
        <f t="shared" si="20"/>
        <v>0</v>
      </c>
    </row>
    <row r="112" spans="1:8" ht="17.75" customHeight="1" x14ac:dyDescent="0.3">
      <c r="A112" s="128" t="s">
        <v>97</v>
      </c>
      <c r="B112" s="123" t="str">
        <f t="shared" si="17"/>
        <v>Maggi Cubes - مكعبات ماجي</v>
      </c>
      <c r="C112" s="123" t="str">
        <f t="shared" si="17"/>
        <v>gm</v>
      </c>
      <c r="D112" s="263">
        <f t="shared" si="17"/>
        <v>10</v>
      </c>
      <c r="E112" s="197">
        <f t="shared" si="21"/>
        <v>0</v>
      </c>
      <c r="F112" s="127">
        <f t="shared" si="18"/>
        <v>1</v>
      </c>
      <c r="G112" s="121">
        <f t="shared" si="19"/>
        <v>0</v>
      </c>
      <c r="H112" s="120">
        <f t="shared" si="20"/>
        <v>0</v>
      </c>
    </row>
    <row r="113" spans="1:8" x14ac:dyDescent="0.3">
      <c r="A113" s="128" t="s">
        <v>97</v>
      </c>
      <c r="B113" s="123" t="str">
        <f t="shared" si="17"/>
        <v>White Pepper - فلفل أبيض</v>
      </c>
      <c r="C113" s="123" t="str">
        <f t="shared" si="17"/>
        <v>gm</v>
      </c>
      <c r="D113" s="263">
        <f t="shared" si="17"/>
        <v>2</v>
      </c>
      <c r="E113" s="197">
        <f t="shared" si="21"/>
        <v>0</v>
      </c>
      <c r="F113" s="127">
        <f t="shared" si="18"/>
        <v>1</v>
      </c>
      <c r="G113" s="121">
        <f t="shared" si="19"/>
        <v>0</v>
      </c>
      <c r="H113" s="120">
        <f t="shared" si="20"/>
        <v>0</v>
      </c>
    </row>
    <row r="114" spans="1:8" ht="14.25" customHeight="1" x14ac:dyDescent="0.3">
      <c r="A114" s="128" t="s">
        <v>97</v>
      </c>
      <c r="B114" s="123" t="str">
        <f t="shared" si="17"/>
        <v>Salt - ملح</v>
      </c>
      <c r="C114" s="123" t="str">
        <f t="shared" si="17"/>
        <v>ml</v>
      </c>
      <c r="D114" s="263">
        <f t="shared" si="17"/>
        <v>2</v>
      </c>
      <c r="E114" s="197">
        <f t="shared" si="21"/>
        <v>0</v>
      </c>
      <c r="F114" s="127">
        <f t="shared" si="18"/>
        <v>1</v>
      </c>
      <c r="G114" s="121">
        <f t="shared" ref="G114:G121" si="22">D114*E114</f>
        <v>0</v>
      </c>
      <c r="H114" s="120">
        <f t="shared" ref="H114:H121" si="23">G114*F114</f>
        <v>0</v>
      </c>
    </row>
    <row r="115" spans="1:8" ht="14.25" customHeight="1" x14ac:dyDescent="0.3">
      <c r="A115" s="128"/>
      <c r="B115" s="123" t="str">
        <f t="shared" si="17"/>
        <v>Butter - زبدة</v>
      </c>
      <c r="C115" s="123" t="str">
        <f t="shared" si="17"/>
        <v>gm</v>
      </c>
      <c r="D115" s="263">
        <f t="shared" si="17"/>
        <v>20</v>
      </c>
      <c r="E115" s="197">
        <f t="shared" si="21"/>
        <v>0</v>
      </c>
      <c r="F115" s="127">
        <f t="shared" si="18"/>
        <v>1</v>
      </c>
      <c r="G115" s="121">
        <f t="shared" si="22"/>
        <v>0</v>
      </c>
      <c r="H115" s="120">
        <f t="shared" si="23"/>
        <v>0</v>
      </c>
    </row>
    <row r="116" spans="1:8" ht="14.25" customHeight="1" x14ac:dyDescent="0.3">
      <c r="A116" s="128"/>
      <c r="B116" s="123" t="str">
        <f t="shared" si="17"/>
        <v>Flour - دقيق</v>
      </c>
      <c r="C116" s="123" t="str">
        <f t="shared" si="17"/>
        <v>gm</v>
      </c>
      <c r="D116" s="263">
        <f t="shared" si="17"/>
        <v>15</v>
      </c>
      <c r="E116" s="197">
        <f t="shared" si="21"/>
        <v>0</v>
      </c>
      <c r="F116" s="127">
        <f t="shared" si="18"/>
        <v>1</v>
      </c>
      <c r="G116" s="121">
        <f t="shared" si="22"/>
        <v>0</v>
      </c>
      <c r="H116" s="120">
        <f t="shared" si="23"/>
        <v>0</v>
      </c>
    </row>
    <row r="117" spans="1:8" ht="14.25" customHeight="1" x14ac:dyDescent="0.3">
      <c r="A117" s="128"/>
      <c r="B117" s="123" t="str">
        <f t="shared" si="17"/>
        <v>Garlic - ثوم مقشر</v>
      </c>
      <c r="C117" s="123" t="str">
        <f t="shared" si="17"/>
        <v>gm</v>
      </c>
      <c r="D117" s="263">
        <f t="shared" si="17"/>
        <v>20</v>
      </c>
      <c r="E117" s="197">
        <f t="shared" si="21"/>
        <v>0</v>
      </c>
      <c r="F117" s="127">
        <f t="shared" si="18"/>
        <v>1</v>
      </c>
      <c r="G117" s="121">
        <f t="shared" si="22"/>
        <v>0</v>
      </c>
      <c r="H117" s="120">
        <f t="shared" si="23"/>
        <v>0</v>
      </c>
    </row>
    <row r="118" spans="1:8" ht="14.25" customHeight="1" x14ac:dyDescent="0.3">
      <c r="A118" s="128"/>
      <c r="B118" s="123" t="str">
        <f t="shared" si="17"/>
        <v>Boiling</v>
      </c>
      <c r="C118" s="123">
        <f t="shared" si="17"/>
        <v>0</v>
      </c>
      <c r="D118" s="263">
        <f t="shared" si="17"/>
        <v>0</v>
      </c>
      <c r="E118" s="197">
        <f t="shared" si="21"/>
        <v>0</v>
      </c>
      <c r="F118" s="127">
        <f t="shared" si="18"/>
        <v>0</v>
      </c>
      <c r="G118" s="121">
        <f t="shared" si="22"/>
        <v>0</v>
      </c>
      <c r="H118" s="120">
        <f t="shared" si="23"/>
        <v>0</v>
      </c>
    </row>
    <row r="119" spans="1:8" ht="14.25" customHeight="1" x14ac:dyDescent="0.3">
      <c r="A119" s="128"/>
      <c r="B119" s="123" t="str">
        <f t="shared" si="17"/>
        <v>Water - ماء</v>
      </c>
      <c r="C119" s="123" t="str">
        <f t="shared" si="17"/>
        <v>L</v>
      </c>
      <c r="D119" s="263">
        <f t="shared" si="17"/>
        <v>15.780298507462685</v>
      </c>
      <c r="E119" s="197">
        <f t="shared" si="21"/>
        <v>0</v>
      </c>
      <c r="F119" s="127">
        <f t="shared" si="18"/>
        <v>1</v>
      </c>
      <c r="G119" s="121">
        <f t="shared" si="22"/>
        <v>0</v>
      </c>
      <c r="H119" s="120">
        <f t="shared" si="23"/>
        <v>0</v>
      </c>
    </row>
    <row r="120" spans="1:8" ht="14.25" customHeight="1" x14ac:dyDescent="0.3">
      <c r="A120" s="128"/>
      <c r="B120" s="123" t="str">
        <f t="shared" si="17"/>
        <v>Salt - ملح</v>
      </c>
      <c r="C120" s="123" t="str">
        <f t="shared" si="17"/>
        <v>gm</v>
      </c>
      <c r="D120" s="263">
        <f t="shared" si="17"/>
        <v>19.725373134328358</v>
      </c>
      <c r="E120" s="197">
        <f t="shared" si="21"/>
        <v>0</v>
      </c>
      <c r="F120" s="127">
        <f t="shared" si="18"/>
        <v>1</v>
      </c>
      <c r="G120" s="121">
        <f t="shared" si="22"/>
        <v>0</v>
      </c>
      <c r="H120" s="120">
        <f t="shared" si="23"/>
        <v>0</v>
      </c>
    </row>
    <row r="121" spans="1:8" ht="14.25" customHeight="1" x14ac:dyDescent="0.3">
      <c r="A121" s="128" t="s">
        <v>158</v>
      </c>
      <c r="B121" s="123" t="str">
        <f t="shared" si="17"/>
        <v>Olive Oil - زيت زيتون</v>
      </c>
      <c r="C121" s="123" t="str">
        <f t="shared" si="17"/>
        <v>gm</v>
      </c>
      <c r="D121" s="263">
        <f t="shared" si="17"/>
        <v>9.8626865671641788</v>
      </c>
      <c r="E121" s="197">
        <f t="shared" si="21"/>
        <v>0</v>
      </c>
      <c r="F121" s="127">
        <f t="shared" si="18"/>
        <v>1</v>
      </c>
      <c r="G121" s="121">
        <f t="shared" si="22"/>
        <v>0</v>
      </c>
      <c r="H121" s="120">
        <f t="shared" si="23"/>
        <v>0</v>
      </c>
    </row>
    <row r="122" spans="1:8" ht="14.25" customHeight="1" x14ac:dyDescent="0.3">
      <c r="B122" s="198" t="s">
        <v>766</v>
      </c>
      <c r="C122" s="200" t="s">
        <v>285</v>
      </c>
      <c r="E122" s="200" t="s">
        <v>300</v>
      </c>
      <c r="G122" s="890" t="s">
        <v>276</v>
      </c>
      <c r="H122" s="890" t="s">
        <v>733</v>
      </c>
    </row>
    <row r="123" spans="1:8" ht="20.25" customHeight="1" x14ac:dyDescent="0.4">
      <c r="B123" s="199">
        <f>$J$55</f>
        <v>0</v>
      </c>
      <c r="C123" s="201">
        <f>E123+G123</f>
        <v>0</v>
      </c>
      <c r="E123" s="201">
        <f>$D$55*$S$44</f>
        <v>0</v>
      </c>
      <c r="G123" s="202">
        <f>$D$55*$T$44</f>
        <v>0</v>
      </c>
      <c r="H123" s="202">
        <f>B123+E123</f>
        <v>0</v>
      </c>
    </row>
    <row r="126" spans="1:8" x14ac:dyDescent="0.3">
      <c r="A126" s="97"/>
      <c r="B126" s="1413" t="str">
        <f>"صوص الفيتوتشيني  4 / " &amp; COUNTIF($C$19:$C$22, "&gt;0")</f>
        <v>صوص الفيتوتشيني  4 / 0</v>
      </c>
      <c r="C126" s="1389"/>
      <c r="D126" s="1389"/>
      <c r="E126" s="1447"/>
      <c r="F126" s="1389"/>
      <c r="G126" s="1389"/>
      <c r="H126" s="1389"/>
    </row>
    <row r="127" spans="1:8" x14ac:dyDescent="0.3">
      <c r="A127" s="97"/>
      <c r="B127" s="1382" t="str">
        <f>"Fettuccine Pasta Sauce  4 / " &amp; COUNTIF(C$19:$C$22, "&gt;0")</f>
        <v>Fettuccine Pasta Sauce  4 / 0</v>
      </c>
      <c r="C127" s="1388"/>
      <c r="D127" s="1388"/>
      <c r="E127" s="1388"/>
      <c r="F127" s="1388"/>
      <c r="G127" s="1388"/>
      <c r="H127" s="1388"/>
    </row>
    <row r="128" spans="1:8" ht="39" x14ac:dyDescent="0.25">
      <c r="A128" s="91"/>
      <c r="B128" s="91" t="s">
        <v>253</v>
      </c>
      <c r="C128" s="107" t="s">
        <v>254</v>
      </c>
      <c r="D128" s="91" t="s">
        <v>243</v>
      </c>
      <c r="E128" s="108" t="s">
        <v>246</v>
      </c>
      <c r="F128" s="108" t="s">
        <v>255</v>
      </c>
      <c r="G128" s="91" t="s">
        <v>256</v>
      </c>
      <c r="H128" s="109" t="s">
        <v>257</v>
      </c>
    </row>
    <row r="129" spans="1:8" x14ac:dyDescent="0.3">
      <c r="A129" s="128" t="s">
        <v>230</v>
      </c>
      <c r="B129" s="123" t="str">
        <f t="shared" ref="B129:D142" si="24">B5</f>
        <v>Fettuccine Pasta - مكرونة فيتوتشيني</v>
      </c>
      <c r="C129" s="123" t="str">
        <f t="shared" si="24"/>
        <v>gm</v>
      </c>
      <c r="D129" s="263">
        <f t="shared" si="24"/>
        <v>500</v>
      </c>
      <c r="E129" s="197">
        <f>H56</f>
        <v>0</v>
      </c>
      <c r="F129" s="127">
        <f t="shared" ref="F129:F142" si="25">F5</f>
        <v>1</v>
      </c>
      <c r="G129" s="121">
        <f>D129*E129</f>
        <v>0</v>
      </c>
      <c r="H129" s="120">
        <f>G129*F129</f>
        <v>0</v>
      </c>
    </row>
    <row r="130" spans="1:8" x14ac:dyDescent="0.3">
      <c r="A130" s="128" t="s">
        <v>158</v>
      </c>
      <c r="B130" s="123" t="str">
        <f t="shared" si="24"/>
        <v>Cooking Cream - كريمة طبخ</v>
      </c>
      <c r="C130" s="123" t="str">
        <f t="shared" si="24"/>
        <v>ml</v>
      </c>
      <c r="D130" s="263">
        <f t="shared" si="24"/>
        <v>600</v>
      </c>
      <c r="E130" s="197">
        <f>$C$56</f>
        <v>0</v>
      </c>
      <c r="F130" s="127">
        <f t="shared" si="25"/>
        <v>1</v>
      </c>
      <c r="G130" s="121">
        <f>D130*E130</f>
        <v>0</v>
      </c>
      <c r="H130" s="120">
        <f>G130*F130</f>
        <v>0</v>
      </c>
    </row>
    <row r="131" spans="1:8" x14ac:dyDescent="0.3">
      <c r="A131" s="128" t="s">
        <v>158</v>
      </c>
      <c r="B131" s="123" t="str">
        <f t="shared" si="24"/>
        <v>Milk - حليب</v>
      </c>
      <c r="C131" s="123" t="str">
        <f t="shared" si="24"/>
        <v>ml</v>
      </c>
      <c r="D131" s="263">
        <f t="shared" si="24"/>
        <v>600</v>
      </c>
      <c r="E131" s="197">
        <f t="shared" ref="E131:E142" si="26">$C$56</f>
        <v>0</v>
      </c>
      <c r="F131" s="127">
        <f t="shared" si="25"/>
        <v>1</v>
      </c>
      <c r="G131" s="121">
        <f>D131*E131</f>
        <v>0</v>
      </c>
      <c r="H131" s="120">
        <f>G131*F131</f>
        <v>0</v>
      </c>
    </row>
    <row r="132" spans="1:8" x14ac:dyDescent="0.3">
      <c r="A132" s="128" t="s">
        <v>230</v>
      </c>
      <c r="B132" s="123" t="str">
        <f t="shared" si="24"/>
        <v>Onion - بصل</v>
      </c>
      <c r="C132" s="123" t="str">
        <f t="shared" si="24"/>
        <v>gm</v>
      </c>
      <c r="D132" s="263">
        <f t="shared" si="24"/>
        <v>20</v>
      </c>
      <c r="E132" s="197">
        <f t="shared" si="26"/>
        <v>0</v>
      </c>
      <c r="F132" s="127">
        <f t="shared" si="25"/>
        <v>1</v>
      </c>
      <c r="G132" s="121">
        <f>F25</f>
        <v>0</v>
      </c>
      <c r="H132" s="120">
        <f t="shared" ref="H132:H142" si="27">G132*F132</f>
        <v>0</v>
      </c>
    </row>
    <row r="133" spans="1:8" x14ac:dyDescent="0.3">
      <c r="A133" s="128" t="s">
        <v>158</v>
      </c>
      <c r="B133" s="123" t="str">
        <f t="shared" si="24"/>
        <v>Maggi Cubes - مكعبات ماجي</v>
      </c>
      <c r="C133" s="123" t="str">
        <f t="shared" si="24"/>
        <v>gm</v>
      </c>
      <c r="D133" s="263">
        <f t="shared" si="24"/>
        <v>10</v>
      </c>
      <c r="E133" s="197">
        <f t="shared" si="26"/>
        <v>0</v>
      </c>
      <c r="F133" s="127">
        <f t="shared" si="25"/>
        <v>1</v>
      </c>
      <c r="G133" s="121">
        <f>D133*E133</f>
        <v>0</v>
      </c>
      <c r="H133" s="120">
        <f t="shared" si="27"/>
        <v>0</v>
      </c>
    </row>
    <row r="134" spans="1:8" x14ac:dyDescent="0.3">
      <c r="A134" s="128" t="s">
        <v>158</v>
      </c>
      <c r="B134" s="123" t="str">
        <f t="shared" si="24"/>
        <v>White Pepper - فلفل أبيض</v>
      </c>
      <c r="C134" s="123" t="str">
        <f t="shared" si="24"/>
        <v>gm</v>
      </c>
      <c r="D134" s="263">
        <f t="shared" si="24"/>
        <v>2</v>
      </c>
      <c r="E134" s="197">
        <f t="shared" si="26"/>
        <v>0</v>
      </c>
      <c r="F134" s="127">
        <f t="shared" si="25"/>
        <v>1</v>
      </c>
      <c r="G134" s="121">
        <f>D134*E134</f>
        <v>0</v>
      </c>
      <c r="H134" s="120">
        <f t="shared" si="27"/>
        <v>0</v>
      </c>
    </row>
    <row r="135" spans="1:8" x14ac:dyDescent="0.3">
      <c r="A135" s="128" t="s">
        <v>230</v>
      </c>
      <c r="B135" s="123" t="str">
        <f t="shared" si="24"/>
        <v>Salt - ملح</v>
      </c>
      <c r="C135" s="123" t="str">
        <f t="shared" si="24"/>
        <v>ml</v>
      </c>
      <c r="D135" s="263">
        <f t="shared" si="24"/>
        <v>2</v>
      </c>
      <c r="E135" s="197">
        <f t="shared" si="26"/>
        <v>0</v>
      </c>
      <c r="F135" s="127">
        <f t="shared" si="25"/>
        <v>1</v>
      </c>
      <c r="G135" s="121">
        <f>F52</f>
        <v>0</v>
      </c>
      <c r="H135" s="120">
        <f t="shared" si="27"/>
        <v>0</v>
      </c>
    </row>
    <row r="136" spans="1:8" x14ac:dyDescent="0.3">
      <c r="A136" s="128" t="s">
        <v>158</v>
      </c>
      <c r="B136" s="123" t="str">
        <f t="shared" si="24"/>
        <v>Butter - زبدة</v>
      </c>
      <c r="C136" s="123" t="str">
        <f t="shared" si="24"/>
        <v>gm</v>
      </c>
      <c r="D136" s="263">
        <f t="shared" si="24"/>
        <v>20</v>
      </c>
      <c r="E136" s="197">
        <f t="shared" si="26"/>
        <v>0</v>
      </c>
      <c r="F136" s="127">
        <f t="shared" si="25"/>
        <v>1</v>
      </c>
      <c r="G136" s="121">
        <f>D136*E136</f>
        <v>0</v>
      </c>
      <c r="H136" s="120">
        <f t="shared" si="27"/>
        <v>0</v>
      </c>
    </row>
    <row r="137" spans="1:8" x14ac:dyDescent="0.3">
      <c r="A137" s="128" t="s">
        <v>158</v>
      </c>
      <c r="B137" s="123" t="str">
        <f t="shared" si="24"/>
        <v>Flour - دقيق</v>
      </c>
      <c r="C137" s="123" t="str">
        <f t="shared" si="24"/>
        <v>gm</v>
      </c>
      <c r="D137" s="263">
        <f t="shared" si="24"/>
        <v>15</v>
      </c>
      <c r="E137" s="197">
        <f t="shared" si="26"/>
        <v>0</v>
      </c>
      <c r="F137" s="127">
        <f t="shared" si="25"/>
        <v>1</v>
      </c>
      <c r="G137" s="121">
        <f>D137*E137</f>
        <v>0</v>
      </c>
      <c r="H137" s="120">
        <f t="shared" si="27"/>
        <v>0</v>
      </c>
    </row>
    <row r="138" spans="1:8" x14ac:dyDescent="0.3">
      <c r="A138" s="128" t="s">
        <v>230</v>
      </c>
      <c r="B138" s="123" t="str">
        <f t="shared" si="24"/>
        <v>Garlic - ثوم مقشر</v>
      </c>
      <c r="C138" s="123" t="str">
        <f t="shared" si="24"/>
        <v>gm</v>
      </c>
      <c r="D138" s="263">
        <f t="shared" si="24"/>
        <v>20</v>
      </c>
      <c r="E138" s="197">
        <f t="shared" si="26"/>
        <v>0</v>
      </c>
      <c r="F138" s="127">
        <f t="shared" si="25"/>
        <v>1</v>
      </c>
      <c r="G138" s="121">
        <f>F55</f>
        <v>0</v>
      </c>
      <c r="H138" s="120">
        <f t="shared" si="27"/>
        <v>0</v>
      </c>
    </row>
    <row r="139" spans="1:8" x14ac:dyDescent="0.3">
      <c r="A139" s="128" t="s">
        <v>158</v>
      </c>
      <c r="B139" s="123" t="str">
        <f t="shared" si="24"/>
        <v>Boiling</v>
      </c>
      <c r="C139" s="123">
        <f t="shared" si="24"/>
        <v>0</v>
      </c>
      <c r="D139" s="263">
        <f t="shared" si="24"/>
        <v>0</v>
      </c>
      <c r="E139" s="197">
        <f t="shared" si="26"/>
        <v>0</v>
      </c>
      <c r="F139" s="127">
        <f t="shared" si="25"/>
        <v>0</v>
      </c>
      <c r="G139" s="121">
        <f>D139*E139</f>
        <v>0</v>
      </c>
      <c r="H139" s="120">
        <f t="shared" si="27"/>
        <v>0</v>
      </c>
    </row>
    <row r="140" spans="1:8" x14ac:dyDescent="0.3">
      <c r="A140" s="128" t="s">
        <v>158</v>
      </c>
      <c r="B140" s="123" t="str">
        <f t="shared" si="24"/>
        <v>Water - ماء</v>
      </c>
      <c r="C140" s="123" t="str">
        <f t="shared" si="24"/>
        <v>L</v>
      </c>
      <c r="D140" s="263">
        <f t="shared" si="24"/>
        <v>15.780298507462685</v>
      </c>
      <c r="E140" s="197">
        <f t="shared" si="26"/>
        <v>0</v>
      </c>
      <c r="F140" s="127">
        <f t="shared" si="25"/>
        <v>1</v>
      </c>
      <c r="G140" s="121">
        <f>D140*E140</f>
        <v>0</v>
      </c>
      <c r="H140" s="120">
        <f t="shared" si="27"/>
        <v>0</v>
      </c>
    </row>
    <row r="141" spans="1:8" x14ac:dyDescent="0.3">
      <c r="A141" s="128" t="s">
        <v>230</v>
      </c>
      <c r="B141" s="123" t="str">
        <f t="shared" si="24"/>
        <v>Salt - ملح</v>
      </c>
      <c r="C141" s="123" t="str">
        <f t="shared" si="24"/>
        <v>gm</v>
      </c>
      <c r="D141" s="263">
        <f t="shared" si="24"/>
        <v>19.725373134328358</v>
      </c>
      <c r="E141" s="197">
        <f t="shared" si="26"/>
        <v>0</v>
      </c>
      <c r="F141" s="127">
        <f t="shared" si="25"/>
        <v>1</v>
      </c>
      <c r="G141" s="121">
        <f>F34</f>
        <v>0</v>
      </c>
      <c r="H141" s="120">
        <f t="shared" si="27"/>
        <v>0</v>
      </c>
    </row>
    <row r="142" spans="1:8" x14ac:dyDescent="0.3">
      <c r="A142" s="128" t="s">
        <v>158</v>
      </c>
      <c r="B142" s="123" t="str">
        <f t="shared" si="24"/>
        <v>Olive Oil - زيت زيتون</v>
      </c>
      <c r="C142" s="123" t="str">
        <f t="shared" si="24"/>
        <v>gm</v>
      </c>
      <c r="D142" s="263">
        <f t="shared" si="24"/>
        <v>9.8626865671641788</v>
      </c>
      <c r="E142" s="197">
        <f t="shared" si="26"/>
        <v>0</v>
      </c>
      <c r="F142" s="127">
        <f t="shared" si="25"/>
        <v>1</v>
      </c>
      <c r="G142" s="121">
        <f>D142*E142</f>
        <v>0</v>
      </c>
      <c r="H142" s="120">
        <f t="shared" si="27"/>
        <v>0</v>
      </c>
    </row>
    <row r="143" spans="1:8" ht="18" x14ac:dyDescent="0.3">
      <c r="B143" s="198" t="s">
        <v>766</v>
      </c>
      <c r="C143" s="200" t="s">
        <v>285</v>
      </c>
      <c r="E143" s="200" t="s">
        <v>300</v>
      </c>
      <c r="G143" s="890" t="s">
        <v>276</v>
      </c>
      <c r="H143" s="890" t="s">
        <v>733</v>
      </c>
    </row>
    <row r="144" spans="1:8" ht="20" x14ac:dyDescent="0.4">
      <c r="B144" s="199">
        <f>$J$56</f>
        <v>0</v>
      </c>
      <c r="C144" s="199">
        <f>E144+G144</f>
        <v>0</v>
      </c>
      <c r="D144" s="945"/>
      <c r="E144" s="199">
        <f>$D$56*$S$44</f>
        <v>0</v>
      </c>
      <c r="F144" s="945"/>
      <c r="G144" s="199">
        <f>$D$56*$T$44</f>
        <v>0</v>
      </c>
      <c r="H144" s="199">
        <f>B144+E144</f>
        <v>0</v>
      </c>
    </row>
  </sheetData>
  <mergeCells count="12">
    <mergeCell ref="B126:H126"/>
    <mergeCell ref="B127:H127"/>
    <mergeCell ref="B63:H63"/>
    <mergeCell ref="AE2:AE3"/>
    <mergeCell ref="B106:H106"/>
    <mergeCell ref="B84:H84"/>
    <mergeCell ref="R26:U26"/>
    <mergeCell ref="R25:U25"/>
    <mergeCell ref="B64:H64"/>
    <mergeCell ref="B83:H83"/>
    <mergeCell ref="B2:H3"/>
    <mergeCell ref="B105:H105"/>
  </mergeCells>
  <phoneticPr fontId="67" type="noConversion"/>
  <printOptions horizontalCentered="1"/>
  <pageMargins left="0.5" right="0.5" top="1" bottom="0.5" header="0.3" footer="0.511811023622047"/>
  <pageSetup paperSize="9" scale="32"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2E75B6"/>
    <pageSetUpPr fitToPage="1"/>
  </sheetPr>
  <dimension ref="A1:AD101"/>
  <sheetViews>
    <sheetView topLeftCell="A14" zoomScale="87" zoomScaleNormal="70" workbookViewId="0">
      <selection activeCell="D53" sqref="D53:D54"/>
    </sheetView>
  </sheetViews>
  <sheetFormatPr defaultColWidth="12.5" defaultRowHeight="14" x14ac:dyDescent="0.3"/>
  <cols>
    <col min="1" max="1" width="12.5" style="79" customWidth="1"/>
    <col min="2" max="2" width="32.332031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5.58203125" style="14" customWidth="1"/>
    <col min="15" max="15" width="14.5" style="14" customWidth="1"/>
    <col min="16" max="17" width="12.5" style="14" customWidth="1"/>
    <col min="18" max="18" width="32.58203125" style="14" bestFit="1" customWidth="1"/>
    <col min="19" max="19" width="12.5" style="14" customWidth="1"/>
    <col min="20" max="27" width="12.5" style="14"/>
    <col min="28" max="28" width="13.33203125" style="14" bestFit="1" customWidth="1"/>
    <col min="29" max="30" width="12.5" style="782"/>
    <col min="31" max="16384" width="12.5" style="14"/>
  </cols>
  <sheetData>
    <row r="1" spans="1:30" ht="32.75" customHeight="1" x14ac:dyDescent="0.3">
      <c r="B1" s="80" t="s">
        <v>243</v>
      </c>
      <c r="C1" s="81">
        <v>1000</v>
      </c>
      <c r="D1" s="82" t="s">
        <v>244</v>
      </c>
      <c r="E1" s="117">
        <f>T32</f>
        <v>13135.384615384628</v>
      </c>
      <c r="F1" s="80" t="s">
        <v>245</v>
      </c>
      <c r="G1" s="81">
        <f>E1/C1</f>
        <v>13.135384615384629</v>
      </c>
      <c r="H1" s="80" t="s">
        <v>246</v>
      </c>
      <c r="I1" s="283">
        <f>(G1/K1)</f>
        <v>13.135384615384629</v>
      </c>
      <c r="J1" s="86" t="s">
        <v>247</v>
      </c>
      <c r="K1" s="396">
        <v>1</v>
      </c>
      <c r="L1" s="100"/>
      <c r="M1" s="89"/>
      <c r="N1" s="90"/>
      <c r="O1" s="91" t="s">
        <v>248</v>
      </c>
      <c r="P1" s="92" t="s">
        <v>301</v>
      </c>
      <c r="Q1" s="93" t="s">
        <v>250</v>
      </c>
      <c r="R1" s="92">
        <v>0.51</v>
      </c>
      <c r="Y1" s="91" t="s">
        <v>479</v>
      </c>
      <c r="Z1" s="847">
        <v>55920</v>
      </c>
      <c r="AA1" s="91" t="s">
        <v>600</v>
      </c>
      <c r="AB1" s="847">
        <v>1000</v>
      </c>
      <c r="AC1" s="91" t="s">
        <v>587</v>
      </c>
      <c r="AD1" s="847">
        <v>366</v>
      </c>
    </row>
    <row r="2" spans="1:30" ht="12.75" customHeight="1" x14ac:dyDescent="0.3">
      <c r="A2" s="97"/>
      <c r="B2" s="1387" t="s">
        <v>50</v>
      </c>
      <c r="C2" s="1389"/>
      <c r="D2" s="1389"/>
      <c r="E2" s="1389"/>
      <c r="F2" s="1389"/>
      <c r="G2" s="1389"/>
      <c r="H2" s="1389"/>
      <c r="I2" s="1389"/>
      <c r="J2" s="1389"/>
      <c r="K2" s="397"/>
      <c r="L2" s="397"/>
      <c r="M2" s="100"/>
      <c r="N2" s="100"/>
      <c r="O2" s="100"/>
      <c r="P2" s="100"/>
      <c r="Q2" s="100"/>
      <c r="R2" s="100"/>
      <c r="AC2" s="779"/>
      <c r="AD2" s="779"/>
    </row>
    <row r="3" spans="1:30" ht="12.75" customHeight="1" x14ac:dyDescent="0.3">
      <c r="A3" s="97"/>
      <c r="B3" s="1388"/>
      <c r="C3" s="1388"/>
      <c r="D3" s="1388"/>
      <c r="E3" s="1388"/>
      <c r="F3" s="1388"/>
      <c r="G3" s="1388"/>
      <c r="H3" s="1388"/>
      <c r="I3" s="1388"/>
      <c r="J3" s="1388"/>
      <c r="K3" s="397"/>
      <c r="L3" s="397"/>
      <c r="M3" s="100"/>
      <c r="N3" s="100"/>
      <c r="O3" s="100"/>
      <c r="P3" s="100"/>
      <c r="Q3" s="100"/>
      <c r="R3" s="100"/>
      <c r="AC3" s="779"/>
      <c r="AD3" s="779"/>
    </row>
    <row r="4" spans="1:30" ht="35.25" customHeight="1" x14ac:dyDescent="0.25">
      <c r="A4" s="91" t="s">
        <v>1</v>
      </c>
      <c r="B4" s="91" t="s">
        <v>253</v>
      </c>
      <c r="C4" s="107" t="s">
        <v>254</v>
      </c>
      <c r="D4" s="91" t="s">
        <v>243</v>
      </c>
      <c r="E4" s="108" t="s">
        <v>246</v>
      </c>
      <c r="F4" s="108" t="s">
        <v>255</v>
      </c>
      <c r="G4" s="91" t="s">
        <v>256</v>
      </c>
      <c r="H4" s="109" t="s">
        <v>257</v>
      </c>
      <c r="I4" s="91" t="s">
        <v>258</v>
      </c>
      <c r="J4" s="91" t="s">
        <v>259</v>
      </c>
      <c r="K4" s="91" t="s">
        <v>260</v>
      </c>
      <c r="L4" s="91" t="s">
        <v>261</v>
      </c>
      <c r="O4" s="100"/>
      <c r="P4" s="100"/>
      <c r="AA4" s="251"/>
      <c r="AB4" s="253"/>
      <c r="AC4" s="778"/>
      <c r="AD4" s="778"/>
    </row>
    <row r="5" spans="1:30" ht="14.25" customHeight="1" x14ac:dyDescent="0.3">
      <c r="A5" s="266" t="s">
        <v>230</v>
      </c>
      <c r="B5" s="222" t="s">
        <v>236</v>
      </c>
      <c r="C5" s="115" t="s">
        <v>14</v>
      </c>
      <c r="D5" s="121">
        <f>I51/10</f>
        <v>6536.0784313725489</v>
      </c>
      <c r="E5" s="366">
        <f>H52</f>
        <v>13.135121912946351</v>
      </c>
      <c r="F5" s="127">
        <v>1</v>
      </c>
      <c r="G5" s="119">
        <f t="shared" ref="G5:G17" si="0">D5*E5</f>
        <v>85852.187028657587</v>
      </c>
      <c r="H5" s="120">
        <f>G5*F5</f>
        <v>85852.187028657587</v>
      </c>
      <c r="I5" s="81">
        <f>VLOOKUP(B5,All_Ingredients!$A$1:$F$151,6,FALSE())</f>
        <v>0.61</v>
      </c>
      <c r="J5" s="119">
        <f>VLOOKUP(B5,All_Ingredients!$A$1:$J$151,10,FALSE())</f>
        <v>39</v>
      </c>
      <c r="K5" s="122">
        <f>(H5/I5)/1000</f>
        <v>140.74129021091406</v>
      </c>
      <c r="L5" s="122">
        <f>K5*J5</f>
        <v>5488.9103182256486</v>
      </c>
      <c r="O5" s="100"/>
      <c r="P5" s="100"/>
      <c r="AA5" s="92"/>
      <c r="AB5" s="133"/>
      <c r="AC5" s="780"/>
      <c r="AD5" s="781"/>
    </row>
    <row r="6" spans="1:30" ht="14.25" customHeight="1" x14ac:dyDescent="0.3">
      <c r="A6" s="128" t="s">
        <v>13</v>
      </c>
      <c r="B6" s="222" t="s">
        <v>12</v>
      </c>
      <c r="C6" s="124" t="s">
        <v>14</v>
      </c>
      <c r="D6" s="125">
        <v>500</v>
      </c>
      <c r="E6" s="197">
        <f t="shared" ref="E6:E17" si="1">$I$1</f>
        <v>13.135384615384629</v>
      </c>
      <c r="F6" s="127">
        <v>0.95</v>
      </c>
      <c r="G6" s="119">
        <f t="shared" si="0"/>
        <v>6567.692307692314</v>
      </c>
      <c r="H6" s="120">
        <f t="shared" ref="H6:H17" si="2">G6*F6</f>
        <v>6239.3076923076978</v>
      </c>
      <c r="I6" s="81">
        <f>VLOOKUP(B6,All_Ingredients!$A$1:$F$151,6,FALSE())</f>
        <v>0.9</v>
      </c>
      <c r="J6" s="119">
        <f>VLOOKUP(B6,All_Ingredients!$A$1:$J$151,10,FALSE())</f>
        <v>3</v>
      </c>
      <c r="K6" s="122">
        <f t="shared" ref="K6:K17" si="3">(H6/I6)/1000</f>
        <v>6.9325641025641085</v>
      </c>
      <c r="L6" s="122">
        <f t="shared" ref="L6:L17" si="4">K6*J6</f>
        <v>20.797692307692326</v>
      </c>
    </row>
    <row r="7" spans="1:30" ht="14.25" customHeight="1" x14ac:dyDescent="0.3">
      <c r="A7" s="128" t="s">
        <v>13</v>
      </c>
      <c r="B7" s="222" t="s">
        <v>792</v>
      </c>
      <c r="C7" s="124" t="s">
        <v>14</v>
      </c>
      <c r="D7" s="125">
        <v>40</v>
      </c>
      <c r="E7" s="197">
        <f t="shared" si="1"/>
        <v>13.135384615384629</v>
      </c>
      <c r="F7" s="127">
        <v>1</v>
      </c>
      <c r="G7" s="119">
        <f t="shared" si="0"/>
        <v>525.41538461538516</v>
      </c>
      <c r="H7" s="120">
        <f t="shared" si="2"/>
        <v>525.41538461538516</v>
      </c>
      <c r="I7" s="81">
        <f>VLOOKUP(B7,All_Ingredients!$A$1:$F$151,6,FALSE())</f>
        <v>1</v>
      </c>
      <c r="J7" s="119">
        <f>VLOOKUP(B7,All_Ingredients!$A$1:$J$151,10,FALSE())</f>
        <v>10.5</v>
      </c>
      <c r="K7" s="122">
        <f t="shared" si="3"/>
        <v>0.52541538461538517</v>
      </c>
      <c r="L7" s="122">
        <f t="shared" si="4"/>
        <v>5.5168615384615443</v>
      </c>
    </row>
    <row r="8" spans="1:30" ht="14.25" customHeight="1" x14ac:dyDescent="0.3">
      <c r="A8" s="128" t="s">
        <v>97</v>
      </c>
      <c r="B8" s="222" t="s">
        <v>114</v>
      </c>
      <c r="C8" s="124" t="s">
        <v>14</v>
      </c>
      <c r="D8" s="125">
        <v>11</v>
      </c>
      <c r="E8" s="197">
        <f t="shared" si="1"/>
        <v>13.135384615384629</v>
      </c>
      <c r="F8" s="127">
        <v>0.75</v>
      </c>
      <c r="G8" s="119">
        <f t="shared" si="0"/>
        <v>144.48923076923091</v>
      </c>
      <c r="H8" s="120">
        <f t="shared" si="2"/>
        <v>108.36692307692319</v>
      </c>
      <c r="I8" s="81">
        <f>VLOOKUP(B8,All_Ingredients!$A$1:$F$151,6,FALSE())</f>
        <v>1</v>
      </c>
      <c r="J8" s="119">
        <f>VLOOKUP(B8,All_Ingredients!$A$1:$J$151,10,FALSE())</f>
        <v>64.243759177679877</v>
      </c>
      <c r="K8" s="122">
        <f t="shared" si="3"/>
        <v>0.10836692307692318</v>
      </c>
      <c r="L8" s="122">
        <f t="shared" si="4"/>
        <v>6.9618985089800125</v>
      </c>
    </row>
    <row r="9" spans="1:30" ht="14.25" customHeight="1" x14ac:dyDescent="0.3">
      <c r="A9" s="128" t="s">
        <v>196</v>
      </c>
      <c r="B9" s="222" t="s">
        <v>761</v>
      </c>
      <c r="C9" s="124" t="s">
        <v>14</v>
      </c>
      <c r="D9" s="125">
        <v>100</v>
      </c>
      <c r="E9" s="197">
        <f t="shared" si="1"/>
        <v>13.135384615384629</v>
      </c>
      <c r="F9" s="127">
        <v>1</v>
      </c>
      <c r="G9" s="119">
        <f t="shared" si="0"/>
        <v>1313.5384615384628</v>
      </c>
      <c r="H9" s="120">
        <f t="shared" si="2"/>
        <v>1313.5384615384628</v>
      </c>
      <c r="I9" s="81">
        <f>VLOOKUP(B9,All_Ingredients!$A$1:$F$151,6,FALSE())</f>
        <v>1</v>
      </c>
      <c r="J9" s="119">
        <f>VLOOKUP(B9,All_Ingredients!$A$1:$J$151,10,FALSE())</f>
        <v>8.1520833333333336</v>
      </c>
      <c r="K9" s="122">
        <f t="shared" si="3"/>
        <v>1.3135384615384629</v>
      </c>
      <c r="L9" s="122">
        <f t="shared" si="4"/>
        <v>10.708075000000012</v>
      </c>
    </row>
    <row r="10" spans="1:30" ht="14.25" customHeight="1" x14ac:dyDescent="0.3">
      <c r="A10" s="128" t="s">
        <v>97</v>
      </c>
      <c r="B10" s="222" t="s">
        <v>144</v>
      </c>
      <c r="C10" s="124" t="s">
        <v>14</v>
      </c>
      <c r="D10" s="125">
        <v>15</v>
      </c>
      <c r="E10" s="197">
        <f t="shared" si="1"/>
        <v>13.135384615384629</v>
      </c>
      <c r="F10" s="127">
        <v>1</v>
      </c>
      <c r="G10" s="119">
        <f t="shared" si="0"/>
        <v>197.03076923076944</v>
      </c>
      <c r="H10" s="120">
        <f t="shared" si="2"/>
        <v>197.03076923076944</v>
      </c>
      <c r="I10" s="81">
        <f>VLOOKUP(B10,All_Ingredients!$A$1:$F$151,6,FALSE())</f>
        <v>1</v>
      </c>
      <c r="J10" s="119">
        <f>VLOOKUP(B10,All_Ingredients!$A$1:$J$151,10,FALSE())</f>
        <v>15.277777777777779</v>
      </c>
      <c r="K10" s="122">
        <f t="shared" si="3"/>
        <v>0.19703076923076943</v>
      </c>
      <c r="L10" s="122">
        <f t="shared" si="4"/>
        <v>3.0101923076923107</v>
      </c>
    </row>
    <row r="11" spans="1:30" ht="14.25" customHeight="1" x14ac:dyDescent="0.3">
      <c r="A11" s="128" t="s">
        <v>186</v>
      </c>
      <c r="B11" s="222" t="s">
        <v>189</v>
      </c>
      <c r="C11" s="124" t="s">
        <v>14</v>
      </c>
      <c r="D11" s="125">
        <v>50</v>
      </c>
      <c r="E11" s="197">
        <f t="shared" si="1"/>
        <v>13.135384615384629</v>
      </c>
      <c r="F11" s="127">
        <v>1</v>
      </c>
      <c r="G11" s="119">
        <f t="shared" si="0"/>
        <v>656.7692307692314</v>
      </c>
      <c r="H11" s="120">
        <f t="shared" si="2"/>
        <v>656.7692307692314</v>
      </c>
      <c r="I11" s="81">
        <f>VLOOKUP(B11,All_Ingredients!$A$1:$F$151,6,FALSE())</f>
        <v>1</v>
      </c>
      <c r="J11" s="119">
        <f>VLOOKUP(B11,All_Ingredients!$A$1:$J$151,10,FALSE())</f>
        <v>17</v>
      </c>
      <c r="K11" s="122">
        <f t="shared" si="3"/>
        <v>0.65676923076923144</v>
      </c>
      <c r="L11" s="122">
        <f t="shared" si="4"/>
        <v>11.165076923076935</v>
      </c>
    </row>
    <row r="12" spans="1:30" ht="14.25" customHeight="1" x14ac:dyDescent="0.3">
      <c r="A12" s="128" t="s">
        <v>158</v>
      </c>
      <c r="B12" s="222" t="s">
        <v>171</v>
      </c>
      <c r="C12" s="124" t="s">
        <v>165</v>
      </c>
      <c r="D12" s="125">
        <v>600</v>
      </c>
      <c r="E12" s="197">
        <f t="shared" si="1"/>
        <v>13.135384615384629</v>
      </c>
      <c r="F12" s="127">
        <v>1</v>
      </c>
      <c r="G12" s="119">
        <f t="shared" si="0"/>
        <v>7881.2307692307777</v>
      </c>
      <c r="H12" s="120">
        <f t="shared" si="2"/>
        <v>7881.2307692307777</v>
      </c>
      <c r="I12" s="81">
        <f>VLOOKUP(B12,All_Ingredients!$A$1:$F$151,6,FALSE())</f>
        <v>1</v>
      </c>
      <c r="J12" s="119">
        <f>VLOOKUP(B12,All_Ingredients!$A$1:$J$151,10,FALSE())</f>
        <v>12.666666666666666</v>
      </c>
      <c r="K12" s="122">
        <f t="shared" si="3"/>
        <v>7.8812307692307773</v>
      </c>
      <c r="L12" s="122">
        <f t="shared" si="4"/>
        <v>99.828923076923175</v>
      </c>
    </row>
    <row r="13" spans="1:30" ht="14.25" customHeight="1" x14ac:dyDescent="0.3">
      <c r="A13" s="128" t="s">
        <v>97</v>
      </c>
      <c r="B13" s="222" t="s">
        <v>96</v>
      </c>
      <c r="C13" s="124" t="s">
        <v>14</v>
      </c>
      <c r="D13" s="125">
        <v>6</v>
      </c>
      <c r="E13" s="197">
        <f t="shared" si="1"/>
        <v>13.135384615384629</v>
      </c>
      <c r="F13" s="127">
        <v>0.75</v>
      </c>
      <c r="G13" s="119">
        <f t="shared" si="0"/>
        <v>78.812307692307769</v>
      </c>
      <c r="H13" s="120">
        <f t="shared" si="2"/>
        <v>59.109230769230827</v>
      </c>
      <c r="I13" s="81">
        <f>VLOOKUP(B13,All_Ingredients!$A$1:$F$151,6,FALSE())</f>
        <v>1</v>
      </c>
      <c r="J13" s="119">
        <f>VLOOKUP(B13,All_Ingredients!$A$1:$J$151,10,FALSE())</f>
        <v>0.74</v>
      </c>
      <c r="K13" s="122">
        <f t="shared" si="3"/>
        <v>5.9109230769230824E-2</v>
      </c>
      <c r="L13" s="122">
        <f t="shared" si="4"/>
        <v>4.3740830769230812E-2</v>
      </c>
    </row>
    <row r="14" spans="1:30" ht="14.25" customHeight="1" x14ac:dyDescent="0.3">
      <c r="A14" s="128" t="s">
        <v>97</v>
      </c>
      <c r="B14" s="222" t="s">
        <v>102</v>
      </c>
      <c r="C14" s="124" t="s">
        <v>14</v>
      </c>
      <c r="D14" s="125">
        <v>8</v>
      </c>
      <c r="E14" s="197">
        <f t="shared" si="1"/>
        <v>13.135384615384629</v>
      </c>
      <c r="F14" s="127">
        <v>0.75</v>
      </c>
      <c r="G14" s="119">
        <f t="shared" si="0"/>
        <v>105.08307692307703</v>
      </c>
      <c r="H14" s="120">
        <f t="shared" si="2"/>
        <v>78.812307692307769</v>
      </c>
      <c r="I14" s="81">
        <f>VLOOKUP(B14,All_Ingredients!$A$1:$F$151,6,FALSE())</f>
        <v>1</v>
      </c>
      <c r="J14" s="119">
        <f>VLOOKUP(B14,All_Ingredients!$A$1:$J$151,10,FALSE())</f>
        <v>31</v>
      </c>
      <c r="K14" s="122">
        <f t="shared" si="3"/>
        <v>7.8812307692307765E-2</v>
      </c>
      <c r="L14" s="122">
        <f t="shared" si="4"/>
        <v>2.4431815384615407</v>
      </c>
    </row>
    <row r="15" spans="1:30" ht="14.25" customHeight="1" x14ac:dyDescent="0.3">
      <c r="A15" s="128" t="s">
        <v>192</v>
      </c>
      <c r="B15" s="222" t="s">
        <v>193</v>
      </c>
      <c r="C15" s="124" t="s">
        <v>14</v>
      </c>
      <c r="D15" s="125">
        <v>90</v>
      </c>
      <c r="E15" s="197">
        <f t="shared" si="1"/>
        <v>13.135384615384629</v>
      </c>
      <c r="F15" s="127">
        <v>1</v>
      </c>
      <c r="G15" s="119">
        <f t="shared" si="0"/>
        <v>1182.1846153846166</v>
      </c>
      <c r="H15" s="120">
        <f t="shared" si="2"/>
        <v>1182.1846153846166</v>
      </c>
      <c r="I15" s="81">
        <f>VLOOKUP(B15,All_Ingredients!$A$1:$F$151,6,FALSE())</f>
        <v>0.9</v>
      </c>
      <c r="J15" s="119">
        <f>VLOOKUP(B15,All_Ingredients!$A$1:$J$151,10,FALSE())</f>
        <v>2.3199999999999998</v>
      </c>
      <c r="K15" s="122">
        <f t="shared" si="3"/>
        <v>1.3135384615384629</v>
      </c>
      <c r="L15" s="122">
        <f t="shared" si="4"/>
        <v>3.0474092307692335</v>
      </c>
    </row>
    <row r="16" spans="1:30" ht="14.25" customHeight="1" x14ac:dyDescent="0.3">
      <c r="A16" s="128" t="s">
        <v>158</v>
      </c>
      <c r="B16" s="222" t="s">
        <v>157</v>
      </c>
      <c r="C16" s="124" t="s">
        <v>14</v>
      </c>
      <c r="D16" s="125">
        <v>30</v>
      </c>
      <c r="E16" s="197">
        <f t="shared" si="1"/>
        <v>13.135384615384629</v>
      </c>
      <c r="F16" s="127">
        <v>1</v>
      </c>
      <c r="G16" s="119">
        <f t="shared" si="0"/>
        <v>394.06153846153887</v>
      </c>
      <c r="H16" s="120">
        <f t="shared" si="2"/>
        <v>394.06153846153887</v>
      </c>
      <c r="I16" s="81">
        <f>VLOOKUP(B16,All_Ingredients!$A$1:$F$151,6,FALSE())</f>
        <v>1</v>
      </c>
      <c r="J16" s="119">
        <f>VLOOKUP(B16,All_Ingredients!$A$1:$J$151,10,FALSE())</f>
        <v>30</v>
      </c>
      <c r="K16" s="122">
        <f t="shared" si="3"/>
        <v>0.39406153846153885</v>
      </c>
      <c r="L16" s="122">
        <f t="shared" si="4"/>
        <v>11.821846153846165</v>
      </c>
    </row>
    <row r="17" spans="1:30" ht="14.25" customHeight="1" x14ac:dyDescent="0.3">
      <c r="A17" s="128" t="s">
        <v>210</v>
      </c>
      <c r="B17" s="222" t="s">
        <v>214</v>
      </c>
      <c r="C17" s="124" t="s">
        <v>165</v>
      </c>
      <c r="D17" s="125">
        <v>500</v>
      </c>
      <c r="E17" s="197">
        <f t="shared" si="1"/>
        <v>13.135384615384629</v>
      </c>
      <c r="F17" s="127">
        <v>0.75</v>
      </c>
      <c r="G17" s="119">
        <f t="shared" si="0"/>
        <v>6567.692307692314</v>
      </c>
      <c r="H17" s="120">
        <f t="shared" si="2"/>
        <v>4925.7692307692359</v>
      </c>
      <c r="I17" s="81">
        <f>VLOOKUP(B17,All_Ingredients!$A$1:$F$151,6,FALSE())</f>
        <v>1</v>
      </c>
      <c r="J17" s="119">
        <f>VLOOKUP(B17,All_Ingredients!$A$1:$J$151,10,FALSE())</f>
        <v>0</v>
      </c>
      <c r="K17" s="122">
        <f t="shared" si="3"/>
        <v>4.9257692307692356</v>
      </c>
      <c r="L17" s="122">
        <f t="shared" si="4"/>
        <v>0</v>
      </c>
    </row>
    <row r="18" spans="1:30" ht="14.25" customHeight="1" x14ac:dyDescent="0.3">
      <c r="B18" s="100"/>
      <c r="C18" s="171"/>
      <c r="D18" s="171"/>
      <c r="E18" s="100"/>
      <c r="F18" s="100"/>
      <c r="G18" s="171"/>
      <c r="L18" s="297"/>
    </row>
    <row r="19" spans="1:30" ht="14.25" customHeight="1" x14ac:dyDescent="0.3">
      <c r="L19" s="297"/>
    </row>
    <row r="20" spans="1:30" ht="14.25" customHeight="1" x14ac:dyDescent="0.3">
      <c r="L20" s="297"/>
    </row>
    <row r="21" spans="1:30" ht="14.25" customHeight="1" x14ac:dyDescent="0.3">
      <c r="L21" s="297"/>
    </row>
    <row r="22" spans="1:30" ht="14.25" customHeight="1" x14ac:dyDescent="0.3">
      <c r="L22" s="297"/>
    </row>
    <row r="23" spans="1:30" ht="14.25" customHeight="1" x14ac:dyDescent="0.3">
      <c r="L23" s="297"/>
    </row>
    <row r="24" spans="1:30" ht="14.25" customHeight="1" x14ac:dyDescent="0.3">
      <c r="L24" s="297"/>
      <c r="Z24" s="1234"/>
    </row>
    <row r="25" spans="1:30" ht="14.25" customHeight="1" x14ac:dyDescent="0.35">
      <c r="B25" s="100"/>
      <c r="E25" s="100"/>
      <c r="F25" s="100"/>
      <c r="K25" s="100"/>
      <c r="L25" s="297"/>
      <c r="R25" s="1411" t="s">
        <v>374</v>
      </c>
      <c r="S25" s="1388"/>
      <c r="T25" s="1388"/>
      <c r="U25" s="1388"/>
      <c r="Z25" s="141" t="s">
        <v>264</v>
      </c>
      <c r="AA25" s="142">
        <v>57130</v>
      </c>
      <c r="AB25" s="141" t="s">
        <v>261</v>
      </c>
      <c r="AC25" s="143">
        <f>AD30*AA25</f>
        <v>5686.9330904986709</v>
      </c>
      <c r="AD25" s="14"/>
    </row>
    <row r="26" spans="1:30" ht="14.25" customHeight="1" x14ac:dyDescent="0.3">
      <c r="B26" s="100"/>
      <c r="E26" s="100"/>
      <c r="F26" s="100"/>
      <c r="L26" s="297"/>
      <c r="R26" s="1409" t="s">
        <v>375</v>
      </c>
      <c r="S26" s="1410"/>
      <c r="T26" s="1410"/>
      <c r="U26" s="1410"/>
      <c r="AC26" s="14"/>
      <c r="AD26" s="14"/>
    </row>
    <row r="27" spans="1:30" ht="14.25" customHeight="1" thickBot="1" x14ac:dyDescent="0.35">
      <c r="R27" s="145" t="s">
        <v>266</v>
      </c>
      <c r="S27" s="146" t="s">
        <v>376</v>
      </c>
      <c r="T27" s="146" t="s">
        <v>268</v>
      </c>
      <c r="U27" s="146" t="s">
        <v>274</v>
      </c>
      <c r="V27" s="146" t="s">
        <v>848</v>
      </c>
      <c r="Z27" s="141" t="s">
        <v>270</v>
      </c>
      <c r="AA27" s="147" t="s">
        <v>271</v>
      </c>
      <c r="AB27" s="147" t="s">
        <v>272</v>
      </c>
      <c r="AC27" s="1186" t="s">
        <v>848</v>
      </c>
      <c r="AD27" s="147" t="s">
        <v>274</v>
      </c>
    </row>
    <row r="28" spans="1:30" ht="32" customHeight="1" thickBot="1" x14ac:dyDescent="0.35">
      <c r="R28" s="148" t="s">
        <v>275</v>
      </c>
      <c r="S28" s="149">
        <f>U28*S40</f>
        <v>43015.384615384603</v>
      </c>
      <c r="T28" s="149">
        <f>U28*U40</f>
        <v>12904.615384615397</v>
      </c>
      <c r="U28" s="150">
        <f>$Z$1</f>
        <v>55920</v>
      </c>
      <c r="V28" s="149">
        <f>H37</f>
        <v>25.62</v>
      </c>
      <c r="Z28" s="151"/>
      <c r="AA28" s="152">
        <f>AA25*$S$40</f>
        <v>43946.153846153837</v>
      </c>
      <c r="AB28" s="152">
        <f>AA25-AA28</f>
        <v>13183.846153846163</v>
      </c>
      <c r="AC28" s="1188"/>
      <c r="AD28" s="154">
        <f>SUM(AA28:AC28)</f>
        <v>57130</v>
      </c>
    </row>
    <row r="29" spans="1:30" ht="14.25" customHeight="1" thickBot="1" x14ac:dyDescent="0.35">
      <c r="R29" s="148" t="s">
        <v>276</v>
      </c>
      <c r="S29" s="155"/>
      <c r="T29" s="149"/>
      <c r="U29" s="149">
        <f>T29</f>
        <v>0</v>
      </c>
      <c r="V29" s="149"/>
      <c r="Z29" s="151"/>
      <c r="AA29" s="1226">
        <f>AA28/$AD$28</f>
        <v>0.76923076923076905</v>
      </c>
      <c r="AB29" s="156">
        <f>AB28/$AD$28</f>
        <v>0.23076923076923095</v>
      </c>
      <c r="AC29" s="1192"/>
      <c r="AD29" s="156">
        <f>AD28/$AD$28</f>
        <v>1</v>
      </c>
    </row>
    <row r="30" spans="1:30" ht="14.25" customHeight="1" thickBot="1" x14ac:dyDescent="0.35">
      <c r="B30" s="100"/>
      <c r="E30" s="100"/>
      <c r="R30" s="148" t="s">
        <v>277</v>
      </c>
      <c r="S30" s="1228">
        <f>U30*S40</f>
        <v>769.23076923076906</v>
      </c>
      <c r="T30" s="1228">
        <f>U30*U40</f>
        <v>230.769230769231</v>
      </c>
      <c r="U30" s="150">
        <f>$AB$1</f>
        <v>1000</v>
      </c>
      <c r="V30" s="1143"/>
      <c r="Z30" s="141" t="s">
        <v>278</v>
      </c>
      <c r="AA30" s="157">
        <f>S35/(S32)</f>
        <v>0.1253616200578592</v>
      </c>
      <c r="AB30" s="158">
        <f>T35/T32</f>
        <v>1.3349049346549194E-2</v>
      </c>
      <c r="AC30" s="1199">
        <f>V35/U32</f>
        <v>3.1161143845613279E-5</v>
      </c>
      <c r="AD30" s="1201">
        <f>SUMPRODUCT(AA30:AB30,AA29:AB29)+AC30</f>
        <v>9.9543726422171727E-2</v>
      </c>
    </row>
    <row r="31" spans="1:30" ht="14.25" customHeight="1" thickBot="1" x14ac:dyDescent="0.35">
      <c r="B31" s="100"/>
      <c r="E31" s="100"/>
      <c r="R31" s="148" t="s">
        <v>279</v>
      </c>
      <c r="S31" s="155"/>
      <c r="T31" s="149"/>
      <c r="U31" s="149"/>
      <c r="V31" s="149"/>
    </row>
    <row r="32" spans="1:30" ht="14.25" customHeight="1" thickBot="1" x14ac:dyDescent="0.35">
      <c r="B32" s="100"/>
      <c r="E32" s="100"/>
      <c r="R32" s="160" t="s">
        <v>269</v>
      </c>
      <c r="S32" s="149">
        <f>SUM(S28:S30)</f>
        <v>43784.615384615368</v>
      </c>
      <c r="T32" s="149">
        <f>SUM(T28:T30)</f>
        <v>13135.384615384628</v>
      </c>
      <c r="U32" s="149">
        <f>SUM(U28:U30)</f>
        <v>56920</v>
      </c>
      <c r="V32" s="149">
        <f>SUM(V28:V30)</f>
        <v>25.62</v>
      </c>
    </row>
    <row r="33" spans="2:23" ht="14.25" customHeight="1" thickBot="1" x14ac:dyDescent="0.35">
      <c r="B33" s="100"/>
      <c r="E33" s="100"/>
      <c r="R33" s="161" t="s">
        <v>280</v>
      </c>
      <c r="S33" s="155"/>
      <c r="T33" s="155"/>
      <c r="U33" s="155"/>
      <c r="V33" s="155"/>
    </row>
    <row r="34" spans="2:23" ht="14.25" customHeight="1" thickBot="1" x14ac:dyDescent="0.35">
      <c r="B34" s="100"/>
      <c r="E34" s="100"/>
      <c r="R34" s="162" t="s">
        <v>281</v>
      </c>
      <c r="S34" s="155"/>
      <c r="T34" s="149"/>
      <c r="U34" s="155"/>
      <c r="V34" s="155"/>
    </row>
    <row r="35" spans="2:23" ht="14.25" customHeight="1" thickBot="1" x14ac:dyDescent="0.35">
      <c r="B35" s="1394" t="s">
        <v>686</v>
      </c>
      <c r="C35" s="1394"/>
      <c r="D35" s="1394"/>
      <c r="E35" s="1394"/>
      <c r="F35" s="1394"/>
      <c r="G35" s="889"/>
      <c r="H35" s="889"/>
      <c r="I35" s="889"/>
      <c r="J35" s="889"/>
      <c r="K35" s="889"/>
      <c r="L35" s="889"/>
      <c r="R35" s="163" t="s">
        <v>261</v>
      </c>
      <c r="S35" s="1144">
        <f>$L$5</f>
        <v>5488.9103182256486</v>
      </c>
      <c r="T35" s="1144">
        <f>SUM(L6:L17)</f>
        <v>175.3448974166725</v>
      </c>
      <c r="U35" s="1144">
        <f>S35+T35+V35</f>
        <v>5666.0289079500135</v>
      </c>
      <c r="V35" s="1203">
        <f>L37</f>
        <v>1.7736923076923077</v>
      </c>
    </row>
    <row r="36" spans="2:23" ht="14.25" customHeight="1" x14ac:dyDescent="0.3">
      <c r="B36" s="860" t="s">
        <v>253</v>
      </c>
      <c r="C36" s="860" t="s">
        <v>329</v>
      </c>
      <c r="D36" s="862" t="s">
        <v>671</v>
      </c>
      <c r="E36" s="859" t="s">
        <v>672</v>
      </c>
      <c r="F36" s="862" t="s">
        <v>673</v>
      </c>
      <c r="G36" s="882"/>
      <c r="H36" s="862" t="s">
        <v>673</v>
      </c>
      <c r="I36" s="862" t="s">
        <v>258</v>
      </c>
      <c r="J36" s="862" t="s">
        <v>259</v>
      </c>
      <c r="K36" s="862" t="s">
        <v>260</v>
      </c>
      <c r="L36" s="862" t="s">
        <v>261</v>
      </c>
    </row>
    <row r="37" spans="2:23" ht="14.25" customHeight="1" x14ac:dyDescent="0.3">
      <c r="B37" s="855" t="s">
        <v>746</v>
      </c>
      <c r="C37" s="856" t="s">
        <v>14</v>
      </c>
      <c r="D37" s="857">
        <v>7.0000000000000007E-2</v>
      </c>
      <c r="E37" s="855">
        <f>$AD$1</f>
        <v>366</v>
      </c>
      <c r="F37" s="855">
        <f>D37*E37</f>
        <v>25.62</v>
      </c>
      <c r="G37"/>
      <c r="H37" s="855">
        <f>F37</f>
        <v>25.62</v>
      </c>
      <c r="I37" s="855">
        <f>VLOOKUP(B37,All_Ingredients!$A$1:$F$151,6,FALSE())</f>
        <v>0.65</v>
      </c>
      <c r="J37" s="855">
        <f>VLOOKUP(B37,All_Ingredients!$A$1:$J$151,10,FALSE())</f>
        <v>45</v>
      </c>
      <c r="K37" s="855">
        <f>(H37/I37)/1000</f>
        <v>3.9415384615384616E-2</v>
      </c>
      <c r="L37" s="855">
        <f t="shared" ref="L37" si="5">K37*J37</f>
        <v>1.7736923076923077</v>
      </c>
    </row>
    <row r="38" spans="2:23" ht="14.25" customHeight="1" x14ac:dyDescent="0.3">
      <c r="B38" s="100"/>
      <c r="E38" s="100"/>
      <c r="F38" s="100"/>
    </row>
    <row r="39" spans="2:23" ht="14.25" customHeight="1" x14ac:dyDescent="0.3">
      <c r="B39" s="100"/>
      <c r="E39" s="100"/>
      <c r="F39" s="100"/>
    </row>
    <row r="40" spans="2:23" ht="11.75" customHeight="1" x14ac:dyDescent="0.3">
      <c r="B40" s="100"/>
      <c r="E40" s="100"/>
      <c r="F40" s="100"/>
      <c r="R40" s="165" t="s">
        <v>282</v>
      </c>
      <c r="S40" s="1298">
        <v>0.76923076923076905</v>
      </c>
      <c r="T40" s="165" t="s">
        <v>283</v>
      </c>
      <c r="U40" s="167">
        <v>0.230769230769231</v>
      </c>
      <c r="V40" s="168">
        <f>S40+U40</f>
        <v>1</v>
      </c>
    </row>
    <row r="41" spans="2:23" ht="14.25" customHeight="1" x14ac:dyDescent="0.3">
      <c r="B41" s="100"/>
      <c r="E41" s="100"/>
      <c r="F41" s="100"/>
      <c r="U41" s="169"/>
    </row>
    <row r="42" spans="2:23" ht="14.25" customHeight="1" x14ac:dyDescent="0.3">
      <c r="B42" s="100"/>
      <c r="E42" s="100"/>
      <c r="F42" s="100"/>
    </row>
    <row r="43" spans="2:23" ht="14.25" customHeight="1" x14ac:dyDescent="0.3">
      <c r="B43" s="100"/>
      <c r="E43" s="100"/>
      <c r="F43" s="100"/>
      <c r="Q43" s="170" t="s">
        <v>284</v>
      </c>
      <c r="R43" s="170" t="s">
        <v>285</v>
      </c>
      <c r="S43" s="170" t="s">
        <v>286</v>
      </c>
      <c r="T43" s="170" t="s">
        <v>287</v>
      </c>
      <c r="U43" s="170" t="s">
        <v>288</v>
      </c>
      <c r="V43" s="170" t="s">
        <v>289</v>
      </c>
      <c r="W43" s="258" t="s">
        <v>290</v>
      </c>
    </row>
    <row r="44" spans="2:23" ht="14" customHeight="1" x14ac:dyDescent="0.3">
      <c r="B44" s="100"/>
      <c r="E44" s="100"/>
      <c r="F44" s="100"/>
      <c r="Q44" s="172">
        <v>43334</v>
      </c>
      <c r="R44" s="173">
        <f>D51</f>
        <v>10000</v>
      </c>
      <c r="S44" s="174">
        <v>1</v>
      </c>
      <c r="T44" s="174">
        <v>0</v>
      </c>
      <c r="U44" s="242">
        <f>R44*S44</f>
        <v>10000</v>
      </c>
      <c r="V44" s="176">
        <f>R44*T44</f>
        <v>0</v>
      </c>
      <c r="W44" s="260">
        <f>Q44-U44</f>
        <v>33334</v>
      </c>
    </row>
    <row r="45" spans="2:23" ht="14" customHeight="1" x14ac:dyDescent="0.3">
      <c r="B45" s="100"/>
      <c r="E45" s="100"/>
      <c r="F45" s="100"/>
    </row>
    <row r="46" spans="2:23" ht="14.25" customHeight="1" x14ac:dyDescent="0.3">
      <c r="B46" s="100"/>
      <c r="E46" s="100"/>
      <c r="F46" s="100"/>
    </row>
    <row r="47" spans="2:23" ht="14.25" customHeight="1" x14ac:dyDescent="0.3">
      <c r="B47" s="100"/>
      <c r="E47" s="100"/>
      <c r="F47" s="100"/>
    </row>
    <row r="48" spans="2:23" ht="14.25" customHeight="1" x14ac:dyDescent="0.3">
      <c r="B48" s="100"/>
      <c r="E48" s="100"/>
      <c r="F48" s="100"/>
    </row>
    <row r="49" spans="1:10" ht="14.25" customHeight="1" x14ac:dyDescent="0.3">
      <c r="B49" s="100"/>
      <c r="E49" s="100"/>
      <c r="F49" s="100"/>
    </row>
    <row r="50" spans="1:10" ht="14.25" customHeight="1" x14ac:dyDescent="0.3">
      <c r="B50" s="276"/>
      <c r="C50" s="145" t="s">
        <v>245</v>
      </c>
      <c r="D50" s="145" t="s">
        <v>291</v>
      </c>
      <c r="E50" s="183"/>
      <c r="F50" s="100"/>
      <c r="G50" s="145" t="s">
        <v>292</v>
      </c>
      <c r="H50" s="145" t="s">
        <v>245</v>
      </c>
      <c r="I50" s="145" t="s">
        <v>293</v>
      </c>
      <c r="J50" s="145" t="s">
        <v>294</v>
      </c>
    </row>
    <row r="51" spans="1:10" ht="14.25" customHeight="1" x14ac:dyDescent="0.3">
      <c r="B51" s="180" t="s">
        <v>295</v>
      </c>
      <c r="C51" s="181">
        <f>10/$K$1</f>
        <v>10</v>
      </c>
      <c r="D51" s="182">
        <f>$C$1*10</f>
        <v>10000</v>
      </c>
      <c r="E51" s="183"/>
      <c r="F51" s="100"/>
      <c r="G51" s="180" t="s">
        <v>295</v>
      </c>
      <c r="H51" s="277">
        <f>I51/$D$5</f>
        <v>10</v>
      </c>
      <c r="I51" s="181">
        <f>J51/$R$1</f>
        <v>65360.784313725489</v>
      </c>
      <c r="J51" s="181">
        <f>$W$44</f>
        <v>33334</v>
      </c>
    </row>
    <row r="52" spans="1:10" ht="14.25" customHeight="1" x14ac:dyDescent="0.3">
      <c r="B52" s="231" t="s">
        <v>274</v>
      </c>
      <c r="C52" s="232">
        <f>$I$1</f>
        <v>13.135384615384629</v>
      </c>
      <c r="D52" s="233">
        <f>$E$1</f>
        <v>13135.384615384628</v>
      </c>
      <c r="E52" s="100"/>
      <c r="F52" s="100"/>
      <c r="G52" s="148" t="s">
        <v>274</v>
      </c>
      <c r="H52" s="210">
        <f>I52/$D$5</f>
        <v>13.135121912946351</v>
      </c>
      <c r="I52" s="176">
        <f>J52/$R$1</f>
        <v>85852.187028657587</v>
      </c>
      <c r="J52" s="184">
        <f>$S$32</f>
        <v>43784.615384615368</v>
      </c>
    </row>
    <row r="53" spans="1:10" ht="14.25" customHeight="1" x14ac:dyDescent="0.3">
      <c r="B53" s="231" t="s">
        <v>296</v>
      </c>
      <c r="C53" s="234">
        <f>MIN(C52, C51)</f>
        <v>10</v>
      </c>
      <c r="D53" s="233">
        <f>(C53*$K$1)*$C$1</f>
        <v>10000</v>
      </c>
      <c r="E53" s="100"/>
      <c r="F53" s="100"/>
      <c r="G53" s="148" t="s">
        <v>296</v>
      </c>
      <c r="H53" s="187">
        <f>MIN(H52,H51)</f>
        <v>10</v>
      </c>
      <c r="I53" s="176">
        <f>J53/$R$1</f>
        <v>65360.784313725489</v>
      </c>
      <c r="J53" s="176">
        <f>MIN(J52,J51)</f>
        <v>33334</v>
      </c>
    </row>
    <row r="54" spans="1:10" ht="14.25" customHeight="1" x14ac:dyDescent="0.3">
      <c r="B54" s="231" t="s">
        <v>297</v>
      </c>
      <c r="C54" s="234">
        <f>MIN(MAX(C52-C53,0),C51)</f>
        <v>3.1353846153846288</v>
      </c>
      <c r="D54" s="233">
        <f>(C54*$K$1)*$C$1</f>
        <v>3135.3846153846289</v>
      </c>
      <c r="E54" s="100"/>
      <c r="F54" s="100"/>
      <c r="G54" s="148" t="s">
        <v>297</v>
      </c>
      <c r="H54" s="187">
        <f>MIN(MAX(H52-H53),H51)</f>
        <v>3.1351219129463512</v>
      </c>
      <c r="I54" s="176">
        <f>J54/$R$1</f>
        <v>20491.402714932094</v>
      </c>
      <c r="J54" s="176">
        <f>MIN(MAX(J52-J53),J51)</f>
        <v>10450.615384615368</v>
      </c>
    </row>
    <row r="55" spans="1:10" ht="14.25" customHeight="1" x14ac:dyDescent="0.3">
      <c r="B55" s="231" t="s">
        <v>298</v>
      </c>
      <c r="C55" s="234">
        <f>MIN(MAX(C52-C53-C54,0),C51)</f>
        <v>0</v>
      </c>
      <c r="D55" s="233">
        <f>(C55*$K$1)*$C$1</f>
        <v>0</v>
      </c>
      <c r="E55" s="100"/>
      <c r="F55" s="100"/>
      <c r="G55" s="145" t="s">
        <v>298</v>
      </c>
      <c r="H55" s="187">
        <f>MIN(MAX(H52-H53-H54),H51)</f>
        <v>0</v>
      </c>
      <c r="I55" s="176">
        <f>J55/$R$1</f>
        <v>0</v>
      </c>
      <c r="J55" s="176">
        <f>MIN(MAX(J52-J53-J54),J51)</f>
        <v>0</v>
      </c>
    </row>
    <row r="56" spans="1:10" ht="14.25" customHeight="1" x14ac:dyDescent="0.3">
      <c r="B56" s="100"/>
      <c r="E56" s="100"/>
      <c r="F56" s="100"/>
    </row>
    <row r="57" spans="1:10" ht="14.25" customHeight="1" x14ac:dyDescent="0.3">
      <c r="B57" s="100"/>
      <c r="E57" s="100"/>
      <c r="F57" s="100"/>
    </row>
    <row r="58" spans="1:10" ht="14.25" customHeight="1" x14ac:dyDescent="0.3">
      <c r="B58" s="100"/>
      <c r="E58" s="100"/>
      <c r="F58" s="100"/>
    </row>
    <row r="59" spans="1:10" ht="14.25" customHeight="1" x14ac:dyDescent="0.3">
      <c r="B59" s="100"/>
      <c r="E59" s="100"/>
      <c r="F59" s="100"/>
    </row>
    <row r="60" spans="1:10" ht="14.25" customHeight="1" x14ac:dyDescent="0.3">
      <c r="B60" s="100"/>
      <c r="E60" s="100"/>
      <c r="F60" s="100"/>
    </row>
    <row r="61" spans="1:10" ht="14.25" customHeight="1" x14ac:dyDescent="0.3">
      <c r="B61" s="100"/>
      <c r="E61" s="100"/>
      <c r="F61" s="100"/>
    </row>
    <row r="62" spans="1:10" ht="17.75" customHeight="1" x14ac:dyDescent="0.3">
      <c r="A62" s="937"/>
      <c r="B62" s="1413" t="str">
        <f>" شرمب بلانكويت 1 / " &amp; COUNTIF($C$53:$C$55, "&gt;0")</f>
        <v xml:space="preserve"> شرمب بلانكويت 1 / 2</v>
      </c>
      <c r="C62" s="1424"/>
      <c r="D62" s="1424"/>
      <c r="E62" s="1424"/>
      <c r="F62" s="1424"/>
      <c r="G62" s="1424"/>
      <c r="H62" s="1424"/>
    </row>
    <row r="63" spans="1:10" ht="17.75" customHeight="1" x14ac:dyDescent="0.3">
      <c r="A63" s="937"/>
      <c r="B63" s="1382" t="str">
        <f>"  Blankwet Shrimp  1 / " &amp; COUNTIF($C$53:$C$55, "&gt;0")</f>
        <v xml:space="preserve">  Blankwet Shrimp  1 / 2</v>
      </c>
      <c r="C63" s="1383"/>
      <c r="D63" s="1383"/>
      <c r="E63" s="1383"/>
      <c r="F63" s="1383"/>
      <c r="G63" s="1383"/>
      <c r="H63" s="1383"/>
    </row>
    <row r="64" spans="1:10" ht="51" customHeight="1" x14ac:dyDescent="0.25">
      <c r="A64" s="91"/>
      <c r="B64" s="91" t="s">
        <v>253</v>
      </c>
      <c r="C64" s="107" t="s">
        <v>254</v>
      </c>
      <c r="D64" s="91" t="s">
        <v>243</v>
      </c>
      <c r="E64" s="108" t="s">
        <v>246</v>
      </c>
      <c r="F64" s="108" t="s">
        <v>255</v>
      </c>
      <c r="G64" s="91" t="s">
        <v>256</v>
      </c>
      <c r="H64" s="109" t="s">
        <v>257</v>
      </c>
    </row>
    <row r="65" spans="1:8" ht="14.25" customHeight="1" x14ac:dyDescent="0.3">
      <c r="A65" s="128" t="s">
        <v>230</v>
      </c>
      <c r="B65" s="124" t="str">
        <f t="shared" ref="B65:D77" si="6">B5</f>
        <v>Shrimp - جمبرى</v>
      </c>
      <c r="C65" s="124" t="str">
        <f t="shared" si="6"/>
        <v>gm</v>
      </c>
      <c r="D65" s="120">
        <f t="shared" si="6"/>
        <v>6536.0784313725489</v>
      </c>
      <c r="E65" s="126">
        <f>H53</f>
        <v>10</v>
      </c>
      <c r="F65" s="127">
        <f t="shared" ref="F65:F77" si="7">F5</f>
        <v>1</v>
      </c>
      <c r="G65" s="119">
        <f t="shared" ref="G65:G77" si="8">D65*E65</f>
        <v>65360.784313725489</v>
      </c>
      <c r="H65" s="120">
        <f t="shared" ref="H65:H77" si="9">G65*F65</f>
        <v>65360.784313725489</v>
      </c>
    </row>
    <row r="66" spans="1:8" ht="14" customHeight="1" x14ac:dyDescent="0.3">
      <c r="A66" s="128" t="s">
        <v>13</v>
      </c>
      <c r="B66" s="124" t="str">
        <f t="shared" si="6"/>
        <v>Onion - بصل</v>
      </c>
      <c r="C66" s="124" t="str">
        <f t="shared" si="6"/>
        <v>gm</v>
      </c>
      <c r="D66" s="124">
        <f t="shared" si="6"/>
        <v>500</v>
      </c>
      <c r="E66" s="126">
        <f t="shared" ref="E66:E77" si="10">$C$53</f>
        <v>10</v>
      </c>
      <c r="F66" s="127">
        <f t="shared" si="7"/>
        <v>0.95</v>
      </c>
      <c r="G66" s="119">
        <f t="shared" si="8"/>
        <v>5000</v>
      </c>
      <c r="H66" s="120">
        <f t="shared" si="9"/>
        <v>4750</v>
      </c>
    </row>
    <row r="67" spans="1:8" ht="14" customHeight="1" x14ac:dyDescent="0.3">
      <c r="A67" s="128" t="s">
        <v>13</v>
      </c>
      <c r="B67" s="124" t="str">
        <f t="shared" si="6"/>
        <v>Garlic - ثوم مقشر</v>
      </c>
      <c r="C67" s="124" t="str">
        <f t="shared" si="6"/>
        <v>gm</v>
      </c>
      <c r="D67" s="124">
        <f t="shared" si="6"/>
        <v>40</v>
      </c>
      <c r="E67" s="126">
        <f t="shared" si="10"/>
        <v>10</v>
      </c>
      <c r="F67" s="127">
        <f t="shared" si="7"/>
        <v>1</v>
      </c>
      <c r="G67" s="119">
        <f t="shared" si="8"/>
        <v>400</v>
      </c>
      <c r="H67" s="120">
        <f t="shared" si="9"/>
        <v>400</v>
      </c>
    </row>
    <row r="68" spans="1:8" ht="14.25" customHeight="1" x14ac:dyDescent="0.3">
      <c r="A68" s="128" t="s">
        <v>97</v>
      </c>
      <c r="B68" s="124" t="str">
        <f t="shared" si="6"/>
        <v>Paprika Powder - بابريكا مطحون</v>
      </c>
      <c r="C68" s="124" t="str">
        <f t="shared" si="6"/>
        <v>gm</v>
      </c>
      <c r="D68" s="124">
        <f t="shared" si="6"/>
        <v>11</v>
      </c>
      <c r="E68" s="126">
        <f t="shared" si="10"/>
        <v>10</v>
      </c>
      <c r="F68" s="127">
        <f t="shared" si="7"/>
        <v>0.75</v>
      </c>
      <c r="G68" s="119">
        <f t="shared" si="8"/>
        <v>110</v>
      </c>
      <c r="H68" s="120">
        <f t="shared" si="9"/>
        <v>82.5</v>
      </c>
    </row>
    <row r="69" spans="1:8" ht="14.25" customHeight="1" x14ac:dyDescent="0.3">
      <c r="A69" s="128" t="s">
        <v>196</v>
      </c>
      <c r="B69" s="124" t="str">
        <f t="shared" si="6"/>
        <v>Tomato Paste - صلصة طماطم</v>
      </c>
      <c r="C69" s="124" t="str">
        <f t="shared" si="6"/>
        <v>gm</v>
      </c>
      <c r="D69" s="124">
        <f t="shared" si="6"/>
        <v>100</v>
      </c>
      <c r="E69" s="126">
        <f t="shared" si="10"/>
        <v>10</v>
      </c>
      <c r="F69" s="127">
        <f t="shared" si="7"/>
        <v>1</v>
      </c>
      <c r="G69" s="119">
        <f t="shared" si="8"/>
        <v>1000</v>
      </c>
      <c r="H69" s="120">
        <f t="shared" si="9"/>
        <v>1000</v>
      </c>
    </row>
    <row r="70" spans="1:8" ht="14.25" customHeight="1" x14ac:dyDescent="0.3">
      <c r="A70" s="128" t="s">
        <v>97</v>
      </c>
      <c r="B70" s="124" t="str">
        <f t="shared" si="6"/>
        <v>Maggi Cubes - مكعبات ماجي</v>
      </c>
      <c r="C70" s="124" t="str">
        <f t="shared" si="6"/>
        <v>gm</v>
      </c>
      <c r="D70" s="124">
        <f t="shared" si="6"/>
        <v>15</v>
      </c>
      <c r="E70" s="126">
        <f t="shared" si="10"/>
        <v>10</v>
      </c>
      <c r="F70" s="127">
        <f t="shared" si="7"/>
        <v>1</v>
      </c>
      <c r="G70" s="119">
        <f t="shared" si="8"/>
        <v>150</v>
      </c>
      <c r="H70" s="120">
        <f t="shared" si="9"/>
        <v>150</v>
      </c>
    </row>
    <row r="71" spans="1:8" ht="14.25" customHeight="1" x14ac:dyDescent="0.3">
      <c r="A71" s="128" t="s">
        <v>186</v>
      </c>
      <c r="B71" s="124" t="str">
        <f t="shared" si="6"/>
        <v>Honey - عسل</v>
      </c>
      <c r="C71" s="124" t="str">
        <f t="shared" si="6"/>
        <v>gm</v>
      </c>
      <c r="D71" s="124">
        <f t="shared" si="6"/>
        <v>50</v>
      </c>
      <c r="E71" s="126">
        <f t="shared" si="10"/>
        <v>10</v>
      </c>
      <c r="F71" s="127">
        <f t="shared" si="7"/>
        <v>1</v>
      </c>
      <c r="G71" s="119">
        <f t="shared" si="8"/>
        <v>500</v>
      </c>
      <c r="H71" s="120">
        <f t="shared" si="9"/>
        <v>500</v>
      </c>
    </row>
    <row r="72" spans="1:8" ht="14.25" customHeight="1" x14ac:dyDescent="0.3">
      <c r="A72" s="128" t="s">
        <v>158</v>
      </c>
      <c r="B72" s="124" t="str">
        <f t="shared" si="6"/>
        <v>Cooking Cream - كريمة طبخ</v>
      </c>
      <c r="C72" s="124" t="str">
        <f t="shared" si="6"/>
        <v>ml</v>
      </c>
      <c r="D72" s="124">
        <f t="shared" si="6"/>
        <v>600</v>
      </c>
      <c r="E72" s="126">
        <f t="shared" si="10"/>
        <v>10</v>
      </c>
      <c r="F72" s="127">
        <f t="shared" si="7"/>
        <v>1</v>
      </c>
      <c r="G72" s="119">
        <f t="shared" si="8"/>
        <v>6000</v>
      </c>
      <c r="H72" s="120">
        <f t="shared" si="9"/>
        <v>6000</v>
      </c>
    </row>
    <row r="73" spans="1:8" ht="14.25" customHeight="1" x14ac:dyDescent="0.3">
      <c r="A73" s="128" t="s">
        <v>97</v>
      </c>
      <c r="B73" s="124" t="str">
        <f t="shared" si="6"/>
        <v>Salt - ملح</v>
      </c>
      <c r="C73" s="124" t="str">
        <f t="shared" si="6"/>
        <v>gm</v>
      </c>
      <c r="D73" s="124">
        <f t="shared" si="6"/>
        <v>6</v>
      </c>
      <c r="E73" s="126">
        <f t="shared" si="10"/>
        <v>10</v>
      </c>
      <c r="F73" s="127">
        <f t="shared" si="7"/>
        <v>0.75</v>
      </c>
      <c r="G73" s="119">
        <f t="shared" si="8"/>
        <v>60</v>
      </c>
      <c r="H73" s="120">
        <f t="shared" si="9"/>
        <v>45</v>
      </c>
    </row>
    <row r="74" spans="1:8" ht="14.25" customHeight="1" x14ac:dyDescent="0.3">
      <c r="A74" s="128" t="s">
        <v>97</v>
      </c>
      <c r="B74" s="124" t="str">
        <f t="shared" si="6"/>
        <v>Black Pepper Powder - فلفل أسود مطحون</v>
      </c>
      <c r="C74" s="124" t="str">
        <f t="shared" si="6"/>
        <v>gm</v>
      </c>
      <c r="D74" s="124">
        <f t="shared" si="6"/>
        <v>8</v>
      </c>
      <c r="E74" s="126">
        <f t="shared" si="10"/>
        <v>10</v>
      </c>
      <c r="F74" s="127">
        <f t="shared" si="7"/>
        <v>0.75</v>
      </c>
      <c r="G74" s="119">
        <f t="shared" si="8"/>
        <v>80</v>
      </c>
      <c r="H74" s="120">
        <f t="shared" si="9"/>
        <v>60</v>
      </c>
    </row>
    <row r="75" spans="1:8" ht="14.25" customHeight="1" x14ac:dyDescent="0.3">
      <c r="A75" s="128" t="s">
        <v>192</v>
      </c>
      <c r="B75" s="124" t="str">
        <f t="shared" si="6"/>
        <v>Corn Starch - نشا ذرة</v>
      </c>
      <c r="C75" s="124" t="str">
        <f t="shared" si="6"/>
        <v>gm</v>
      </c>
      <c r="D75" s="124">
        <f t="shared" si="6"/>
        <v>90</v>
      </c>
      <c r="E75" s="126">
        <f t="shared" si="10"/>
        <v>10</v>
      </c>
      <c r="F75" s="127">
        <f t="shared" si="7"/>
        <v>1</v>
      </c>
      <c r="G75" s="119">
        <f t="shared" si="8"/>
        <v>900</v>
      </c>
      <c r="H75" s="120">
        <f t="shared" si="9"/>
        <v>900</v>
      </c>
    </row>
    <row r="76" spans="1:8" ht="14.25" customHeight="1" x14ac:dyDescent="0.3">
      <c r="A76" s="128" t="s">
        <v>158</v>
      </c>
      <c r="B76" s="124" t="str">
        <f t="shared" si="6"/>
        <v>Butter - زبدة</v>
      </c>
      <c r="C76" s="124" t="str">
        <f t="shared" si="6"/>
        <v>gm</v>
      </c>
      <c r="D76" s="124">
        <f t="shared" si="6"/>
        <v>30</v>
      </c>
      <c r="E76" s="126">
        <f t="shared" si="10"/>
        <v>10</v>
      </c>
      <c r="F76" s="127">
        <f t="shared" si="7"/>
        <v>1</v>
      </c>
      <c r="G76" s="119">
        <f t="shared" si="8"/>
        <v>300</v>
      </c>
      <c r="H76" s="120">
        <f t="shared" si="9"/>
        <v>300</v>
      </c>
    </row>
    <row r="77" spans="1:8" ht="14.25" customHeight="1" x14ac:dyDescent="0.3">
      <c r="A77" s="128" t="s">
        <v>210</v>
      </c>
      <c r="B77" s="124" t="str">
        <f t="shared" si="6"/>
        <v>Shrimp Water - ماء الروبيان</v>
      </c>
      <c r="C77" s="124" t="str">
        <f t="shared" si="6"/>
        <v>ml</v>
      </c>
      <c r="D77" s="124">
        <f t="shared" si="6"/>
        <v>500</v>
      </c>
      <c r="E77" s="126">
        <f t="shared" si="10"/>
        <v>10</v>
      </c>
      <c r="F77" s="127">
        <f t="shared" si="7"/>
        <v>0.75</v>
      </c>
      <c r="G77" s="119">
        <f t="shared" si="8"/>
        <v>5000</v>
      </c>
      <c r="H77" s="120">
        <f t="shared" si="9"/>
        <v>3750</v>
      </c>
    </row>
    <row r="78" spans="1:8" ht="20.25" customHeight="1" x14ac:dyDescent="0.3">
      <c r="A78" s="211"/>
      <c r="B78" s="198" t="s">
        <v>299</v>
      </c>
      <c r="C78" s="200" t="s">
        <v>285</v>
      </c>
      <c r="E78" s="200" t="s">
        <v>300</v>
      </c>
      <c r="G78" s="890" t="s">
        <v>276</v>
      </c>
      <c r="H78" s="890" t="s">
        <v>733</v>
      </c>
    </row>
    <row r="79" spans="1:8" ht="25.25" customHeight="1" x14ac:dyDescent="0.4">
      <c r="A79" s="211"/>
      <c r="B79" s="199">
        <f>$J$53</f>
        <v>33334</v>
      </c>
      <c r="C79" s="199">
        <f>E79+G79</f>
        <v>10000</v>
      </c>
      <c r="D79" s="930"/>
      <c r="E79" s="199">
        <f>$D$53*$S$44</f>
        <v>10000</v>
      </c>
      <c r="F79" s="934"/>
      <c r="G79" s="199">
        <f>$D$53*$T$44</f>
        <v>0</v>
      </c>
      <c r="H79" s="199">
        <f>B79+E79</f>
        <v>43334</v>
      </c>
    </row>
    <row r="80" spans="1:8" ht="14.25" customHeight="1" x14ac:dyDescent="0.3">
      <c r="B80" s="100"/>
      <c r="E80" s="100"/>
      <c r="F80" s="100"/>
    </row>
    <row r="81" spans="1:8" ht="14.25" customHeight="1" x14ac:dyDescent="0.3">
      <c r="B81" s="100"/>
      <c r="C81" s="100"/>
      <c r="D81" s="100"/>
      <c r="E81" s="100"/>
      <c r="F81" s="100"/>
      <c r="G81" s="100"/>
      <c r="H81" s="100"/>
    </row>
    <row r="82" spans="1:8" ht="14.25" customHeight="1" x14ac:dyDescent="0.3">
      <c r="B82" s="100"/>
      <c r="C82" s="100"/>
      <c r="D82" s="100"/>
      <c r="E82" s="100"/>
      <c r="F82" s="100"/>
      <c r="G82" s="100"/>
      <c r="H82" s="100"/>
    </row>
    <row r="83" spans="1:8" ht="14.25" customHeight="1" x14ac:dyDescent="0.3">
      <c r="B83" s="100"/>
      <c r="C83" s="100"/>
      <c r="D83" s="100"/>
      <c r="E83" s="100"/>
      <c r="F83" s="100"/>
      <c r="G83" s="100"/>
      <c r="H83" s="100"/>
    </row>
    <row r="84" spans="1:8" ht="17.75" customHeight="1" x14ac:dyDescent="0.3">
      <c r="A84" s="937"/>
      <c r="B84" s="1413" t="str">
        <f>" شرمب بلانكويت 2 / " &amp; COUNTIF($C$53:$C$55, "&gt;0")</f>
        <v xml:space="preserve"> شرمب بلانكويت 2 / 2</v>
      </c>
      <c r="C84" s="1424"/>
      <c r="D84" s="1424"/>
      <c r="E84" s="1424"/>
      <c r="F84" s="1424"/>
      <c r="G84" s="1424"/>
      <c r="H84" s="1424"/>
    </row>
    <row r="85" spans="1:8" ht="17.75" customHeight="1" x14ac:dyDescent="0.3">
      <c r="A85" s="937"/>
      <c r="B85" s="1382" t="str">
        <f>"  Blankwet Shrimp  2 / " &amp; COUNTIF($C$53:$C$55, "&gt;0")</f>
        <v xml:space="preserve">  Blankwet Shrimp  2 / 2</v>
      </c>
      <c r="C85" s="1383"/>
      <c r="D85" s="1383"/>
      <c r="E85" s="1383"/>
      <c r="F85" s="1383"/>
      <c r="G85" s="1383"/>
      <c r="H85" s="1383"/>
    </row>
    <row r="86" spans="1:8" ht="25.5" customHeight="1" x14ac:dyDescent="0.25">
      <c r="A86" s="91"/>
      <c r="B86" s="91" t="s">
        <v>253</v>
      </c>
      <c r="C86" s="107" t="s">
        <v>254</v>
      </c>
      <c r="D86" s="91" t="s">
        <v>243</v>
      </c>
      <c r="E86" s="108" t="s">
        <v>246</v>
      </c>
      <c r="F86" s="108" t="s">
        <v>255</v>
      </c>
      <c r="G86" s="91" t="s">
        <v>256</v>
      </c>
      <c r="H86" s="109" t="s">
        <v>257</v>
      </c>
    </row>
    <row r="87" spans="1:8" ht="14.25" customHeight="1" x14ac:dyDescent="0.3">
      <c r="A87" s="128" t="s">
        <v>230</v>
      </c>
      <c r="B87" s="124" t="str">
        <f t="shared" ref="B87:D99" si="11">B5</f>
        <v>Shrimp - جمبرى</v>
      </c>
      <c r="C87" s="124" t="str">
        <f t="shared" si="11"/>
        <v>gm</v>
      </c>
      <c r="D87" s="120">
        <f t="shared" si="11"/>
        <v>6536.0784313725489</v>
      </c>
      <c r="E87" s="126">
        <f>H54</f>
        <v>3.1351219129463512</v>
      </c>
      <c r="F87" s="127">
        <f t="shared" ref="F87:F99" si="12">F5</f>
        <v>1</v>
      </c>
      <c r="G87" s="119">
        <f t="shared" ref="G87:G99" si="13">D87*E87</f>
        <v>20491.402714932094</v>
      </c>
      <c r="H87" s="120">
        <f t="shared" ref="H87:H99" si="14">G87*F87</f>
        <v>20491.402714932094</v>
      </c>
    </row>
    <row r="88" spans="1:8" ht="14.25" customHeight="1" x14ac:dyDescent="0.3">
      <c r="A88" s="128" t="s">
        <v>13</v>
      </c>
      <c r="B88" s="124" t="str">
        <f t="shared" si="11"/>
        <v>Onion - بصل</v>
      </c>
      <c r="C88" s="124" t="str">
        <f t="shared" si="11"/>
        <v>gm</v>
      </c>
      <c r="D88" s="124">
        <f t="shared" si="11"/>
        <v>500</v>
      </c>
      <c r="E88" s="126">
        <f t="shared" ref="E88:E99" si="15">$C$54</f>
        <v>3.1353846153846288</v>
      </c>
      <c r="F88" s="127">
        <f t="shared" si="12"/>
        <v>0.95</v>
      </c>
      <c r="G88" s="119">
        <f t="shared" si="13"/>
        <v>1567.6923076923144</v>
      </c>
      <c r="H88" s="120">
        <f t="shared" si="14"/>
        <v>1489.3076923076987</v>
      </c>
    </row>
    <row r="89" spans="1:8" ht="14.25" customHeight="1" x14ac:dyDescent="0.3">
      <c r="A89" s="128" t="s">
        <v>13</v>
      </c>
      <c r="B89" s="124" t="str">
        <f t="shared" si="11"/>
        <v>Garlic - ثوم مقشر</v>
      </c>
      <c r="C89" s="124" t="str">
        <f t="shared" si="11"/>
        <v>gm</v>
      </c>
      <c r="D89" s="124">
        <f t="shared" si="11"/>
        <v>40</v>
      </c>
      <c r="E89" s="126">
        <f t="shared" si="15"/>
        <v>3.1353846153846288</v>
      </c>
      <c r="F89" s="127">
        <f t="shared" si="12"/>
        <v>1</v>
      </c>
      <c r="G89" s="119">
        <f t="shared" si="13"/>
        <v>125.41538461538515</v>
      </c>
      <c r="H89" s="120">
        <f t="shared" si="14"/>
        <v>125.41538461538515</v>
      </c>
    </row>
    <row r="90" spans="1:8" ht="14.25" customHeight="1" x14ac:dyDescent="0.3">
      <c r="A90" s="128" t="s">
        <v>97</v>
      </c>
      <c r="B90" s="124" t="str">
        <f t="shared" si="11"/>
        <v>Paprika Powder - بابريكا مطحون</v>
      </c>
      <c r="C90" s="124" t="str">
        <f t="shared" si="11"/>
        <v>gm</v>
      </c>
      <c r="D90" s="124">
        <f t="shared" si="11"/>
        <v>11</v>
      </c>
      <c r="E90" s="126">
        <f t="shared" si="15"/>
        <v>3.1353846153846288</v>
      </c>
      <c r="F90" s="127">
        <f t="shared" si="12"/>
        <v>0.75</v>
      </c>
      <c r="G90" s="119">
        <f t="shared" si="13"/>
        <v>34.489230769230915</v>
      </c>
      <c r="H90" s="120">
        <f t="shared" si="14"/>
        <v>25.866923076923186</v>
      </c>
    </row>
    <row r="91" spans="1:8" ht="14.25" customHeight="1" x14ac:dyDescent="0.3">
      <c r="A91" s="128" t="s">
        <v>196</v>
      </c>
      <c r="B91" s="124" t="str">
        <f t="shared" si="11"/>
        <v>Tomato Paste - صلصة طماطم</v>
      </c>
      <c r="C91" s="124" t="str">
        <f t="shared" si="11"/>
        <v>gm</v>
      </c>
      <c r="D91" s="124">
        <f t="shared" si="11"/>
        <v>100</v>
      </c>
      <c r="E91" s="126">
        <f t="shared" si="15"/>
        <v>3.1353846153846288</v>
      </c>
      <c r="F91" s="127">
        <f t="shared" si="12"/>
        <v>1</v>
      </c>
      <c r="G91" s="119">
        <f t="shared" si="13"/>
        <v>313.53846153846285</v>
      </c>
      <c r="H91" s="120">
        <f t="shared" si="14"/>
        <v>313.53846153846285</v>
      </c>
    </row>
    <row r="92" spans="1:8" ht="14.25" customHeight="1" x14ac:dyDescent="0.3">
      <c r="A92" s="128" t="s">
        <v>97</v>
      </c>
      <c r="B92" s="124" t="str">
        <f t="shared" si="11"/>
        <v>Maggi Cubes - مكعبات ماجي</v>
      </c>
      <c r="C92" s="124" t="str">
        <f t="shared" si="11"/>
        <v>gm</v>
      </c>
      <c r="D92" s="124">
        <f t="shared" si="11"/>
        <v>15</v>
      </c>
      <c r="E92" s="126">
        <f t="shared" si="15"/>
        <v>3.1353846153846288</v>
      </c>
      <c r="F92" s="127">
        <f t="shared" si="12"/>
        <v>1</v>
      </c>
      <c r="G92" s="119">
        <f t="shared" si="13"/>
        <v>47.03076923076943</v>
      </c>
      <c r="H92" s="120">
        <f t="shared" si="14"/>
        <v>47.03076923076943</v>
      </c>
    </row>
    <row r="93" spans="1:8" ht="14.25" customHeight="1" x14ac:dyDescent="0.3">
      <c r="A93" s="128" t="s">
        <v>186</v>
      </c>
      <c r="B93" s="124" t="str">
        <f t="shared" si="11"/>
        <v>Honey - عسل</v>
      </c>
      <c r="C93" s="124" t="str">
        <f t="shared" si="11"/>
        <v>gm</v>
      </c>
      <c r="D93" s="124">
        <f t="shared" si="11"/>
        <v>50</v>
      </c>
      <c r="E93" s="126">
        <f t="shared" si="15"/>
        <v>3.1353846153846288</v>
      </c>
      <c r="F93" s="127">
        <f t="shared" si="12"/>
        <v>1</v>
      </c>
      <c r="G93" s="119">
        <f t="shared" si="13"/>
        <v>156.76923076923143</v>
      </c>
      <c r="H93" s="120">
        <f t="shared" si="14"/>
        <v>156.76923076923143</v>
      </c>
    </row>
    <row r="94" spans="1:8" ht="14.25" customHeight="1" x14ac:dyDescent="0.3">
      <c r="A94" s="128" t="s">
        <v>158</v>
      </c>
      <c r="B94" s="124" t="str">
        <f t="shared" si="11"/>
        <v>Cooking Cream - كريمة طبخ</v>
      </c>
      <c r="C94" s="124" t="str">
        <f t="shared" si="11"/>
        <v>ml</v>
      </c>
      <c r="D94" s="124">
        <f t="shared" si="11"/>
        <v>600</v>
      </c>
      <c r="E94" s="126">
        <f t="shared" si="15"/>
        <v>3.1353846153846288</v>
      </c>
      <c r="F94" s="127">
        <f t="shared" si="12"/>
        <v>1</v>
      </c>
      <c r="G94" s="119">
        <f t="shared" si="13"/>
        <v>1881.2307692307772</v>
      </c>
      <c r="H94" s="120">
        <f t="shared" si="14"/>
        <v>1881.2307692307772</v>
      </c>
    </row>
    <row r="95" spans="1:8" ht="14.25" customHeight="1" x14ac:dyDescent="0.3">
      <c r="A95" s="128" t="s">
        <v>97</v>
      </c>
      <c r="B95" s="124" t="str">
        <f t="shared" si="11"/>
        <v>Salt - ملح</v>
      </c>
      <c r="C95" s="124" t="str">
        <f t="shared" si="11"/>
        <v>gm</v>
      </c>
      <c r="D95" s="124">
        <f t="shared" si="11"/>
        <v>6</v>
      </c>
      <c r="E95" s="126">
        <f t="shared" si="15"/>
        <v>3.1353846153846288</v>
      </c>
      <c r="F95" s="127">
        <f t="shared" si="12"/>
        <v>0.75</v>
      </c>
      <c r="G95" s="119">
        <f t="shared" si="13"/>
        <v>18.812307692307773</v>
      </c>
      <c r="H95" s="120">
        <f t="shared" si="14"/>
        <v>14.10923076923083</v>
      </c>
    </row>
    <row r="96" spans="1:8" ht="14.25" customHeight="1" x14ac:dyDescent="0.3">
      <c r="A96" s="128" t="s">
        <v>97</v>
      </c>
      <c r="B96" s="124" t="str">
        <f t="shared" si="11"/>
        <v>Black Pepper Powder - فلفل أسود مطحون</v>
      </c>
      <c r="C96" s="124" t="str">
        <f t="shared" si="11"/>
        <v>gm</v>
      </c>
      <c r="D96" s="124">
        <f t="shared" si="11"/>
        <v>8</v>
      </c>
      <c r="E96" s="126">
        <f t="shared" si="15"/>
        <v>3.1353846153846288</v>
      </c>
      <c r="F96" s="127">
        <f t="shared" si="12"/>
        <v>0.75</v>
      </c>
      <c r="G96" s="119">
        <f t="shared" si="13"/>
        <v>25.08307692307703</v>
      </c>
      <c r="H96" s="120">
        <f t="shared" si="14"/>
        <v>18.812307692307773</v>
      </c>
    </row>
    <row r="97" spans="1:10" ht="14.25" customHeight="1" x14ac:dyDescent="0.3">
      <c r="A97" s="128" t="s">
        <v>192</v>
      </c>
      <c r="B97" s="124" t="str">
        <f t="shared" si="11"/>
        <v>Corn Starch - نشا ذرة</v>
      </c>
      <c r="C97" s="124" t="str">
        <f t="shared" si="11"/>
        <v>gm</v>
      </c>
      <c r="D97" s="124">
        <f t="shared" si="11"/>
        <v>90</v>
      </c>
      <c r="E97" s="126">
        <f t="shared" si="15"/>
        <v>3.1353846153846288</v>
      </c>
      <c r="F97" s="127">
        <f t="shared" si="12"/>
        <v>1</v>
      </c>
      <c r="G97" s="119">
        <f t="shared" si="13"/>
        <v>282.18461538461656</v>
      </c>
      <c r="H97" s="120">
        <f t="shared" si="14"/>
        <v>282.18461538461656</v>
      </c>
    </row>
    <row r="98" spans="1:10" ht="14.25" customHeight="1" x14ac:dyDescent="0.3">
      <c r="A98" s="128" t="s">
        <v>158</v>
      </c>
      <c r="B98" s="124" t="str">
        <f t="shared" si="11"/>
        <v>Butter - زبدة</v>
      </c>
      <c r="C98" s="124" t="str">
        <f t="shared" si="11"/>
        <v>gm</v>
      </c>
      <c r="D98" s="124">
        <f t="shared" si="11"/>
        <v>30</v>
      </c>
      <c r="E98" s="126">
        <f t="shared" si="15"/>
        <v>3.1353846153846288</v>
      </c>
      <c r="F98" s="127">
        <f t="shared" si="12"/>
        <v>1</v>
      </c>
      <c r="G98" s="119">
        <f t="shared" si="13"/>
        <v>94.061538461538859</v>
      </c>
      <c r="H98" s="120">
        <f t="shared" si="14"/>
        <v>94.061538461538859</v>
      </c>
    </row>
    <row r="99" spans="1:10" ht="14.25" customHeight="1" x14ac:dyDescent="0.3">
      <c r="A99" s="128" t="s">
        <v>210</v>
      </c>
      <c r="B99" s="124" t="str">
        <f t="shared" si="11"/>
        <v>Shrimp Water - ماء الروبيان</v>
      </c>
      <c r="C99" s="124" t="str">
        <f t="shared" si="11"/>
        <v>ml</v>
      </c>
      <c r="D99" s="124">
        <f t="shared" si="11"/>
        <v>500</v>
      </c>
      <c r="E99" s="126">
        <f t="shared" si="15"/>
        <v>3.1353846153846288</v>
      </c>
      <c r="F99" s="127">
        <f t="shared" si="12"/>
        <v>0.75</v>
      </c>
      <c r="G99" s="119">
        <f t="shared" si="13"/>
        <v>1567.6923076923144</v>
      </c>
      <c r="H99" s="120">
        <f t="shared" si="14"/>
        <v>1175.7692307692359</v>
      </c>
    </row>
    <row r="100" spans="1:10" ht="22.5" customHeight="1" x14ac:dyDescent="0.3">
      <c r="A100" s="211"/>
      <c r="B100" s="198" t="s">
        <v>299</v>
      </c>
      <c r="C100" s="200" t="s">
        <v>285</v>
      </c>
      <c r="E100" s="200" t="s">
        <v>300</v>
      </c>
      <c r="G100" s="890" t="s">
        <v>276</v>
      </c>
      <c r="H100" s="890" t="s">
        <v>733</v>
      </c>
      <c r="I100" s="92"/>
      <c r="J100" s="139"/>
    </row>
    <row r="101" spans="1:10" ht="21.5" customHeight="1" x14ac:dyDescent="0.4">
      <c r="A101" s="211"/>
      <c r="B101" s="199">
        <f>$J$54</f>
        <v>10450.615384615368</v>
      </c>
      <c r="C101" s="199">
        <f>E101+G101</f>
        <v>3135.3846153846289</v>
      </c>
      <c r="D101" s="930"/>
      <c r="E101" s="199">
        <f>$D$54*$S$44</f>
        <v>3135.3846153846289</v>
      </c>
      <c r="F101" s="934"/>
      <c r="G101" s="199">
        <f>$D$54*$T$44</f>
        <v>0</v>
      </c>
      <c r="H101" s="199">
        <f>B101+E101</f>
        <v>13585.999999999996</v>
      </c>
    </row>
  </sheetData>
  <mergeCells count="8">
    <mergeCell ref="B85:H85"/>
    <mergeCell ref="B2:J3"/>
    <mergeCell ref="B84:H84"/>
    <mergeCell ref="R26:U26"/>
    <mergeCell ref="R25:U25"/>
    <mergeCell ref="B62:H62"/>
    <mergeCell ref="B63:H63"/>
    <mergeCell ref="B35:F35"/>
  </mergeCells>
  <printOptions horizontalCentered="1"/>
  <pageMargins left="0.5" right="0.5" top="1" bottom="0.5" header="0.3" footer="0.511811023622047"/>
  <pageSetup paperSize="9" scale="31"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2E75B6"/>
    <pageSetUpPr fitToPage="1"/>
  </sheetPr>
  <dimension ref="A1:AT121"/>
  <sheetViews>
    <sheetView topLeftCell="A20" zoomScale="90" zoomScaleNormal="70" workbookViewId="0">
      <selection activeCell="D53" sqref="D53:D54"/>
    </sheetView>
  </sheetViews>
  <sheetFormatPr defaultColWidth="12.5" defaultRowHeight="14" x14ac:dyDescent="0.3"/>
  <cols>
    <col min="1" max="1" width="12.5" style="79" customWidth="1"/>
    <col min="2" max="2" width="37" style="14" customWidth="1"/>
    <col min="3" max="3" width="17.25" style="14" customWidth="1"/>
    <col min="4" max="4" width="18" style="14" customWidth="1"/>
    <col min="5" max="5" width="15.1640625" style="297" customWidth="1"/>
    <col min="6" max="6" width="13.83203125" style="14" customWidth="1"/>
    <col min="7" max="7" width="16.9140625" style="14" customWidth="1"/>
    <col min="8" max="8" width="29.75" style="14" customWidth="1"/>
    <col min="9" max="10" width="12.4140625" style="14" customWidth="1"/>
    <col min="11" max="11" width="11.5" style="14" customWidth="1"/>
    <col min="12" max="12" width="8.33203125" style="14" customWidth="1"/>
    <col min="13" max="14" width="4.33203125" style="14" customWidth="1"/>
    <col min="15" max="15" width="8.25" style="14" customWidth="1"/>
    <col min="16" max="16" width="7.5" style="14" customWidth="1"/>
    <col min="17" max="17" width="12.5" style="14" customWidth="1"/>
    <col min="18" max="18" width="23.5" style="14" customWidth="1"/>
    <col min="19" max="19" width="12.5" style="14" customWidth="1"/>
    <col min="20" max="23" width="12.5" style="14"/>
    <col min="24" max="24" width="2.83203125" style="14" customWidth="1"/>
    <col min="25" max="27" width="12.5" style="14"/>
    <col min="28" max="28" width="13.25" style="14" bestFit="1" customWidth="1"/>
    <col min="29" max="30" width="11.33203125" style="14" bestFit="1" customWidth="1"/>
    <col min="31" max="31" width="11.4140625" style="14" customWidth="1"/>
    <col min="32" max="32" width="9.6640625" style="14" customWidth="1"/>
    <col min="33" max="34" width="4.25" style="14" customWidth="1"/>
    <col min="35" max="35" width="12.5" style="14"/>
    <col min="36" max="36" width="33.9140625" style="14" customWidth="1"/>
    <col min="37" max="37" width="12.5" style="14"/>
    <col min="38" max="38" width="16.58203125" style="14" customWidth="1"/>
    <col min="39" max="16384" width="12.5" style="14"/>
  </cols>
  <sheetData>
    <row r="1" spans="1:46" s="250" customFormat="1" ht="35.25" customHeight="1" x14ac:dyDescent="0.3">
      <c r="A1" s="248"/>
      <c r="B1" s="80" t="s">
        <v>243</v>
      </c>
      <c r="C1" s="81">
        <v>1000</v>
      </c>
      <c r="D1" s="82" t="s">
        <v>244</v>
      </c>
      <c r="E1" s="83">
        <f>$T$32</f>
        <v>17600.000000000007</v>
      </c>
      <c r="F1" s="386" t="s">
        <v>245</v>
      </c>
      <c r="G1" s="84">
        <f>E1/1000</f>
        <v>17.600000000000009</v>
      </c>
      <c r="H1" s="80" t="s">
        <v>246</v>
      </c>
      <c r="I1" s="85">
        <f>(G1/K1)</f>
        <v>18.526315789473696</v>
      </c>
      <c r="J1" s="86" t="s">
        <v>247</v>
      </c>
      <c r="K1" s="85">
        <v>0.95</v>
      </c>
      <c r="L1" s="387"/>
      <c r="M1" s="215"/>
      <c r="N1" s="216"/>
      <c r="O1" s="91" t="s">
        <v>248</v>
      </c>
      <c r="P1" s="92" t="s">
        <v>249</v>
      </c>
      <c r="Q1" s="93" t="s">
        <v>250</v>
      </c>
      <c r="R1" s="92">
        <v>0.59</v>
      </c>
      <c r="Y1" s="91" t="s">
        <v>479</v>
      </c>
      <c r="Z1" s="847">
        <v>31200</v>
      </c>
      <c r="AA1" s="91" t="s">
        <v>600</v>
      </c>
      <c r="AB1" s="847">
        <v>0</v>
      </c>
      <c r="AC1" s="91" t="s">
        <v>587</v>
      </c>
      <c r="AD1" s="847">
        <v>211</v>
      </c>
      <c r="AF1" s="252"/>
      <c r="AG1" s="92"/>
      <c r="AI1" s="79"/>
      <c r="AJ1" s="110" t="s">
        <v>262</v>
      </c>
      <c r="AK1" s="94">
        <v>10000</v>
      </c>
      <c r="AL1" s="628" t="s">
        <v>520</v>
      </c>
      <c r="AM1" s="629">
        <f>$S$32</f>
        <v>23999.999999999993</v>
      </c>
      <c r="AN1" s="94" t="s">
        <v>251</v>
      </c>
      <c r="AO1" s="96">
        <f>($S$32/$R$1)/$AK$1</f>
        <v>4.0677966101694905</v>
      </c>
      <c r="AP1" s="95"/>
    </row>
    <row r="2" spans="1:46" ht="15.75" customHeight="1" x14ac:dyDescent="0.3">
      <c r="A2" s="97"/>
      <c r="B2" s="98"/>
      <c r="C2" s="98"/>
      <c r="D2" s="98"/>
      <c r="E2" s="98"/>
      <c r="F2" s="1408" t="s">
        <v>46</v>
      </c>
      <c r="G2" s="98"/>
      <c r="H2" s="98"/>
      <c r="I2" s="98"/>
      <c r="J2" s="98"/>
      <c r="K2" s="98"/>
      <c r="L2" s="98"/>
      <c r="M2" s="99"/>
      <c r="N2" s="99"/>
      <c r="O2" s="100"/>
      <c r="P2" s="100"/>
      <c r="Q2" s="100"/>
      <c r="R2" s="100"/>
      <c r="AC2" s="99"/>
      <c r="AD2" s="99"/>
      <c r="AE2" s="1391"/>
      <c r="AF2" s="1389"/>
      <c r="AG2" s="1389"/>
      <c r="AI2" s="79"/>
      <c r="AJ2" s="101"/>
      <c r="AK2" s="1386" t="s">
        <v>370</v>
      </c>
      <c r="AL2" s="1386"/>
      <c r="AM2" s="1386"/>
      <c r="AN2" s="102"/>
      <c r="AO2" s="101"/>
      <c r="AP2" s="101"/>
    </row>
    <row r="3" spans="1:46" ht="15.75" customHeight="1" x14ac:dyDescent="0.3">
      <c r="A3" s="97"/>
      <c r="B3" s="103"/>
      <c r="C3" s="103"/>
      <c r="D3" s="103"/>
      <c r="E3" s="103"/>
      <c r="F3" s="1388"/>
      <c r="G3" s="103"/>
      <c r="H3" s="103"/>
      <c r="I3" s="103"/>
      <c r="J3" s="103"/>
      <c r="K3" s="103"/>
      <c r="L3" s="103"/>
      <c r="M3" s="99"/>
      <c r="N3" s="99"/>
      <c r="O3" s="100"/>
      <c r="P3" s="100"/>
      <c r="Q3" s="100"/>
      <c r="R3" s="100"/>
      <c r="AC3" s="99"/>
      <c r="AD3" s="99"/>
      <c r="AE3" s="1389"/>
      <c r="AF3" s="1389"/>
      <c r="AG3" s="1389"/>
      <c r="AI3" s="79"/>
      <c r="AJ3" s="104"/>
      <c r="AK3" s="104"/>
      <c r="AL3" s="105"/>
      <c r="AM3" s="105"/>
      <c r="AN3" s="105"/>
      <c r="AO3" s="104"/>
      <c r="AP3" s="104"/>
    </row>
    <row r="4" spans="1:46" ht="69" customHeight="1" x14ac:dyDescent="0.3">
      <c r="A4" s="91" t="s">
        <v>1</v>
      </c>
      <c r="B4" s="91" t="s">
        <v>253</v>
      </c>
      <c r="C4" s="107" t="s">
        <v>254</v>
      </c>
      <c r="D4" s="91" t="s">
        <v>243</v>
      </c>
      <c r="E4" s="108" t="s">
        <v>246</v>
      </c>
      <c r="F4" s="108" t="s">
        <v>255</v>
      </c>
      <c r="G4" s="91" t="s">
        <v>256</v>
      </c>
      <c r="H4" s="109" t="s">
        <v>257</v>
      </c>
      <c r="I4" s="91" t="s">
        <v>258</v>
      </c>
      <c r="J4" s="91" t="s">
        <v>259</v>
      </c>
      <c r="K4" s="91" t="s">
        <v>260</v>
      </c>
      <c r="L4" s="89" t="s">
        <v>261</v>
      </c>
      <c r="M4" s="371"/>
      <c r="N4" s="371"/>
      <c r="O4" s="100"/>
      <c r="P4" s="100"/>
      <c r="Q4" s="100"/>
      <c r="R4" s="100"/>
      <c r="AC4" s="251"/>
      <c r="AD4" s="253"/>
      <c r="AE4" s="251"/>
      <c r="AF4" s="251"/>
      <c r="AG4" s="251"/>
      <c r="AI4" s="79"/>
      <c r="AJ4" s="110" t="s">
        <v>253</v>
      </c>
      <c r="AK4" s="111" t="s">
        <v>254</v>
      </c>
      <c r="AL4" s="110" t="s">
        <v>262</v>
      </c>
      <c r="AM4" s="110" t="s">
        <v>246</v>
      </c>
      <c r="AN4" s="110" t="s">
        <v>255</v>
      </c>
      <c r="AO4" s="110" t="s">
        <v>256</v>
      </c>
      <c r="AP4" s="112" t="s">
        <v>257</v>
      </c>
      <c r="AQ4" s="91" t="s">
        <v>258</v>
      </c>
      <c r="AR4" s="91" t="s">
        <v>259</v>
      </c>
      <c r="AS4" s="91" t="s">
        <v>260</v>
      </c>
      <c r="AT4" s="91" t="s">
        <v>261</v>
      </c>
    </row>
    <row r="5" spans="1:46" ht="14.25" customHeight="1" x14ac:dyDescent="0.3">
      <c r="A5" s="388" t="s">
        <v>230</v>
      </c>
      <c r="B5" s="309" t="s">
        <v>229</v>
      </c>
      <c r="C5" s="115" t="s">
        <v>14</v>
      </c>
      <c r="D5" s="121">
        <f>I51/10</f>
        <v>2456.4701694915252</v>
      </c>
      <c r="E5" s="117">
        <f>H52</f>
        <v>16.559519674572314</v>
      </c>
      <c r="F5" s="118">
        <v>1</v>
      </c>
      <c r="G5" s="119">
        <f t="shared" ref="G5:G28" si="0">D5*E5</f>
        <v>40677.966101694896</v>
      </c>
      <c r="H5" s="120">
        <f t="shared" ref="H5:H28" si="1">G5*F5</f>
        <v>40677.966101694896</v>
      </c>
      <c r="I5" s="81">
        <f>VLOOKUP(B5,All_Ingredients!$A$1:$F$151,6,FALSE())</f>
        <v>0.86</v>
      </c>
      <c r="J5" s="119">
        <f>VLOOKUP(B5,All_Ingredients!$A$1:$J$151,10,FALSE())</f>
        <v>17.100000000000001</v>
      </c>
      <c r="K5" s="122">
        <f t="shared" ref="K5" si="2">(H5/I5)/1000</f>
        <v>47.299960583366158</v>
      </c>
      <c r="L5" s="122">
        <f t="shared" ref="L5" si="3">K5*J5</f>
        <v>808.82932597556135</v>
      </c>
      <c r="M5" s="131"/>
      <c r="N5" s="131"/>
      <c r="O5" s="100"/>
      <c r="P5" s="100"/>
      <c r="Q5" s="100"/>
      <c r="R5" s="100"/>
      <c r="AC5" s="92"/>
      <c r="AD5" s="133"/>
      <c r="AE5" s="254"/>
      <c r="AF5" s="135"/>
      <c r="AG5" s="136"/>
      <c r="AI5" s="79"/>
      <c r="AJ5" s="123" t="s">
        <v>229</v>
      </c>
      <c r="AK5" s="124" t="s">
        <v>238</v>
      </c>
      <c r="AL5" s="125">
        <v>10</v>
      </c>
      <c r="AM5" s="197">
        <f t="shared" ref="AM5:AM16" si="4">$AO$1</f>
        <v>4.0677966101694905</v>
      </c>
      <c r="AN5" s="127">
        <v>1</v>
      </c>
      <c r="AO5" s="119">
        <f t="shared" ref="AO5:AO16" si="5">AL5*AM5</f>
        <v>40.677966101694906</v>
      </c>
      <c r="AP5" s="120">
        <f t="shared" ref="AP5:AP16" si="6">AO5*AN5</f>
        <v>40.677966101694906</v>
      </c>
      <c r="AR5" s="1147"/>
      <c r="AS5" s="556"/>
      <c r="AT5" s="1145"/>
    </row>
    <row r="6" spans="1:46" ht="14.25" customHeight="1" x14ac:dyDescent="0.3">
      <c r="A6" s="128" t="s">
        <v>97</v>
      </c>
      <c r="B6" s="114" t="s">
        <v>136</v>
      </c>
      <c r="C6" s="124" t="s">
        <v>14</v>
      </c>
      <c r="D6" s="125">
        <v>2</v>
      </c>
      <c r="E6" s="197">
        <f t="shared" ref="E6:E28" si="7">$I$1</f>
        <v>18.526315789473696</v>
      </c>
      <c r="F6" s="127">
        <v>1</v>
      </c>
      <c r="G6" s="119">
        <f t="shared" si="0"/>
        <v>37.052631578947391</v>
      </c>
      <c r="H6" s="120">
        <f t="shared" si="1"/>
        <v>37.052631578947391</v>
      </c>
      <c r="I6" s="81">
        <f>VLOOKUP(B6,All_Ingredients!$A$1:$F$151,6,FALSE())</f>
        <v>1</v>
      </c>
      <c r="J6" s="119">
        <f>VLOOKUP(B6,All_Ingredients!$A$1:$J$151,10,FALSE())</f>
        <v>10</v>
      </c>
      <c r="K6" s="122">
        <f t="shared" ref="K6:K28" si="8">(H6/I6)/1000</f>
        <v>3.7052631578947393E-2</v>
      </c>
      <c r="L6" s="122">
        <f t="shared" ref="L6:L28" si="9">K6*J6</f>
        <v>0.37052631578947393</v>
      </c>
      <c r="M6" s="131"/>
      <c r="N6" s="131"/>
      <c r="AI6" s="79" t="s">
        <v>57</v>
      </c>
      <c r="AJ6" s="123" t="s">
        <v>56</v>
      </c>
      <c r="AK6" s="124" t="s">
        <v>14</v>
      </c>
      <c r="AL6" s="125">
        <v>100</v>
      </c>
      <c r="AM6" s="197">
        <f t="shared" si="4"/>
        <v>4.0677966101694905</v>
      </c>
      <c r="AN6" s="127">
        <v>1</v>
      </c>
      <c r="AO6" s="119">
        <f t="shared" si="5"/>
        <v>406.77966101694904</v>
      </c>
      <c r="AP6" s="120">
        <f t="shared" si="6"/>
        <v>406.77966101694904</v>
      </c>
      <c r="AQ6" s="1145">
        <f>VLOOKUP(AJ6,Marination_Ordering!$A:$J,6,FALSE)</f>
        <v>0.87</v>
      </c>
      <c r="AR6" s="1145">
        <f>VLOOKUP(AJ6,Marination_Ordering!$A:$J,10,FALSE)</f>
        <v>3.2</v>
      </c>
      <c r="AS6" s="556">
        <f>AP6/AQ6</f>
        <v>467.56282875511386</v>
      </c>
      <c r="AT6" s="1145">
        <f>AR6*(AS6/1000)</f>
        <v>1.4962010520163644</v>
      </c>
    </row>
    <row r="7" spans="1:46" ht="14.25" customHeight="1" x14ac:dyDescent="0.3">
      <c r="A7" s="128" t="s">
        <v>97</v>
      </c>
      <c r="B7" s="114" t="s">
        <v>106</v>
      </c>
      <c r="C7" s="124" t="s">
        <v>14</v>
      </c>
      <c r="D7" s="125">
        <v>1</v>
      </c>
      <c r="E7" s="197">
        <f t="shared" si="7"/>
        <v>18.526315789473696</v>
      </c>
      <c r="F7" s="127">
        <v>1</v>
      </c>
      <c r="G7" s="119">
        <f t="shared" si="0"/>
        <v>18.526315789473696</v>
      </c>
      <c r="H7" s="120">
        <f t="shared" si="1"/>
        <v>18.526315789473696</v>
      </c>
      <c r="I7" s="81">
        <f>VLOOKUP(B7,All_Ingredients!$A$1:$F$151,6,FALSE())</f>
        <v>1</v>
      </c>
      <c r="J7" s="119">
        <f>VLOOKUP(B7,All_Ingredients!$A$1:$J$151,10,FALSE())</f>
        <v>19</v>
      </c>
      <c r="K7" s="122">
        <f t="shared" si="8"/>
        <v>1.8526315789473696E-2</v>
      </c>
      <c r="L7" s="122">
        <f t="shared" si="9"/>
        <v>0.3520000000000002</v>
      </c>
      <c r="M7" s="131"/>
      <c r="N7" s="131"/>
      <c r="AI7" s="79" t="s">
        <v>13</v>
      </c>
      <c r="AJ7" s="123" t="s">
        <v>792</v>
      </c>
      <c r="AK7" s="124" t="s">
        <v>14</v>
      </c>
      <c r="AL7" s="125">
        <v>100</v>
      </c>
      <c r="AM7" s="197">
        <f t="shared" si="4"/>
        <v>4.0677966101694905</v>
      </c>
      <c r="AN7" s="127">
        <v>1</v>
      </c>
      <c r="AO7" s="119">
        <f t="shared" si="5"/>
        <v>406.77966101694904</v>
      </c>
      <c r="AP7" s="120">
        <f t="shared" si="6"/>
        <v>406.77966101694904</v>
      </c>
      <c r="AQ7" s="1145">
        <f>VLOOKUP(AJ7,Marination_Ordering!$A:$J,6,FALSE)</f>
        <v>1</v>
      </c>
      <c r="AR7" s="1145">
        <f>VLOOKUP(AJ7,Marination_Ordering!$A:$J,10,FALSE)</f>
        <v>10.5</v>
      </c>
      <c r="AS7" s="556">
        <f t="shared" ref="AS7:AS16" si="10">AP7/AQ7</f>
        <v>406.77966101694904</v>
      </c>
      <c r="AT7" s="1145">
        <f t="shared" ref="AT7:AT16" si="11">AR7*(AS7/1000)</f>
        <v>4.2711864406779645</v>
      </c>
    </row>
    <row r="8" spans="1:46" ht="14.75" customHeight="1" x14ac:dyDescent="0.3">
      <c r="A8" s="128" t="s">
        <v>97</v>
      </c>
      <c r="B8" s="114" t="s">
        <v>130</v>
      </c>
      <c r="C8" s="124" t="s">
        <v>14</v>
      </c>
      <c r="D8" s="125">
        <v>1</v>
      </c>
      <c r="E8" s="197">
        <f t="shared" si="7"/>
        <v>18.526315789473696</v>
      </c>
      <c r="F8" s="127">
        <v>1</v>
      </c>
      <c r="G8" s="119">
        <f t="shared" si="0"/>
        <v>18.526315789473696</v>
      </c>
      <c r="H8" s="120">
        <f t="shared" si="1"/>
        <v>18.526315789473696</v>
      </c>
      <c r="I8" s="81">
        <f>VLOOKUP(B8,All_Ingredients!$A$1:$F$151,6,FALSE())</f>
        <v>1</v>
      </c>
      <c r="J8" s="119">
        <f>VLOOKUP(B8,All_Ingredients!$A$1:$J$151,10,FALSE())</f>
        <v>125</v>
      </c>
      <c r="K8" s="122">
        <f t="shared" si="8"/>
        <v>1.8526315789473696E-2</v>
      </c>
      <c r="L8" s="122">
        <f t="shared" si="9"/>
        <v>2.315789473684212</v>
      </c>
      <c r="M8" s="131"/>
      <c r="N8" s="131"/>
      <c r="AI8" s="79" t="s">
        <v>210</v>
      </c>
      <c r="AJ8" s="123" t="s">
        <v>219</v>
      </c>
      <c r="AK8" s="124" t="s">
        <v>165</v>
      </c>
      <c r="AL8" s="125">
        <v>200</v>
      </c>
      <c r="AM8" s="197">
        <f t="shared" si="4"/>
        <v>4.0677966101694905</v>
      </c>
      <c r="AN8" s="127">
        <v>1</v>
      </c>
      <c r="AO8" s="119">
        <f t="shared" si="5"/>
        <v>813.55932203389807</v>
      </c>
      <c r="AP8" s="120">
        <f t="shared" si="6"/>
        <v>813.55932203389807</v>
      </c>
      <c r="AQ8" s="1145">
        <f>VLOOKUP(AJ8,Marination_Ordering!$A:$J,6,FALSE)</f>
        <v>1</v>
      </c>
      <c r="AR8" s="1145">
        <f>VLOOKUP(AJ8,Marination_Ordering!$A:$J,10,FALSE)</f>
        <v>5</v>
      </c>
      <c r="AS8" s="556">
        <f t="shared" si="10"/>
        <v>813.55932203389807</v>
      </c>
      <c r="AT8" s="1145">
        <f t="shared" si="11"/>
        <v>4.0677966101694905</v>
      </c>
    </row>
    <row r="9" spans="1:46" ht="14.25" customHeight="1" x14ac:dyDescent="0.3">
      <c r="A9" s="128" t="s">
        <v>97</v>
      </c>
      <c r="B9" s="114" t="s">
        <v>126</v>
      </c>
      <c r="C9" s="124" t="s">
        <v>14</v>
      </c>
      <c r="D9" s="125">
        <v>1</v>
      </c>
      <c r="E9" s="197">
        <f t="shared" si="7"/>
        <v>18.526315789473696</v>
      </c>
      <c r="F9" s="127">
        <v>1</v>
      </c>
      <c r="G9" s="119">
        <f t="shared" si="0"/>
        <v>18.526315789473696</v>
      </c>
      <c r="H9" s="120">
        <f t="shared" si="1"/>
        <v>18.526315789473696</v>
      </c>
      <c r="I9" s="81">
        <f>VLOOKUP(B9,All_Ingredients!$A$1:$F$151,6,FALSE())</f>
        <v>1</v>
      </c>
      <c r="J9" s="119">
        <f>VLOOKUP(B9,All_Ingredients!$A$1:$J$151,10,FALSE())</f>
        <v>14</v>
      </c>
      <c r="K9" s="122">
        <f t="shared" si="8"/>
        <v>1.8526315789473696E-2</v>
      </c>
      <c r="L9" s="122">
        <f t="shared" si="9"/>
        <v>0.25936842105263175</v>
      </c>
      <c r="M9" s="131"/>
      <c r="N9" s="131"/>
      <c r="AI9" s="79" t="s">
        <v>210</v>
      </c>
      <c r="AJ9" s="123" t="s">
        <v>215</v>
      </c>
      <c r="AK9" s="124" t="s">
        <v>165</v>
      </c>
      <c r="AL9" s="125">
        <v>80</v>
      </c>
      <c r="AM9" s="197">
        <f t="shared" si="4"/>
        <v>4.0677966101694905</v>
      </c>
      <c r="AN9" s="127">
        <v>1</v>
      </c>
      <c r="AO9" s="119">
        <f t="shared" si="5"/>
        <v>325.42372881355925</v>
      </c>
      <c r="AP9" s="120">
        <f t="shared" si="6"/>
        <v>325.42372881355925</v>
      </c>
      <c r="AQ9" s="1145">
        <f>VLOOKUP(AJ9,Marination_Ordering!$A:$J,6,FALSE)</f>
        <v>1</v>
      </c>
      <c r="AR9" s="1145">
        <f>VLOOKUP(AJ9,Marination_Ordering!$A:$J,10,FALSE)</f>
        <v>2.1621621621621623</v>
      </c>
      <c r="AS9" s="556">
        <f t="shared" si="10"/>
        <v>325.42372881355925</v>
      </c>
      <c r="AT9" s="1145">
        <f t="shared" si="11"/>
        <v>0.70361887311039839</v>
      </c>
    </row>
    <row r="10" spans="1:46" ht="14.25" customHeight="1" x14ac:dyDescent="0.3">
      <c r="A10" s="128" t="s">
        <v>13</v>
      </c>
      <c r="B10" s="114" t="s">
        <v>12</v>
      </c>
      <c r="C10" s="124" t="s">
        <v>14</v>
      </c>
      <c r="D10" s="125">
        <v>350</v>
      </c>
      <c r="E10" s="197">
        <f t="shared" si="7"/>
        <v>18.526315789473696</v>
      </c>
      <c r="F10" s="127">
        <v>0.95</v>
      </c>
      <c r="G10" s="119">
        <f t="shared" si="0"/>
        <v>6484.2105263157937</v>
      </c>
      <c r="H10" s="120">
        <f t="shared" si="1"/>
        <v>6160.0000000000036</v>
      </c>
      <c r="I10" s="81">
        <f>VLOOKUP(B10,All_Ingredients!$A$1:$F$151,6,FALSE())</f>
        <v>0.9</v>
      </c>
      <c r="J10" s="119">
        <f>VLOOKUP(B10,All_Ingredients!$A$1:$J$151,10,FALSE())</f>
        <v>3</v>
      </c>
      <c r="K10" s="122">
        <f t="shared" si="8"/>
        <v>6.8444444444444477</v>
      </c>
      <c r="L10" s="122">
        <f t="shared" si="9"/>
        <v>20.533333333333342</v>
      </c>
      <c r="M10" s="131"/>
      <c r="N10" s="131"/>
      <c r="AI10" s="79" t="s">
        <v>97</v>
      </c>
      <c r="AJ10" s="123" t="s">
        <v>96</v>
      </c>
      <c r="AK10" s="124" t="s">
        <v>14</v>
      </c>
      <c r="AL10" s="125">
        <v>2</v>
      </c>
      <c r="AM10" s="197">
        <f t="shared" si="4"/>
        <v>4.0677966101694905</v>
      </c>
      <c r="AN10" s="127">
        <v>1</v>
      </c>
      <c r="AO10" s="119">
        <f t="shared" si="5"/>
        <v>8.1355932203389809</v>
      </c>
      <c r="AP10" s="120">
        <f t="shared" si="6"/>
        <v>8.1355932203389809</v>
      </c>
      <c r="AQ10" s="1145">
        <f>VLOOKUP(AJ10,Marination_Ordering!$A:$J,6,FALSE)</f>
        <v>1</v>
      </c>
      <c r="AR10" s="1145">
        <f>VLOOKUP(AJ10,Marination_Ordering!$A:$J,10,FALSE)</f>
        <v>0.74</v>
      </c>
      <c r="AS10" s="556">
        <f t="shared" si="10"/>
        <v>8.1355932203389809</v>
      </c>
      <c r="AT10" s="1145">
        <f t="shared" si="11"/>
        <v>6.0203389830508465E-3</v>
      </c>
    </row>
    <row r="11" spans="1:46" ht="21.75" customHeight="1" x14ac:dyDescent="0.3">
      <c r="A11" s="128" t="s">
        <v>158</v>
      </c>
      <c r="B11" s="114" t="s">
        <v>180</v>
      </c>
      <c r="C11" s="124" t="s">
        <v>165</v>
      </c>
      <c r="D11" s="125">
        <v>300</v>
      </c>
      <c r="E11" s="197">
        <f t="shared" si="7"/>
        <v>18.526315789473696</v>
      </c>
      <c r="F11" s="127">
        <v>0.9</v>
      </c>
      <c r="G11" s="119">
        <f t="shared" si="0"/>
        <v>5557.8947368421086</v>
      </c>
      <c r="H11" s="120">
        <f t="shared" si="1"/>
        <v>5002.1052631578978</v>
      </c>
      <c r="I11" s="81">
        <f>VLOOKUP(B11,All_Ingredients!$A$1:$F$151,6,FALSE())</f>
        <v>1</v>
      </c>
      <c r="J11" s="119">
        <f>VLOOKUP(B11,All_Ingredients!$A$1:$J$151,10,FALSE())</f>
        <v>9.8958333333333339</v>
      </c>
      <c r="K11" s="122">
        <f t="shared" si="8"/>
        <v>5.0021052631578975</v>
      </c>
      <c r="L11" s="122">
        <f t="shared" si="9"/>
        <v>49.500000000000028</v>
      </c>
      <c r="M11" s="131"/>
      <c r="N11" s="131"/>
      <c r="AI11" s="79" t="s">
        <v>97</v>
      </c>
      <c r="AJ11" s="123" t="s">
        <v>102</v>
      </c>
      <c r="AK11" s="124" t="s">
        <v>14</v>
      </c>
      <c r="AL11" s="125">
        <v>5</v>
      </c>
      <c r="AM11" s="197">
        <f t="shared" si="4"/>
        <v>4.0677966101694905</v>
      </c>
      <c r="AN11" s="127">
        <v>1</v>
      </c>
      <c r="AO11" s="119">
        <f t="shared" si="5"/>
        <v>20.338983050847453</v>
      </c>
      <c r="AP11" s="120">
        <f t="shared" si="6"/>
        <v>20.338983050847453</v>
      </c>
      <c r="AQ11" s="1145">
        <f>VLOOKUP(AJ11,Marination_Ordering!$A:$J,6,FALSE)</f>
        <v>1</v>
      </c>
      <c r="AR11" s="1145">
        <f>VLOOKUP(AJ11,Marination_Ordering!$A:$J,10,FALSE)</f>
        <v>31</v>
      </c>
      <c r="AS11" s="556">
        <f t="shared" si="10"/>
        <v>20.338983050847453</v>
      </c>
      <c r="AT11" s="1145">
        <f t="shared" si="11"/>
        <v>0.63050847457627102</v>
      </c>
    </row>
    <row r="12" spans="1:46" ht="16.25" customHeight="1" x14ac:dyDescent="0.3">
      <c r="A12" s="128" t="s">
        <v>13</v>
      </c>
      <c r="B12" s="114" t="s">
        <v>793</v>
      </c>
      <c r="C12" s="124" t="s">
        <v>14</v>
      </c>
      <c r="D12" s="125">
        <v>200</v>
      </c>
      <c r="E12" s="197">
        <f t="shared" si="7"/>
        <v>18.526315789473696</v>
      </c>
      <c r="F12" s="127">
        <v>0.8</v>
      </c>
      <c r="G12" s="119">
        <f t="shared" si="0"/>
        <v>3705.2631578947389</v>
      </c>
      <c r="H12" s="120">
        <f t="shared" si="1"/>
        <v>2964.2105263157914</v>
      </c>
      <c r="I12" s="81">
        <f>VLOOKUP(B12,All_Ingredients!$A$1:$F$151,6,FALSE())</f>
        <v>1</v>
      </c>
      <c r="J12" s="119">
        <f>VLOOKUP(B12,All_Ingredients!$A$1:$J$151,10,FALSE())</f>
        <v>40.74074074074074</v>
      </c>
      <c r="K12" s="122">
        <f t="shared" si="8"/>
        <v>2.9642105263157914</v>
      </c>
      <c r="L12" s="122">
        <f t="shared" si="9"/>
        <v>120.76413255360632</v>
      </c>
      <c r="M12" s="131"/>
      <c r="N12" s="131"/>
      <c r="AI12" s="79" t="s">
        <v>220</v>
      </c>
      <c r="AJ12" s="123" t="s">
        <v>221</v>
      </c>
      <c r="AK12" s="124" t="s">
        <v>14</v>
      </c>
      <c r="AL12" s="125">
        <v>3</v>
      </c>
      <c r="AM12" s="197">
        <f t="shared" si="4"/>
        <v>4.0677966101694905</v>
      </c>
      <c r="AN12" s="127">
        <v>1</v>
      </c>
      <c r="AO12" s="119">
        <f t="shared" si="5"/>
        <v>12.20338983050847</v>
      </c>
      <c r="AP12" s="120">
        <f t="shared" si="6"/>
        <v>12.20338983050847</v>
      </c>
      <c r="AQ12" s="1145">
        <f>VLOOKUP(AJ12,Marination_Ordering!$A:$J,6,FALSE)</f>
        <v>1</v>
      </c>
      <c r="AR12" s="1145">
        <f>VLOOKUP(AJ12,Marination_Ordering!$A:$J,10,FALSE)</f>
        <v>35</v>
      </c>
      <c r="AS12" s="556">
        <f t="shared" si="10"/>
        <v>12.20338983050847</v>
      </c>
      <c r="AT12" s="1145">
        <f t="shared" si="11"/>
        <v>0.42711864406779648</v>
      </c>
    </row>
    <row r="13" spans="1:46" ht="14.25" customHeight="1" x14ac:dyDescent="0.3">
      <c r="A13" s="128" t="s">
        <v>13</v>
      </c>
      <c r="B13" s="114" t="s">
        <v>792</v>
      </c>
      <c r="C13" s="124" t="s">
        <v>14</v>
      </c>
      <c r="D13" s="125">
        <v>25</v>
      </c>
      <c r="E13" s="197">
        <f t="shared" si="7"/>
        <v>18.526315789473696</v>
      </c>
      <c r="F13" s="127">
        <v>0.95</v>
      </c>
      <c r="G13" s="119">
        <f t="shared" si="0"/>
        <v>463.15789473684237</v>
      </c>
      <c r="H13" s="120">
        <f t="shared" si="1"/>
        <v>440.00000000000023</v>
      </c>
      <c r="I13" s="81">
        <f>VLOOKUP(B13,All_Ingredients!$A$1:$F$151,6,FALSE())</f>
        <v>1</v>
      </c>
      <c r="J13" s="119">
        <f>VLOOKUP(B13,All_Ingredients!$A$1:$J$151,10,FALSE())</f>
        <v>10.5</v>
      </c>
      <c r="K13" s="122">
        <f t="shared" si="8"/>
        <v>0.44000000000000022</v>
      </c>
      <c r="L13" s="122">
        <f t="shared" si="9"/>
        <v>4.6200000000000028</v>
      </c>
      <c r="M13" s="131"/>
      <c r="N13" s="131"/>
      <c r="AI13" s="79" t="s">
        <v>158</v>
      </c>
      <c r="AJ13" s="123" t="s">
        <v>180</v>
      </c>
      <c r="AK13" s="124" t="s">
        <v>165</v>
      </c>
      <c r="AL13" s="125">
        <v>100</v>
      </c>
      <c r="AM13" s="197">
        <f t="shared" si="4"/>
        <v>4.0677966101694905</v>
      </c>
      <c r="AN13" s="127">
        <v>1</v>
      </c>
      <c r="AO13" s="119">
        <f t="shared" si="5"/>
        <v>406.77966101694904</v>
      </c>
      <c r="AP13" s="120">
        <f t="shared" si="6"/>
        <v>406.77966101694904</v>
      </c>
      <c r="AQ13" s="1145">
        <f>VLOOKUP(AJ13,Marination_Ordering!$A:$J,6,FALSE)</f>
        <v>1</v>
      </c>
      <c r="AR13" s="1145">
        <f>VLOOKUP(AJ13,Marination_Ordering!$A:$J,10,FALSE)</f>
        <v>9.8958333333333339</v>
      </c>
      <c r="AS13" s="556">
        <f t="shared" si="10"/>
        <v>406.77966101694904</v>
      </c>
      <c r="AT13" s="1145">
        <f t="shared" si="11"/>
        <v>4.0254237288135579</v>
      </c>
    </row>
    <row r="14" spans="1:46" ht="14.75" customHeight="1" x14ac:dyDescent="0.3">
      <c r="A14" s="128" t="s">
        <v>97</v>
      </c>
      <c r="B14" s="114" t="s">
        <v>119</v>
      </c>
      <c r="C14" s="124" t="s">
        <v>14</v>
      </c>
      <c r="D14" s="125">
        <v>10</v>
      </c>
      <c r="E14" s="197">
        <f t="shared" si="7"/>
        <v>18.526315789473696</v>
      </c>
      <c r="F14" s="127">
        <v>0.75</v>
      </c>
      <c r="G14" s="119">
        <f t="shared" si="0"/>
        <v>185.26315789473696</v>
      </c>
      <c r="H14" s="120">
        <f t="shared" si="1"/>
        <v>138.94736842105272</v>
      </c>
      <c r="I14" s="81">
        <f>VLOOKUP(B14,All_Ingredients!$A$1:$F$151,6,FALSE())</f>
        <v>1</v>
      </c>
      <c r="J14" s="119">
        <f>VLOOKUP(B14,All_Ingredients!$A$1:$J$151,10,FALSE())</f>
        <v>14.5</v>
      </c>
      <c r="K14" s="122">
        <f t="shared" si="8"/>
        <v>0.13894736842105271</v>
      </c>
      <c r="L14" s="122">
        <f t="shared" si="9"/>
        <v>2.0147368421052643</v>
      </c>
      <c r="M14" s="131"/>
      <c r="N14" s="131"/>
      <c r="AI14" s="79" t="s">
        <v>97</v>
      </c>
      <c r="AJ14" s="123" t="s">
        <v>108</v>
      </c>
      <c r="AK14" s="124" t="s">
        <v>14</v>
      </c>
      <c r="AL14" s="125">
        <v>25</v>
      </c>
      <c r="AM14" s="197">
        <f t="shared" si="4"/>
        <v>4.0677966101694905</v>
      </c>
      <c r="AN14" s="127">
        <v>1</v>
      </c>
      <c r="AO14" s="119">
        <f t="shared" si="5"/>
        <v>101.69491525423726</v>
      </c>
      <c r="AP14" s="120">
        <f t="shared" si="6"/>
        <v>101.69491525423726</v>
      </c>
      <c r="AQ14" s="1145">
        <f>VLOOKUP(AJ14,Marination_Ordering!$A:$J,6,FALSE)</f>
        <v>1</v>
      </c>
      <c r="AR14" s="1145">
        <f>VLOOKUP(AJ14,Marination_Ordering!$A:$J,10,FALSE)</f>
        <v>15</v>
      </c>
      <c r="AS14" s="556">
        <f t="shared" si="10"/>
        <v>101.69491525423726</v>
      </c>
      <c r="AT14" s="1145">
        <f t="shared" si="11"/>
        <v>1.5254237288135588</v>
      </c>
    </row>
    <row r="15" spans="1:46" ht="12.75" customHeight="1" x14ac:dyDescent="0.3">
      <c r="A15" s="128" t="s">
        <v>220</v>
      </c>
      <c r="B15" s="114" t="s">
        <v>221</v>
      </c>
      <c r="C15" s="124" t="s">
        <v>14</v>
      </c>
      <c r="D15" s="125">
        <v>2</v>
      </c>
      <c r="E15" s="197">
        <f t="shared" si="7"/>
        <v>18.526315789473696</v>
      </c>
      <c r="F15" s="127">
        <v>1</v>
      </c>
      <c r="G15" s="119">
        <f t="shared" si="0"/>
        <v>37.052631578947391</v>
      </c>
      <c r="H15" s="120">
        <f t="shared" si="1"/>
        <v>37.052631578947391</v>
      </c>
      <c r="I15" s="81">
        <f>VLOOKUP(B15,All_Ingredients!$A$1:$F$151,6,FALSE())</f>
        <v>1</v>
      </c>
      <c r="J15" s="119">
        <f>VLOOKUP(B15,All_Ingredients!$A$1:$J$151,10,FALSE())</f>
        <v>35</v>
      </c>
      <c r="K15" s="122">
        <f t="shared" si="8"/>
        <v>3.7052631578947393E-2</v>
      </c>
      <c r="L15" s="122">
        <f t="shared" si="9"/>
        <v>1.2968421052631587</v>
      </c>
      <c r="M15" s="131"/>
      <c r="N15" s="131"/>
      <c r="AI15" s="79" t="s">
        <v>97</v>
      </c>
      <c r="AJ15" s="123" t="s">
        <v>112</v>
      </c>
      <c r="AK15" s="124" t="s">
        <v>14</v>
      </c>
      <c r="AL15" s="125">
        <v>50</v>
      </c>
      <c r="AM15" s="197">
        <f t="shared" si="4"/>
        <v>4.0677966101694905</v>
      </c>
      <c r="AN15" s="127">
        <v>1</v>
      </c>
      <c r="AO15" s="119">
        <f t="shared" si="5"/>
        <v>203.38983050847452</v>
      </c>
      <c r="AP15" s="120">
        <f t="shared" si="6"/>
        <v>203.38983050847452</v>
      </c>
      <c r="AQ15" s="1145">
        <f>VLOOKUP(AJ15,Marination_Ordering!$A:$J,6,FALSE)</f>
        <v>1</v>
      </c>
      <c r="AR15" s="1145">
        <f>VLOOKUP(AJ15,Marination_Ordering!$A:$J,10,FALSE)</f>
        <v>26.5</v>
      </c>
      <c r="AS15" s="556">
        <f t="shared" si="10"/>
        <v>203.38983050847452</v>
      </c>
      <c r="AT15" s="1145">
        <f t="shared" si="11"/>
        <v>5.3898305084745743</v>
      </c>
    </row>
    <row r="16" spans="1:46" ht="14.75" customHeight="1" x14ac:dyDescent="0.3">
      <c r="A16" s="128" t="s">
        <v>97</v>
      </c>
      <c r="B16" s="114" t="s">
        <v>96</v>
      </c>
      <c r="C16" s="124" t="s">
        <v>14</v>
      </c>
      <c r="D16" s="125">
        <v>11</v>
      </c>
      <c r="E16" s="197">
        <f t="shared" si="7"/>
        <v>18.526315789473696</v>
      </c>
      <c r="F16" s="127">
        <v>0.75</v>
      </c>
      <c r="G16" s="119">
        <f t="shared" si="0"/>
        <v>203.78947368421066</v>
      </c>
      <c r="H16" s="120">
        <f t="shared" si="1"/>
        <v>152.842105263158</v>
      </c>
      <c r="I16" s="81">
        <f>VLOOKUP(B16,All_Ingredients!$A$1:$F$151,6,FALSE())</f>
        <v>1</v>
      </c>
      <c r="J16" s="119">
        <f>VLOOKUP(B16,All_Ingredients!$A$1:$J$151,10,FALSE())</f>
        <v>0.74</v>
      </c>
      <c r="K16" s="122">
        <f t="shared" si="8"/>
        <v>0.152842105263158</v>
      </c>
      <c r="L16" s="122">
        <f t="shared" si="9"/>
        <v>0.11310315789473692</v>
      </c>
      <c r="M16" s="131"/>
      <c r="N16" s="131"/>
      <c r="AI16" s="79" t="s">
        <v>220</v>
      </c>
      <c r="AJ16" s="123" t="s">
        <v>815</v>
      </c>
      <c r="AK16" s="124" t="s">
        <v>14</v>
      </c>
      <c r="AL16" s="125">
        <v>5</v>
      </c>
      <c r="AM16" s="197">
        <f t="shared" si="4"/>
        <v>4.0677966101694905</v>
      </c>
      <c r="AN16" s="127">
        <v>1</v>
      </c>
      <c r="AO16" s="119">
        <f t="shared" si="5"/>
        <v>20.338983050847453</v>
      </c>
      <c r="AP16" s="120">
        <f t="shared" si="6"/>
        <v>20.338983050847453</v>
      </c>
      <c r="AQ16" s="1145">
        <f>VLOOKUP(AJ16,Marination_Ordering!$A:$J,6,FALSE)</f>
        <v>1</v>
      </c>
      <c r="AR16" s="1145">
        <f>VLOOKUP(AJ16,Marination_Ordering!$A:$J,10,FALSE)</f>
        <v>22.5</v>
      </c>
      <c r="AS16" s="556">
        <f t="shared" si="10"/>
        <v>20.338983050847453</v>
      </c>
      <c r="AT16" s="1145">
        <f t="shared" si="11"/>
        <v>0.45762711864406769</v>
      </c>
    </row>
    <row r="17" spans="1:32" ht="14.25" customHeight="1" x14ac:dyDescent="0.3">
      <c r="A17" s="128" t="s">
        <v>210</v>
      </c>
      <c r="B17" s="114" t="s">
        <v>209</v>
      </c>
      <c r="C17" s="124" t="s">
        <v>165</v>
      </c>
      <c r="D17" s="125">
        <v>500</v>
      </c>
      <c r="E17" s="197">
        <f t="shared" si="7"/>
        <v>18.526315789473696</v>
      </c>
      <c r="F17" s="127">
        <v>0.75</v>
      </c>
      <c r="G17" s="119">
        <f t="shared" si="0"/>
        <v>9263.1578947368471</v>
      </c>
      <c r="H17" s="120">
        <f t="shared" si="1"/>
        <v>6947.3684210526353</v>
      </c>
      <c r="I17" s="81">
        <f>VLOOKUP(B17,All_Ingredients!$A$1:$F$151,6,FALSE())</f>
        <v>1</v>
      </c>
      <c r="J17" s="119">
        <f>VLOOKUP(B17,All_Ingredients!$A$1:$J$151,10,FALSE())</f>
        <v>0</v>
      </c>
      <c r="K17" s="122">
        <f t="shared" si="8"/>
        <v>6.9473684210526354</v>
      </c>
      <c r="L17" s="122">
        <f t="shared" si="9"/>
        <v>0</v>
      </c>
      <c r="M17" s="131"/>
      <c r="N17" s="131"/>
    </row>
    <row r="18" spans="1:32" ht="14.25" customHeight="1" x14ac:dyDescent="0.3">
      <c r="A18" s="128" t="s">
        <v>63</v>
      </c>
      <c r="B18" s="114" t="s">
        <v>78</v>
      </c>
      <c r="C18" s="124" t="s">
        <v>14</v>
      </c>
      <c r="D18" s="125">
        <v>3</v>
      </c>
      <c r="E18" s="197">
        <f t="shared" si="7"/>
        <v>18.526315789473696</v>
      </c>
      <c r="F18" s="127">
        <v>1</v>
      </c>
      <c r="G18" s="119">
        <f t="shared" si="0"/>
        <v>55.578947368421083</v>
      </c>
      <c r="H18" s="120">
        <f t="shared" si="1"/>
        <v>55.578947368421083</v>
      </c>
      <c r="I18" s="81">
        <f>VLOOKUP(B18,All_Ingredients!$A$1:$F$151,6,FALSE())</f>
        <v>0.6</v>
      </c>
      <c r="J18" s="119">
        <f>VLOOKUP(B18,All_Ingredients!$A$1:$J$151,10,FALSE())</f>
        <v>90</v>
      </c>
      <c r="K18" s="122">
        <f t="shared" si="8"/>
        <v>9.2631578947368481E-2</v>
      </c>
      <c r="L18" s="122">
        <f t="shared" si="9"/>
        <v>8.3368421052631625</v>
      </c>
      <c r="M18" s="131"/>
      <c r="N18" s="131"/>
    </row>
    <row r="19" spans="1:32" ht="14.25" customHeight="1" x14ac:dyDescent="0.3">
      <c r="A19" s="128" t="s">
        <v>63</v>
      </c>
      <c r="B19" s="114" t="s">
        <v>62</v>
      </c>
      <c r="C19" s="124" t="s">
        <v>14</v>
      </c>
      <c r="D19" s="125">
        <v>10</v>
      </c>
      <c r="E19" s="197">
        <f t="shared" si="7"/>
        <v>18.526315789473696</v>
      </c>
      <c r="F19" s="127">
        <v>1</v>
      </c>
      <c r="G19" s="119">
        <f t="shared" si="0"/>
        <v>185.26315789473696</v>
      </c>
      <c r="H19" s="120">
        <f t="shared" si="1"/>
        <v>185.26315789473696</v>
      </c>
      <c r="I19" s="81">
        <f>VLOOKUP(B19,All_Ingredients!$A$1:$F$151,6,FALSE())</f>
        <v>0.94</v>
      </c>
      <c r="J19" s="119">
        <f>VLOOKUP(B19,All_Ingredients!$A$1:$J$151,10,FALSE())</f>
        <v>3.6363636363636367</v>
      </c>
      <c r="K19" s="122">
        <f t="shared" si="8"/>
        <v>0.19708846584546486</v>
      </c>
      <c r="L19" s="122">
        <f t="shared" si="9"/>
        <v>0.71668533034714499</v>
      </c>
      <c r="M19" s="131"/>
      <c r="N19" s="131"/>
    </row>
    <row r="20" spans="1:32" ht="14.25" customHeight="1" x14ac:dyDescent="0.3">
      <c r="A20" s="128" t="s">
        <v>158</v>
      </c>
      <c r="B20" s="114" t="s">
        <v>157</v>
      </c>
      <c r="C20" s="124" t="s">
        <v>14</v>
      </c>
      <c r="D20" s="125">
        <v>50</v>
      </c>
      <c r="E20" s="197">
        <f t="shared" si="7"/>
        <v>18.526315789473696</v>
      </c>
      <c r="F20" s="127">
        <v>1</v>
      </c>
      <c r="G20" s="119">
        <f t="shared" si="0"/>
        <v>926.31578947368473</v>
      </c>
      <c r="H20" s="120">
        <f t="shared" si="1"/>
        <v>926.31578947368473</v>
      </c>
      <c r="I20" s="81">
        <f>VLOOKUP(B20,All_Ingredients!$A$1:$F$151,6,FALSE())</f>
        <v>1</v>
      </c>
      <c r="J20" s="119">
        <f>VLOOKUP(B20,All_Ingredients!$A$1:$J$151,10,FALSE())</f>
        <v>30</v>
      </c>
      <c r="K20" s="122">
        <f t="shared" si="8"/>
        <v>0.92631578947368476</v>
      </c>
      <c r="L20" s="122">
        <f t="shared" si="9"/>
        <v>27.789473684210542</v>
      </c>
      <c r="M20" s="131"/>
      <c r="N20" s="131"/>
    </row>
    <row r="21" spans="1:32" ht="14.25" customHeight="1" x14ac:dyDescent="0.3">
      <c r="A21" s="128" t="s">
        <v>97</v>
      </c>
      <c r="B21" s="114" t="s">
        <v>128</v>
      </c>
      <c r="C21" s="124" t="s">
        <v>14</v>
      </c>
      <c r="D21" s="125">
        <v>1</v>
      </c>
      <c r="E21" s="197">
        <f t="shared" si="7"/>
        <v>18.526315789473696</v>
      </c>
      <c r="F21" s="127">
        <v>1</v>
      </c>
      <c r="G21" s="119">
        <f t="shared" si="0"/>
        <v>18.526315789473696</v>
      </c>
      <c r="H21" s="120">
        <f t="shared" si="1"/>
        <v>18.526315789473696</v>
      </c>
      <c r="I21" s="81">
        <f>VLOOKUP(B21,All_Ingredients!$A$1:$F$151,6,FALSE())</f>
        <v>1</v>
      </c>
      <c r="J21" s="119">
        <f>VLOOKUP(B21,All_Ingredients!$A$1:$J$151,10,FALSE())</f>
        <v>37</v>
      </c>
      <c r="K21" s="122">
        <f t="shared" si="8"/>
        <v>1.8526315789473696E-2</v>
      </c>
      <c r="L21" s="122">
        <f t="shared" si="9"/>
        <v>0.68547368421052679</v>
      </c>
      <c r="M21" s="131"/>
      <c r="N21" s="131"/>
    </row>
    <row r="22" spans="1:32" ht="14.25" customHeight="1" x14ac:dyDescent="0.3">
      <c r="A22" s="128" t="s">
        <v>97</v>
      </c>
      <c r="B22" s="114" t="s">
        <v>110</v>
      </c>
      <c r="C22" s="124" t="s">
        <v>14</v>
      </c>
      <c r="D22" s="125">
        <v>15</v>
      </c>
      <c r="E22" s="197">
        <f t="shared" si="7"/>
        <v>18.526315789473696</v>
      </c>
      <c r="F22" s="127">
        <v>1</v>
      </c>
      <c r="G22" s="119">
        <f t="shared" si="0"/>
        <v>277.89473684210543</v>
      </c>
      <c r="H22" s="120">
        <f t="shared" si="1"/>
        <v>277.89473684210543</v>
      </c>
      <c r="I22" s="81">
        <f>VLOOKUP(B22,All_Ingredients!$A$1:$F$151,6,FALSE())</f>
        <v>1</v>
      </c>
      <c r="J22" s="119">
        <f>VLOOKUP(B22,All_Ingredients!$A$1:$J$151,10,FALSE())</f>
        <v>8</v>
      </c>
      <c r="K22" s="122">
        <f t="shared" si="8"/>
        <v>0.27789473684210542</v>
      </c>
      <c r="L22" s="122">
        <f t="shared" si="9"/>
        <v>2.2231578947368433</v>
      </c>
      <c r="M22" s="131"/>
      <c r="N22" s="131"/>
    </row>
    <row r="23" spans="1:32" ht="14.25" customHeight="1" x14ac:dyDescent="0.3">
      <c r="A23" s="128" t="s">
        <v>97</v>
      </c>
      <c r="B23" s="114" t="s">
        <v>108</v>
      </c>
      <c r="C23" s="124" t="s">
        <v>14</v>
      </c>
      <c r="D23" s="125">
        <v>2</v>
      </c>
      <c r="E23" s="197">
        <f t="shared" si="7"/>
        <v>18.526315789473696</v>
      </c>
      <c r="F23" s="127">
        <v>1</v>
      </c>
      <c r="G23" s="119">
        <f t="shared" si="0"/>
        <v>37.052631578947391</v>
      </c>
      <c r="H23" s="120">
        <f t="shared" si="1"/>
        <v>37.052631578947391</v>
      </c>
      <c r="I23" s="81">
        <f>VLOOKUP(B23,All_Ingredients!$A$1:$F$151,6,FALSE())</f>
        <v>1</v>
      </c>
      <c r="J23" s="119">
        <f>VLOOKUP(B23,All_Ingredients!$A$1:$J$151,10,FALSE())</f>
        <v>15</v>
      </c>
      <c r="K23" s="122">
        <f t="shared" si="8"/>
        <v>3.7052631578947393E-2</v>
      </c>
      <c r="L23" s="122">
        <f t="shared" si="9"/>
        <v>0.55578947368421083</v>
      </c>
      <c r="M23" s="131"/>
      <c r="N23" s="131"/>
    </row>
    <row r="24" spans="1:32" ht="14.25" customHeight="1" x14ac:dyDescent="0.3">
      <c r="A24" s="128" t="s">
        <v>97</v>
      </c>
      <c r="B24" s="114" t="s">
        <v>122</v>
      </c>
      <c r="C24" s="124" t="s">
        <v>14</v>
      </c>
      <c r="D24" s="125">
        <v>1</v>
      </c>
      <c r="E24" s="197">
        <f t="shared" si="7"/>
        <v>18.526315789473696</v>
      </c>
      <c r="F24" s="127">
        <v>1</v>
      </c>
      <c r="G24" s="119">
        <f t="shared" si="0"/>
        <v>18.526315789473696</v>
      </c>
      <c r="H24" s="120">
        <f t="shared" si="1"/>
        <v>18.526315789473696</v>
      </c>
      <c r="I24" s="81">
        <f>VLOOKUP(B24,All_Ingredients!$A$1:$F$151,6,FALSE())</f>
        <v>1</v>
      </c>
      <c r="J24" s="119">
        <f>VLOOKUP(B24,All_Ingredients!$A$1:$J$151,10,FALSE())</f>
        <v>15</v>
      </c>
      <c r="K24" s="122">
        <f t="shared" si="8"/>
        <v>1.8526315789473696E-2</v>
      </c>
      <c r="L24" s="122">
        <f t="shared" si="9"/>
        <v>0.27789473684210542</v>
      </c>
      <c r="M24" s="131"/>
      <c r="N24" s="131"/>
      <c r="Z24" s="1234"/>
    </row>
    <row r="25" spans="1:32" ht="14.25" customHeight="1" x14ac:dyDescent="0.35">
      <c r="A25" s="128"/>
      <c r="B25" s="114" t="s">
        <v>219</v>
      </c>
      <c r="C25" s="124" t="s">
        <v>165</v>
      </c>
      <c r="D25" s="125">
        <v>20</v>
      </c>
      <c r="E25" s="197">
        <f t="shared" si="7"/>
        <v>18.526315789473696</v>
      </c>
      <c r="F25" s="127">
        <v>1</v>
      </c>
      <c r="G25" s="119">
        <f t="shared" si="0"/>
        <v>370.52631578947393</v>
      </c>
      <c r="H25" s="120">
        <f t="shared" si="1"/>
        <v>370.52631578947393</v>
      </c>
      <c r="I25" s="81">
        <f>VLOOKUP(B25,All_Ingredients!$A$1:$F$151,6,FALSE())</f>
        <v>1</v>
      </c>
      <c r="J25" s="119">
        <f>VLOOKUP(B25,All_Ingredients!$A$1:$J$151,10,FALSE())</f>
        <v>5</v>
      </c>
      <c r="K25" s="122">
        <f t="shared" si="8"/>
        <v>0.37052631578947393</v>
      </c>
      <c r="L25" s="122">
        <f t="shared" si="9"/>
        <v>1.8526315789473697</v>
      </c>
      <c r="R25" s="1411" t="s">
        <v>370</v>
      </c>
      <c r="S25" s="1388"/>
      <c r="T25" s="1388"/>
      <c r="U25" s="1388"/>
      <c r="V25" s="1151"/>
      <c r="Z25" s="141" t="s">
        <v>264</v>
      </c>
      <c r="AA25" s="142">
        <v>35000</v>
      </c>
      <c r="AB25" s="141" t="s">
        <v>261</v>
      </c>
      <c r="AC25" s="143">
        <f>(AA25*(4/3))*AF30+((AA30*(AB28/R1)))</f>
        <v>1216.5804796777074</v>
      </c>
    </row>
    <row r="26" spans="1:32" ht="14.25" customHeight="1" x14ac:dyDescent="0.3">
      <c r="A26" s="128"/>
      <c r="B26" s="114" t="s">
        <v>134</v>
      </c>
      <c r="C26" s="124" t="s">
        <v>14</v>
      </c>
      <c r="D26" s="125">
        <v>1</v>
      </c>
      <c r="E26" s="197">
        <f t="shared" si="7"/>
        <v>18.526315789473696</v>
      </c>
      <c r="F26" s="127">
        <v>1</v>
      </c>
      <c r="G26" s="119">
        <f t="shared" si="0"/>
        <v>18.526315789473696</v>
      </c>
      <c r="H26" s="120">
        <f t="shared" si="1"/>
        <v>18.526315789473696</v>
      </c>
      <c r="I26" s="81">
        <f>VLOOKUP(B26,All_Ingredients!$A$1:$F$151,6,FALSE())</f>
        <v>1</v>
      </c>
      <c r="J26" s="119">
        <f>VLOOKUP(B26,All_Ingredients!$A$1:$J$151,10,FALSE())</f>
        <v>31.5</v>
      </c>
      <c r="K26" s="122">
        <f t="shared" si="8"/>
        <v>1.8526315789473696E-2</v>
      </c>
      <c r="L26" s="122">
        <f t="shared" si="9"/>
        <v>0.58357894736842142</v>
      </c>
      <c r="R26" s="1423" t="s">
        <v>265</v>
      </c>
      <c r="S26" s="1388"/>
      <c r="T26" s="1388"/>
      <c r="U26" s="1388"/>
      <c r="V26" s="1151"/>
    </row>
    <row r="27" spans="1:32" ht="14.25" customHeight="1" thickBot="1" x14ac:dyDescent="0.4">
      <c r="A27" s="128"/>
      <c r="B27" s="114" t="s">
        <v>204</v>
      </c>
      <c r="C27" s="1010" t="s">
        <v>165</v>
      </c>
      <c r="D27" s="125">
        <v>20</v>
      </c>
      <c r="E27" s="197">
        <f t="shared" si="7"/>
        <v>18.526315789473696</v>
      </c>
      <c r="F27" s="127">
        <v>1</v>
      </c>
      <c r="G27" s="119">
        <f t="shared" si="0"/>
        <v>370.52631578947393</v>
      </c>
      <c r="H27" s="120">
        <f t="shared" si="1"/>
        <v>370.52631578947393</v>
      </c>
      <c r="I27" s="81">
        <f>VLOOKUP(B27,All_Ingredients!$A$1:$F$151,6,FALSE())</f>
        <v>1</v>
      </c>
      <c r="J27" s="119">
        <f>VLOOKUP(B27,All_Ingredients!$A$1:$J$151,10,FALSE())</f>
        <v>3.25</v>
      </c>
      <c r="K27" s="122">
        <f t="shared" si="8"/>
        <v>0.37052631578947393</v>
      </c>
      <c r="L27" s="122">
        <f t="shared" si="9"/>
        <v>1.2042105263157903</v>
      </c>
      <c r="R27" s="145" t="s">
        <v>266</v>
      </c>
      <c r="S27" s="146" t="s">
        <v>267</v>
      </c>
      <c r="T27" s="146" t="s">
        <v>268</v>
      </c>
      <c r="U27" s="146" t="s">
        <v>274</v>
      </c>
      <c r="V27" s="146" t="s">
        <v>839</v>
      </c>
      <c r="W27" s="146" t="s">
        <v>848</v>
      </c>
      <c r="Z27" s="141" t="s">
        <v>270</v>
      </c>
      <c r="AA27" s="1185" t="s">
        <v>324</v>
      </c>
      <c r="AB27" s="147" t="s">
        <v>271</v>
      </c>
      <c r="AC27" s="147" t="s">
        <v>272</v>
      </c>
      <c r="AD27" s="147" t="s">
        <v>273</v>
      </c>
      <c r="AE27" s="1186" t="s">
        <v>848</v>
      </c>
      <c r="AF27" s="147" t="s">
        <v>274</v>
      </c>
    </row>
    <row r="28" spans="1:32" ht="14.25" customHeight="1" thickBot="1" x14ac:dyDescent="0.35">
      <c r="A28" s="128"/>
      <c r="B28" s="114" t="s">
        <v>189</v>
      </c>
      <c r="C28" s="124" t="s">
        <v>14</v>
      </c>
      <c r="D28" s="125">
        <v>20</v>
      </c>
      <c r="E28" s="197">
        <f t="shared" si="7"/>
        <v>18.526315789473696</v>
      </c>
      <c r="F28" s="127">
        <v>1</v>
      </c>
      <c r="G28" s="119">
        <f t="shared" si="0"/>
        <v>370.52631578947393</v>
      </c>
      <c r="H28" s="120">
        <f t="shared" si="1"/>
        <v>370.52631578947393</v>
      </c>
      <c r="I28" s="81">
        <f>VLOOKUP(B28,All_Ingredients!$A$1:$F$151,6,FALSE())</f>
        <v>1</v>
      </c>
      <c r="J28" s="119">
        <f>VLOOKUP(B28,All_Ingredients!$A$1:$J$151,10,FALSE())</f>
        <v>17</v>
      </c>
      <c r="K28" s="122">
        <f t="shared" si="8"/>
        <v>0.37052631578947393</v>
      </c>
      <c r="L28" s="122">
        <f t="shared" si="9"/>
        <v>6.2989473684210564</v>
      </c>
      <c r="R28" s="148" t="s">
        <v>275</v>
      </c>
      <c r="S28" s="149">
        <f>U28*S40</f>
        <v>23999.999999999993</v>
      </c>
      <c r="T28" s="149">
        <f>U28*U40</f>
        <v>7200.0000000000073</v>
      </c>
      <c r="U28" s="150">
        <f>$Z$1</f>
        <v>31200</v>
      </c>
      <c r="V28" s="149">
        <f>SUM(AP5:AP13)</f>
        <v>2440.677966101694</v>
      </c>
      <c r="W28" s="149">
        <f>H37</f>
        <v>0</v>
      </c>
      <c r="Z28" s="151"/>
      <c r="AA28" s="1188"/>
      <c r="AB28" s="152">
        <f>AA25*$S$40</f>
        <v>26923.076923076918</v>
      </c>
      <c r="AC28" s="152">
        <f>AA25*U40</f>
        <v>8076.9230769230853</v>
      </c>
      <c r="AD28" s="153">
        <f>AA25*(1/3)</f>
        <v>11666.666666666666</v>
      </c>
      <c r="AE28" s="1188"/>
      <c r="AF28" s="154">
        <f>SUM(AB28:AD28)</f>
        <v>46666.666666666664</v>
      </c>
    </row>
    <row r="29" spans="1:32" ht="21" customHeight="1" thickBot="1" x14ac:dyDescent="0.35">
      <c r="L29" s="297"/>
      <c r="R29" s="148" t="s">
        <v>276</v>
      </c>
      <c r="S29" s="155"/>
      <c r="T29" s="149">
        <f>U28*(1/3)</f>
        <v>10400</v>
      </c>
      <c r="U29" s="149">
        <f>T29</f>
        <v>10400</v>
      </c>
      <c r="V29" s="149"/>
      <c r="W29" s="149"/>
      <c r="Z29" s="151"/>
      <c r="AA29" s="1192"/>
      <c r="AB29" s="156">
        <f>AB28/$AF$28</f>
        <v>0.57692307692307687</v>
      </c>
      <c r="AC29" s="156">
        <f>AC28/$AF$28</f>
        <v>0.17307692307692327</v>
      </c>
      <c r="AD29" s="156">
        <f>AD28/$AF$28</f>
        <v>0.25</v>
      </c>
      <c r="AE29" s="1192"/>
      <c r="AF29" s="156">
        <f>AF28/$AF$28</f>
        <v>1</v>
      </c>
    </row>
    <row r="30" spans="1:32" ht="19.25" customHeight="1" thickBot="1" x14ac:dyDescent="0.35">
      <c r="L30" s="297"/>
      <c r="R30" s="148" t="s">
        <v>277</v>
      </c>
      <c r="S30" s="1228">
        <f>U30*S40</f>
        <v>0</v>
      </c>
      <c r="T30" s="1228">
        <f>(U30*U40)+(U30*(1/3))</f>
        <v>0</v>
      </c>
      <c r="U30" s="150">
        <f>$AB$1</f>
        <v>0</v>
      </c>
      <c r="V30" s="1143"/>
      <c r="W30" s="1143"/>
      <c r="Z30" s="141" t="s">
        <v>278</v>
      </c>
      <c r="AA30" s="1244">
        <f>V35/(S32/R1)</f>
        <v>5.6543523982603304E-4</v>
      </c>
      <c r="AB30" s="157">
        <f>S35/(S32)</f>
        <v>3.3701221915648401E-2</v>
      </c>
      <c r="AC30" s="158">
        <f>T35/T32</f>
        <v>1.4355938496197514E-2</v>
      </c>
      <c r="AD30" s="158">
        <f>T35/T32</f>
        <v>1.4355938496197514E-2</v>
      </c>
      <c r="AE30" s="1199">
        <f>W35/U32</f>
        <v>0</v>
      </c>
      <c r="AF30" s="159">
        <f>SUMPRODUCT(AB30:AD30,AB29:AD29)</f>
        <v>2.5516678930496105E-2</v>
      </c>
    </row>
    <row r="31" spans="1:32" ht="14.25" customHeight="1" thickBot="1" x14ac:dyDescent="0.35">
      <c r="R31" s="148" t="s">
        <v>279</v>
      </c>
      <c r="S31" s="155"/>
      <c r="T31" s="149"/>
      <c r="U31" s="149"/>
      <c r="V31" s="149"/>
      <c r="W31" s="149"/>
    </row>
    <row r="32" spans="1:32" ht="14.25" customHeight="1" thickBot="1" x14ac:dyDescent="0.35">
      <c r="O32" s="303"/>
      <c r="R32" s="160" t="s">
        <v>269</v>
      </c>
      <c r="S32" s="149">
        <f>SUM(S28:S30)</f>
        <v>23999.999999999993</v>
      </c>
      <c r="T32" s="149">
        <f>SUM(T28:T30)</f>
        <v>17600.000000000007</v>
      </c>
      <c r="U32" s="1222">
        <f>SUM(S32:T32)</f>
        <v>41600</v>
      </c>
      <c r="V32" s="149"/>
      <c r="W32" s="149">
        <f>SUM(W28:W30)</f>
        <v>0</v>
      </c>
    </row>
    <row r="33" spans="14:23" ht="14.25" customHeight="1" thickBot="1" x14ac:dyDescent="0.35">
      <c r="O33" s="303"/>
      <c r="R33" s="161" t="s">
        <v>280</v>
      </c>
      <c r="S33" s="155"/>
      <c r="T33" s="155"/>
      <c r="U33" s="155"/>
      <c r="V33" s="155"/>
      <c r="W33" s="155"/>
    </row>
    <row r="34" spans="14:23" ht="14.25" customHeight="1" thickBot="1" x14ac:dyDescent="0.35">
      <c r="O34" s="303"/>
      <c r="R34" s="162" t="s">
        <v>281</v>
      </c>
      <c r="S34" s="155"/>
      <c r="T34" s="149"/>
      <c r="U34" s="155"/>
      <c r="V34" s="155"/>
      <c r="W34" s="155"/>
    </row>
    <row r="35" spans="14:23" ht="14.25" customHeight="1" thickBot="1" x14ac:dyDescent="0.35">
      <c r="R35" s="163" t="s">
        <v>261</v>
      </c>
      <c r="S35" s="1144">
        <f>$L$5</f>
        <v>808.82932597556135</v>
      </c>
      <c r="T35" s="1144">
        <f>SUM(L6:L28)</f>
        <v>252.66451753307635</v>
      </c>
      <c r="U35" s="1144">
        <f>S35+T35+V35</f>
        <v>1084.4945990269848</v>
      </c>
      <c r="V35" s="1144">
        <f>SUM(AT6:AT16)</f>
        <v>23.000755518347098</v>
      </c>
      <c r="W35" s="1144">
        <f>I36</f>
        <v>0</v>
      </c>
    </row>
    <row r="36" spans="14:23" ht="14.25" customHeight="1" x14ac:dyDescent="0.3">
      <c r="N36" s="303"/>
    </row>
    <row r="37" spans="14:23" ht="14.25" customHeight="1" x14ac:dyDescent="0.3">
      <c r="N37" s="303"/>
    </row>
    <row r="38" spans="14:23" ht="14.25" customHeight="1" x14ac:dyDescent="0.3">
      <c r="N38" s="303"/>
    </row>
    <row r="40" spans="14:23" ht="17.75" customHeight="1" x14ac:dyDescent="0.3">
      <c r="R40" s="165" t="s">
        <v>282</v>
      </c>
      <c r="S40" s="166">
        <v>0.76923076923076905</v>
      </c>
      <c r="T40" s="165" t="s">
        <v>283</v>
      </c>
      <c r="U40" s="167">
        <v>0.230769230769231</v>
      </c>
      <c r="V40" s="168">
        <f>S40+U40</f>
        <v>1</v>
      </c>
    </row>
    <row r="41" spans="14:23" ht="14.25" customHeight="1" x14ac:dyDescent="0.3">
      <c r="U41" s="169"/>
    </row>
    <row r="43" spans="14:23" ht="14.25" customHeight="1" x14ac:dyDescent="0.3">
      <c r="Q43" s="170" t="s">
        <v>284</v>
      </c>
      <c r="R43" s="170" t="s">
        <v>285</v>
      </c>
      <c r="S43" s="170" t="s">
        <v>286</v>
      </c>
      <c r="T43" s="170" t="s">
        <v>287</v>
      </c>
      <c r="U43" s="170" t="s">
        <v>288</v>
      </c>
      <c r="V43" s="170" t="s">
        <v>289</v>
      </c>
      <c r="W43" s="258" t="s">
        <v>290</v>
      </c>
    </row>
    <row r="44" spans="14:23" ht="14.25" customHeight="1" x14ac:dyDescent="0.3">
      <c r="Q44" s="172">
        <v>18841</v>
      </c>
      <c r="R44" s="173">
        <f>D51</f>
        <v>10000</v>
      </c>
      <c r="S44" s="174">
        <v>0.43478260000000002</v>
      </c>
      <c r="T44" s="174">
        <v>0.56521739999999998</v>
      </c>
      <c r="U44" s="242">
        <f>R44*S44</f>
        <v>4347.826</v>
      </c>
      <c r="V44" s="176">
        <f>R44*T44</f>
        <v>5652.174</v>
      </c>
      <c r="W44" s="260">
        <f>Q44-U44</f>
        <v>14493.173999999999</v>
      </c>
    </row>
    <row r="48" spans="14:23" ht="14.25" customHeight="1" x14ac:dyDescent="0.3"/>
    <row r="49" spans="1:10" ht="14.25" customHeight="1" x14ac:dyDescent="0.3"/>
    <row r="50" spans="1:10" ht="20.25" customHeight="1" x14ac:dyDescent="0.3">
      <c r="B50" s="145"/>
      <c r="C50" s="145" t="s">
        <v>245</v>
      </c>
      <c r="D50" s="145" t="s">
        <v>291</v>
      </c>
      <c r="E50" s="183"/>
      <c r="F50" s="100"/>
      <c r="G50" s="145" t="s">
        <v>292</v>
      </c>
      <c r="H50" s="145" t="s">
        <v>245</v>
      </c>
      <c r="I50" s="145" t="s">
        <v>293</v>
      </c>
      <c r="J50" s="145" t="s">
        <v>294</v>
      </c>
    </row>
    <row r="51" spans="1:10" ht="20.25" customHeight="1" x14ac:dyDescent="0.3">
      <c r="B51" s="180" t="s">
        <v>295</v>
      </c>
      <c r="C51" s="181">
        <f>10/$K$1</f>
        <v>10.526315789473685</v>
      </c>
      <c r="D51" s="182">
        <f>$C$1*10</f>
        <v>10000</v>
      </c>
      <c r="E51" s="183"/>
      <c r="F51" s="100"/>
      <c r="G51" s="180" t="s">
        <v>295</v>
      </c>
      <c r="H51" s="277">
        <f>I51/$D$5</f>
        <v>10</v>
      </c>
      <c r="I51" s="181">
        <f>J51/$R$1</f>
        <v>24564.701694915253</v>
      </c>
      <c r="J51" s="181">
        <f>$W$44</f>
        <v>14493.173999999999</v>
      </c>
    </row>
    <row r="52" spans="1:10" ht="14.25" customHeight="1" x14ac:dyDescent="0.3">
      <c r="B52" s="231" t="s">
        <v>274</v>
      </c>
      <c r="C52" s="232">
        <f>$I$1</f>
        <v>18.526315789473696</v>
      </c>
      <c r="D52" s="233">
        <f>$E$1</f>
        <v>17600.000000000007</v>
      </c>
      <c r="E52" s="100"/>
      <c r="F52" s="100"/>
      <c r="G52" s="148" t="s">
        <v>274</v>
      </c>
      <c r="H52" s="210">
        <f>I52/$D$5</f>
        <v>16.559519674572314</v>
      </c>
      <c r="I52" s="176">
        <f>J52/$R$1</f>
        <v>40677.966101694903</v>
      </c>
      <c r="J52" s="184">
        <f>$S$32</f>
        <v>23999.999999999993</v>
      </c>
    </row>
    <row r="53" spans="1:10" ht="14.25" customHeight="1" x14ac:dyDescent="0.3">
      <c r="B53" s="231" t="s">
        <v>296</v>
      </c>
      <c r="C53" s="234">
        <f>MIN(C52, C51)</f>
        <v>10.526315789473685</v>
      </c>
      <c r="D53" s="233">
        <f>(C53*$K$1)*$C$1</f>
        <v>10000</v>
      </c>
      <c r="E53" s="100"/>
      <c r="F53" s="100"/>
      <c r="G53" s="148" t="s">
        <v>296</v>
      </c>
      <c r="H53" s="187">
        <f>MIN(H52,H51)</f>
        <v>10</v>
      </c>
      <c r="I53" s="176">
        <f>J53/$R$1</f>
        <v>24564.701694915253</v>
      </c>
      <c r="J53" s="176">
        <f>MIN(J52,J51)</f>
        <v>14493.173999999999</v>
      </c>
    </row>
    <row r="54" spans="1:10" x14ac:dyDescent="0.3">
      <c r="B54" s="231" t="s">
        <v>297</v>
      </c>
      <c r="C54" s="234">
        <f>MIN(MAX(C52-C53,0),C51)</f>
        <v>8.0000000000000107</v>
      </c>
      <c r="D54" s="233">
        <f>(C54*$K$1)*$C$1</f>
        <v>7600.0000000000091</v>
      </c>
      <c r="E54" s="100"/>
      <c r="F54" s="100"/>
      <c r="G54" s="148" t="s">
        <v>297</v>
      </c>
      <c r="H54" s="187">
        <f>MIN(MAX(H52-H53),H51)</f>
        <v>6.5595196745723143</v>
      </c>
      <c r="I54" s="176">
        <f>J54/$R$1</f>
        <v>16113.264406779652</v>
      </c>
      <c r="J54" s="176">
        <f>MIN(MAX(J52-J53),J51)</f>
        <v>9506.8259999999937</v>
      </c>
    </row>
    <row r="55" spans="1:10" x14ac:dyDescent="0.3">
      <c r="B55" s="231" t="s">
        <v>298</v>
      </c>
      <c r="C55" s="234">
        <f>MIN(MAX(C52-C53-C54,0),C51)</f>
        <v>0</v>
      </c>
      <c r="D55" s="233">
        <f>(C55*$K$1)*$C$1</f>
        <v>0</v>
      </c>
      <c r="E55" s="100"/>
      <c r="F55" s="100"/>
      <c r="G55" s="145" t="s">
        <v>298</v>
      </c>
      <c r="H55" s="187">
        <f>MIN(MAX(H52-H53-H54),H51)</f>
        <v>0</v>
      </c>
      <c r="I55" s="176">
        <f>J55/$R$1</f>
        <v>0</v>
      </c>
      <c r="J55" s="176">
        <f>MIN(MAX(J52-J53-J54),J51)</f>
        <v>0</v>
      </c>
    </row>
    <row r="62" spans="1:10" ht="17.75" customHeight="1" x14ac:dyDescent="0.3">
      <c r="A62" s="937"/>
      <c r="B62" s="1413" t="str">
        <f>"دجاج بالكاري بكريمة جوز الهند 1 / " &amp; COUNTIF($C$53:$C$55, "&gt;0")</f>
        <v>دجاج بالكاري بكريمة جوز الهند 1 / 2</v>
      </c>
      <c r="C62" s="1424"/>
      <c r="D62" s="1424"/>
      <c r="E62" s="1448"/>
      <c r="F62" s="1424"/>
      <c r="G62" s="1424"/>
      <c r="H62" s="1424"/>
    </row>
    <row r="63" spans="1:10" ht="17.75" customHeight="1" x14ac:dyDescent="0.3">
      <c r="A63" s="937"/>
      <c r="B63" s="1382" t="str">
        <f>"Coconut Chicken  1 / " &amp; COUNTIF(C$53:$C$55, "&gt;0")</f>
        <v>Coconut Chicken  1 / 2</v>
      </c>
      <c r="C63" s="1383"/>
      <c r="D63" s="1383"/>
      <c r="E63" s="1383"/>
      <c r="F63" s="1383"/>
      <c r="G63" s="1383"/>
      <c r="H63" s="1383"/>
    </row>
    <row r="64" spans="1:10" ht="36.75" customHeight="1" x14ac:dyDescent="0.25">
      <c r="A64" s="91"/>
      <c r="B64" s="91" t="s">
        <v>253</v>
      </c>
      <c r="C64" s="107" t="s">
        <v>254</v>
      </c>
      <c r="D64" s="91" t="s">
        <v>243</v>
      </c>
      <c r="E64" s="108" t="s">
        <v>246</v>
      </c>
      <c r="F64" s="108" t="s">
        <v>255</v>
      </c>
      <c r="G64" s="91" t="s">
        <v>256</v>
      </c>
      <c r="H64" s="109" t="s">
        <v>257</v>
      </c>
    </row>
    <row r="65" spans="1:8" ht="14.25" customHeight="1" x14ac:dyDescent="0.3">
      <c r="A65" s="128" t="s">
        <v>230</v>
      </c>
      <c r="B65" s="123" t="str">
        <f t="shared" ref="B65:B88" si="12">B5</f>
        <v>Chicken - دجاج</v>
      </c>
      <c r="C65" s="123" t="str">
        <f t="shared" ref="C65:D88" si="13">C5</f>
        <v>gm</v>
      </c>
      <c r="D65" s="279">
        <f>D5</f>
        <v>2456.4701694915252</v>
      </c>
      <c r="E65" s="116">
        <f>H53</f>
        <v>10</v>
      </c>
      <c r="F65" s="127">
        <f t="shared" ref="F65:F88" si="14">F5</f>
        <v>1</v>
      </c>
      <c r="G65" s="119">
        <f t="shared" ref="G65:G88" si="15">D65*E65</f>
        <v>24564.701694915253</v>
      </c>
      <c r="H65" s="120">
        <f t="shared" ref="H65:H88" si="16">G65*F65</f>
        <v>24564.701694915253</v>
      </c>
    </row>
    <row r="66" spans="1:8" ht="14.25" customHeight="1" x14ac:dyDescent="0.3">
      <c r="A66" s="128" t="s">
        <v>97</v>
      </c>
      <c r="B66" s="123" t="str">
        <f t="shared" si="12"/>
        <v>Fennel Seeds - شمر حب</v>
      </c>
      <c r="C66" s="123" t="str">
        <f t="shared" si="13"/>
        <v>gm</v>
      </c>
      <c r="D66" s="123">
        <f t="shared" si="13"/>
        <v>2</v>
      </c>
      <c r="E66" s="116">
        <f t="shared" ref="E66:E88" si="17">$C$53</f>
        <v>10.526315789473685</v>
      </c>
      <c r="F66" s="127">
        <f t="shared" si="14"/>
        <v>1</v>
      </c>
      <c r="G66" s="119">
        <f t="shared" si="15"/>
        <v>21.05263157894737</v>
      </c>
      <c r="H66" s="120">
        <f t="shared" si="16"/>
        <v>21.05263157894737</v>
      </c>
    </row>
    <row r="67" spans="1:8" ht="14.25" customHeight="1" x14ac:dyDescent="0.3">
      <c r="A67" s="128" t="s">
        <v>97</v>
      </c>
      <c r="B67" s="123" t="str">
        <f t="shared" si="12"/>
        <v>Cumin Whole - كمون حب</v>
      </c>
      <c r="C67" s="123" t="str">
        <f t="shared" si="13"/>
        <v>gm</v>
      </c>
      <c r="D67" s="123">
        <f t="shared" si="13"/>
        <v>1</v>
      </c>
      <c r="E67" s="116">
        <f t="shared" si="17"/>
        <v>10.526315789473685</v>
      </c>
      <c r="F67" s="127">
        <f t="shared" si="14"/>
        <v>1</v>
      </c>
      <c r="G67" s="119">
        <f t="shared" si="15"/>
        <v>10.526315789473685</v>
      </c>
      <c r="H67" s="120">
        <f t="shared" si="16"/>
        <v>10.526315789473685</v>
      </c>
    </row>
    <row r="68" spans="1:8" ht="14.25" customHeight="1" x14ac:dyDescent="0.3">
      <c r="A68" s="128" t="s">
        <v>97</v>
      </c>
      <c r="B68" s="123" t="str">
        <f t="shared" si="12"/>
        <v>Cardamom Whole - هيل حب</v>
      </c>
      <c r="C68" s="123" t="str">
        <f t="shared" si="13"/>
        <v>gm</v>
      </c>
      <c r="D68" s="123">
        <f t="shared" si="13"/>
        <v>1</v>
      </c>
      <c r="E68" s="116">
        <f t="shared" si="17"/>
        <v>10.526315789473685</v>
      </c>
      <c r="F68" s="127">
        <f t="shared" si="14"/>
        <v>1</v>
      </c>
      <c r="G68" s="119">
        <f t="shared" si="15"/>
        <v>10.526315789473685</v>
      </c>
      <c r="H68" s="120">
        <f t="shared" si="16"/>
        <v>10.526315789473685</v>
      </c>
    </row>
    <row r="69" spans="1:8" ht="14.25" customHeight="1" x14ac:dyDescent="0.3">
      <c r="A69" s="128" t="s">
        <v>97</v>
      </c>
      <c r="B69" s="123" t="str">
        <f t="shared" si="12"/>
        <v>Cinnamon Powder - قرفة مطحونة</v>
      </c>
      <c r="C69" s="123" t="str">
        <f t="shared" si="13"/>
        <v>gm</v>
      </c>
      <c r="D69" s="123">
        <f t="shared" si="13"/>
        <v>1</v>
      </c>
      <c r="E69" s="116">
        <f t="shared" si="17"/>
        <v>10.526315789473685</v>
      </c>
      <c r="F69" s="127">
        <f t="shared" si="14"/>
        <v>1</v>
      </c>
      <c r="G69" s="119">
        <f t="shared" si="15"/>
        <v>10.526315789473685</v>
      </c>
      <c r="H69" s="120">
        <f t="shared" si="16"/>
        <v>10.526315789473685</v>
      </c>
    </row>
    <row r="70" spans="1:8" ht="14.25" customHeight="1" x14ac:dyDescent="0.3">
      <c r="A70" s="128" t="s">
        <v>13</v>
      </c>
      <c r="B70" s="123" t="str">
        <f t="shared" si="12"/>
        <v>Onion - بصل</v>
      </c>
      <c r="C70" s="123" t="str">
        <f t="shared" si="13"/>
        <v>gm</v>
      </c>
      <c r="D70" s="123">
        <f t="shared" si="13"/>
        <v>350</v>
      </c>
      <c r="E70" s="116">
        <f t="shared" si="17"/>
        <v>10.526315789473685</v>
      </c>
      <c r="F70" s="127">
        <f t="shared" si="14"/>
        <v>0.95</v>
      </c>
      <c r="G70" s="119">
        <f t="shared" si="15"/>
        <v>3684.2105263157896</v>
      </c>
      <c r="H70" s="120">
        <f t="shared" si="16"/>
        <v>3500</v>
      </c>
    </row>
    <row r="71" spans="1:8" ht="14.25" customHeight="1" x14ac:dyDescent="0.3">
      <c r="A71" s="128" t="s">
        <v>158</v>
      </c>
      <c r="B71" s="123" t="str">
        <f t="shared" si="12"/>
        <v>Coconut Milk - حليب جوز الهند</v>
      </c>
      <c r="C71" s="123" t="str">
        <f t="shared" si="13"/>
        <v>ml</v>
      </c>
      <c r="D71" s="123">
        <f t="shared" si="13"/>
        <v>300</v>
      </c>
      <c r="E71" s="116">
        <f t="shared" si="17"/>
        <v>10.526315789473685</v>
      </c>
      <c r="F71" s="127">
        <f t="shared" si="14"/>
        <v>0.9</v>
      </c>
      <c r="G71" s="119">
        <f t="shared" si="15"/>
        <v>3157.8947368421054</v>
      </c>
      <c r="H71" s="120">
        <f t="shared" si="16"/>
        <v>2842.105263157895</v>
      </c>
    </row>
    <row r="72" spans="1:8" ht="14.25" customHeight="1" x14ac:dyDescent="0.3">
      <c r="A72" s="128" t="s">
        <v>13</v>
      </c>
      <c r="B72" s="123" t="str">
        <f t="shared" si="12"/>
        <v>Fresh Coconut - جوز هند طازج</v>
      </c>
      <c r="C72" s="123" t="str">
        <f t="shared" si="13"/>
        <v>gm</v>
      </c>
      <c r="D72" s="123">
        <f t="shared" si="13"/>
        <v>200</v>
      </c>
      <c r="E72" s="116">
        <f t="shared" si="17"/>
        <v>10.526315789473685</v>
      </c>
      <c r="F72" s="127">
        <f t="shared" si="14"/>
        <v>0.8</v>
      </c>
      <c r="G72" s="119">
        <f t="shared" si="15"/>
        <v>2105.2631578947371</v>
      </c>
      <c r="H72" s="120">
        <f t="shared" si="16"/>
        <v>1684.2105263157898</v>
      </c>
    </row>
    <row r="73" spans="1:8" ht="14.25" customHeight="1" x14ac:dyDescent="0.3">
      <c r="A73" s="128" t="s">
        <v>13</v>
      </c>
      <c r="B73" s="123" t="str">
        <f t="shared" si="12"/>
        <v>Garlic - ثوم مقشر</v>
      </c>
      <c r="C73" s="123" t="str">
        <f t="shared" si="13"/>
        <v>gm</v>
      </c>
      <c r="D73" s="123">
        <f t="shared" si="13"/>
        <v>25</v>
      </c>
      <c r="E73" s="116">
        <f t="shared" si="17"/>
        <v>10.526315789473685</v>
      </c>
      <c r="F73" s="127">
        <f t="shared" si="14"/>
        <v>0.95</v>
      </c>
      <c r="G73" s="119">
        <f t="shared" si="15"/>
        <v>263.15789473684214</v>
      </c>
      <c r="H73" s="120">
        <f t="shared" si="16"/>
        <v>250.00000000000003</v>
      </c>
    </row>
    <row r="74" spans="1:8" ht="14.25" customHeight="1" x14ac:dyDescent="0.3">
      <c r="A74" s="128" t="s">
        <v>97</v>
      </c>
      <c r="B74" s="123" t="str">
        <f t="shared" si="12"/>
        <v>Kashmiri Red Chilli Whole - فلفل كشميري أحمر كامل</v>
      </c>
      <c r="C74" s="123" t="str">
        <f t="shared" si="13"/>
        <v>gm</v>
      </c>
      <c r="D74" s="123">
        <f t="shared" si="13"/>
        <v>10</v>
      </c>
      <c r="E74" s="116">
        <f t="shared" si="17"/>
        <v>10.526315789473685</v>
      </c>
      <c r="F74" s="127">
        <f t="shared" si="14"/>
        <v>0.75</v>
      </c>
      <c r="G74" s="119">
        <f t="shared" si="15"/>
        <v>105.26315789473685</v>
      </c>
      <c r="H74" s="120">
        <f t="shared" si="16"/>
        <v>78.94736842105263</v>
      </c>
    </row>
    <row r="75" spans="1:8" ht="14.25" customHeight="1" x14ac:dyDescent="0.3">
      <c r="A75" s="128" t="s">
        <v>220</v>
      </c>
      <c r="B75" s="123" t="str">
        <f t="shared" si="12"/>
        <v>Orange Color - لون برتقالي</v>
      </c>
      <c r="C75" s="123" t="str">
        <f t="shared" si="13"/>
        <v>gm</v>
      </c>
      <c r="D75" s="123">
        <f t="shared" si="13"/>
        <v>2</v>
      </c>
      <c r="E75" s="116">
        <f t="shared" si="17"/>
        <v>10.526315789473685</v>
      </c>
      <c r="F75" s="127">
        <f t="shared" si="14"/>
        <v>1</v>
      </c>
      <c r="G75" s="119">
        <f t="shared" si="15"/>
        <v>21.05263157894737</v>
      </c>
      <c r="H75" s="120">
        <f t="shared" si="16"/>
        <v>21.05263157894737</v>
      </c>
    </row>
    <row r="76" spans="1:8" ht="14.25" customHeight="1" x14ac:dyDescent="0.3">
      <c r="A76" s="128" t="s">
        <v>97</v>
      </c>
      <c r="B76" s="123" t="str">
        <f t="shared" si="12"/>
        <v>Salt - ملح</v>
      </c>
      <c r="C76" s="123" t="str">
        <f t="shared" si="13"/>
        <v>gm</v>
      </c>
      <c r="D76" s="123">
        <f t="shared" si="13"/>
        <v>11</v>
      </c>
      <c r="E76" s="116">
        <f t="shared" si="17"/>
        <v>10.526315789473685</v>
      </c>
      <c r="F76" s="127">
        <f t="shared" si="14"/>
        <v>0.75</v>
      </c>
      <c r="G76" s="119">
        <f t="shared" si="15"/>
        <v>115.78947368421053</v>
      </c>
      <c r="H76" s="120">
        <f t="shared" si="16"/>
        <v>86.842105263157904</v>
      </c>
    </row>
    <row r="77" spans="1:8" ht="14.25" customHeight="1" x14ac:dyDescent="0.3">
      <c r="A77" s="128" t="s">
        <v>210</v>
      </c>
      <c r="B77" s="123" t="str">
        <f t="shared" si="12"/>
        <v>Water - ماء</v>
      </c>
      <c r="C77" s="123" t="str">
        <f t="shared" si="13"/>
        <v>ml</v>
      </c>
      <c r="D77" s="123">
        <f t="shared" si="13"/>
        <v>500</v>
      </c>
      <c r="E77" s="116">
        <f t="shared" si="17"/>
        <v>10.526315789473685</v>
      </c>
      <c r="F77" s="127">
        <f t="shared" si="14"/>
        <v>0.75</v>
      </c>
      <c r="G77" s="119">
        <f t="shared" si="15"/>
        <v>5263.1578947368425</v>
      </c>
      <c r="H77" s="120">
        <f t="shared" si="16"/>
        <v>3947.3684210526317</v>
      </c>
    </row>
    <row r="78" spans="1:8" ht="14.25" customHeight="1" x14ac:dyDescent="0.3">
      <c r="A78" s="128" t="s">
        <v>63</v>
      </c>
      <c r="B78" s="123" t="str">
        <f t="shared" si="12"/>
        <v>Curry Leaves - أوراق الكاري</v>
      </c>
      <c r="C78" s="123" t="str">
        <f t="shared" si="13"/>
        <v>gm</v>
      </c>
      <c r="D78" s="123">
        <f t="shared" si="13"/>
        <v>3</v>
      </c>
      <c r="E78" s="116">
        <f t="shared" si="17"/>
        <v>10.526315789473685</v>
      </c>
      <c r="F78" s="127">
        <f t="shared" si="14"/>
        <v>1</v>
      </c>
      <c r="G78" s="119">
        <f t="shared" si="15"/>
        <v>31.578947368421055</v>
      </c>
      <c r="H78" s="120">
        <f t="shared" si="16"/>
        <v>31.578947368421055</v>
      </c>
    </row>
    <row r="79" spans="1:8" ht="14.25" customHeight="1" x14ac:dyDescent="0.3">
      <c r="A79" s="128" t="s">
        <v>63</v>
      </c>
      <c r="B79" s="123" t="str">
        <f t="shared" si="12"/>
        <v>Coriander Leaves - كزبرة خضراء</v>
      </c>
      <c r="C79" s="123" t="str">
        <f t="shared" si="13"/>
        <v>gm</v>
      </c>
      <c r="D79" s="123">
        <f t="shared" si="13"/>
        <v>10</v>
      </c>
      <c r="E79" s="116">
        <f t="shared" si="17"/>
        <v>10.526315789473685</v>
      </c>
      <c r="F79" s="127">
        <f t="shared" si="14"/>
        <v>1</v>
      </c>
      <c r="G79" s="119">
        <f t="shared" si="15"/>
        <v>105.26315789473685</v>
      </c>
      <c r="H79" s="120">
        <f t="shared" si="16"/>
        <v>105.26315789473685</v>
      </c>
    </row>
    <row r="80" spans="1:8" ht="14.25" customHeight="1" x14ac:dyDescent="0.3">
      <c r="A80" s="128" t="s">
        <v>158</v>
      </c>
      <c r="B80" s="123" t="str">
        <f t="shared" si="12"/>
        <v>Butter - زبدة</v>
      </c>
      <c r="C80" s="123" t="str">
        <f t="shared" si="13"/>
        <v>gm</v>
      </c>
      <c r="D80" s="123">
        <f t="shared" si="13"/>
        <v>50</v>
      </c>
      <c r="E80" s="116">
        <f t="shared" si="17"/>
        <v>10.526315789473685</v>
      </c>
      <c r="F80" s="127">
        <f t="shared" si="14"/>
        <v>1</v>
      </c>
      <c r="G80" s="119">
        <f t="shared" si="15"/>
        <v>526.31578947368428</v>
      </c>
      <c r="H80" s="120">
        <f t="shared" si="16"/>
        <v>526.31578947368428</v>
      </c>
    </row>
    <row r="81" spans="1:8" ht="14.25" customHeight="1" x14ac:dyDescent="0.3">
      <c r="A81" s="128" t="s">
        <v>97</v>
      </c>
      <c r="B81" s="123" t="str">
        <f t="shared" si="12"/>
        <v>Cloves Whole - قرنفل حب</v>
      </c>
      <c r="C81" s="123" t="str">
        <f t="shared" si="13"/>
        <v>gm</v>
      </c>
      <c r="D81" s="123">
        <f t="shared" si="13"/>
        <v>1</v>
      </c>
      <c r="E81" s="116">
        <f t="shared" si="17"/>
        <v>10.526315789473685</v>
      </c>
      <c r="F81" s="127">
        <f t="shared" si="14"/>
        <v>1</v>
      </c>
      <c r="G81" s="119">
        <f t="shared" si="15"/>
        <v>10.526315789473685</v>
      </c>
      <c r="H81" s="120">
        <f t="shared" si="16"/>
        <v>10.526315789473685</v>
      </c>
    </row>
    <row r="82" spans="1:8" ht="14.25" customHeight="1" x14ac:dyDescent="0.3">
      <c r="A82" s="128" t="s">
        <v>63</v>
      </c>
      <c r="B82" s="123" t="str">
        <f t="shared" si="12"/>
        <v>Coriander Powder - كزبرة مطحونة</v>
      </c>
      <c r="C82" s="123" t="str">
        <f t="shared" si="13"/>
        <v>gm</v>
      </c>
      <c r="D82" s="123">
        <f t="shared" si="13"/>
        <v>15</v>
      </c>
      <c r="E82" s="116">
        <f t="shared" si="17"/>
        <v>10.526315789473685</v>
      </c>
      <c r="F82" s="127">
        <f t="shared" si="14"/>
        <v>1</v>
      </c>
      <c r="G82" s="119">
        <f t="shared" si="15"/>
        <v>157.89473684210526</v>
      </c>
      <c r="H82" s="120">
        <f t="shared" si="16"/>
        <v>157.89473684210526</v>
      </c>
    </row>
    <row r="83" spans="1:8" ht="14.25" customHeight="1" x14ac:dyDescent="0.3">
      <c r="A83" s="128" t="s">
        <v>158</v>
      </c>
      <c r="B83" s="123" t="str">
        <f t="shared" si="12"/>
        <v>Cumin Powder - كمون مطحون</v>
      </c>
      <c r="C83" s="123" t="str">
        <f t="shared" si="13"/>
        <v>gm</v>
      </c>
      <c r="D83" s="123">
        <f t="shared" si="13"/>
        <v>2</v>
      </c>
      <c r="E83" s="116">
        <f t="shared" si="17"/>
        <v>10.526315789473685</v>
      </c>
      <c r="F83" s="127">
        <f t="shared" si="14"/>
        <v>1</v>
      </c>
      <c r="G83" s="119">
        <f t="shared" si="15"/>
        <v>21.05263157894737</v>
      </c>
      <c r="H83" s="120">
        <f t="shared" si="16"/>
        <v>21.05263157894737</v>
      </c>
    </row>
    <row r="84" spans="1:8" ht="14.25" customHeight="1" x14ac:dyDescent="0.3">
      <c r="A84" s="128" t="s">
        <v>97</v>
      </c>
      <c r="B84" s="123" t="str">
        <f t="shared" si="12"/>
        <v>Turmeric - كركم</v>
      </c>
      <c r="C84" s="123" t="str">
        <f t="shared" si="13"/>
        <v>gm</v>
      </c>
      <c r="D84" s="123">
        <f t="shared" si="13"/>
        <v>1</v>
      </c>
      <c r="E84" s="116">
        <f t="shared" si="17"/>
        <v>10.526315789473685</v>
      </c>
      <c r="F84" s="127">
        <f t="shared" si="14"/>
        <v>1</v>
      </c>
      <c r="G84" s="119">
        <f t="shared" si="15"/>
        <v>10.526315789473685</v>
      </c>
      <c r="H84" s="120">
        <f t="shared" si="16"/>
        <v>10.526315789473685</v>
      </c>
    </row>
    <row r="85" spans="1:8" ht="14.25" customHeight="1" x14ac:dyDescent="0.3">
      <c r="A85" s="128" t="s">
        <v>63</v>
      </c>
      <c r="B85" s="123" t="str">
        <f t="shared" si="12"/>
        <v>Lemon Juice - عصير ليمون</v>
      </c>
      <c r="C85" s="123" t="str">
        <f t="shared" si="13"/>
        <v>ml</v>
      </c>
      <c r="D85" s="123">
        <f t="shared" si="13"/>
        <v>20</v>
      </c>
      <c r="E85" s="116">
        <f t="shared" si="17"/>
        <v>10.526315789473685</v>
      </c>
      <c r="F85" s="127">
        <f t="shared" si="14"/>
        <v>1</v>
      </c>
      <c r="G85" s="119">
        <f t="shared" si="15"/>
        <v>210.5263157894737</v>
      </c>
      <c r="H85" s="120">
        <f t="shared" si="16"/>
        <v>210.5263157894737</v>
      </c>
    </row>
    <row r="86" spans="1:8" ht="14.25" customHeight="1" x14ac:dyDescent="0.3">
      <c r="A86" s="128" t="s">
        <v>158</v>
      </c>
      <c r="B86" s="123" t="str">
        <f t="shared" si="12"/>
        <v>Star Anise - ينسون نجمي</v>
      </c>
      <c r="C86" s="123" t="str">
        <f t="shared" si="13"/>
        <v>gm</v>
      </c>
      <c r="D86" s="123">
        <f t="shared" si="13"/>
        <v>1</v>
      </c>
      <c r="E86" s="116">
        <f t="shared" si="17"/>
        <v>10.526315789473685</v>
      </c>
      <c r="F86" s="127">
        <f t="shared" si="14"/>
        <v>1</v>
      </c>
      <c r="G86" s="119">
        <f t="shared" si="15"/>
        <v>10.526315789473685</v>
      </c>
      <c r="H86" s="120">
        <f t="shared" si="16"/>
        <v>10.526315789473685</v>
      </c>
    </row>
    <row r="87" spans="1:8" ht="14.25" customHeight="1" x14ac:dyDescent="0.3">
      <c r="A87" s="128" t="s">
        <v>97</v>
      </c>
      <c r="B87" s="123" t="str">
        <f t="shared" si="12"/>
        <v>Tomato Ketchup - كاتشب طماطم</v>
      </c>
      <c r="C87" s="123" t="str">
        <f t="shared" si="13"/>
        <v>ml</v>
      </c>
      <c r="D87" s="123">
        <f t="shared" si="13"/>
        <v>20</v>
      </c>
      <c r="E87" s="116">
        <f t="shared" si="17"/>
        <v>10.526315789473685</v>
      </c>
      <c r="F87" s="127">
        <f t="shared" si="14"/>
        <v>1</v>
      </c>
      <c r="G87" s="119">
        <f t="shared" si="15"/>
        <v>210.5263157894737</v>
      </c>
      <c r="H87" s="120">
        <f t="shared" si="16"/>
        <v>210.5263157894737</v>
      </c>
    </row>
    <row r="88" spans="1:8" ht="14.25" customHeight="1" x14ac:dyDescent="0.3">
      <c r="A88" s="128" t="s">
        <v>63</v>
      </c>
      <c r="B88" s="123" t="str">
        <f t="shared" si="12"/>
        <v>Honey - عسل</v>
      </c>
      <c r="C88" s="123" t="str">
        <f t="shared" si="13"/>
        <v>gm</v>
      </c>
      <c r="D88" s="123">
        <f t="shared" si="13"/>
        <v>20</v>
      </c>
      <c r="E88" s="116">
        <f t="shared" si="17"/>
        <v>10.526315789473685</v>
      </c>
      <c r="F88" s="127">
        <f t="shared" si="14"/>
        <v>1</v>
      </c>
      <c r="G88" s="119">
        <f t="shared" si="15"/>
        <v>210.5263157894737</v>
      </c>
      <c r="H88" s="120">
        <f t="shared" si="16"/>
        <v>210.5263157894737</v>
      </c>
    </row>
    <row r="89" spans="1:8" ht="18" x14ac:dyDescent="0.3">
      <c r="A89" s="211"/>
      <c r="B89" s="198" t="s">
        <v>299</v>
      </c>
      <c r="C89" s="200" t="s">
        <v>285</v>
      </c>
      <c r="E89" s="200" t="s">
        <v>300</v>
      </c>
      <c r="G89" s="890" t="s">
        <v>276</v>
      </c>
      <c r="H89" s="890" t="s">
        <v>733</v>
      </c>
    </row>
    <row r="90" spans="1:8" ht="20.25" customHeight="1" x14ac:dyDescent="0.4">
      <c r="A90" s="211"/>
      <c r="B90" s="199">
        <f>$J$53</f>
        <v>14493.173999999999</v>
      </c>
      <c r="C90" s="199">
        <f>E90+G90</f>
        <v>10000</v>
      </c>
      <c r="D90" s="930"/>
      <c r="E90" s="199">
        <f>$D$53*$S$44</f>
        <v>4347.826</v>
      </c>
      <c r="F90" s="934"/>
      <c r="G90" s="199">
        <f>$D$53*$T$44</f>
        <v>5652.174</v>
      </c>
      <c r="H90" s="199">
        <f>B90+E90</f>
        <v>18841</v>
      </c>
    </row>
    <row r="93" spans="1:8" ht="17.75" customHeight="1" x14ac:dyDescent="0.3">
      <c r="A93" s="937"/>
      <c r="B93" s="1413" t="str">
        <f>"دجاج بالكاري بكريمة جوز الهند  2 / " &amp; COUNTIF($C$53:$C$55, "&gt;0")</f>
        <v>دجاج بالكاري بكريمة جوز الهند  2 / 2</v>
      </c>
      <c r="C93" s="1424"/>
      <c r="D93" s="1424"/>
      <c r="E93" s="1448"/>
      <c r="F93" s="1424"/>
      <c r="G93" s="1424"/>
      <c r="H93" s="1424"/>
    </row>
    <row r="94" spans="1:8" ht="17.75" customHeight="1" x14ac:dyDescent="0.3">
      <c r="A94" s="937"/>
      <c r="B94" s="1382" t="str">
        <f>"Coconut Chicken  2 / " &amp; COUNTIF(C$53:$C$55, "&gt;0")</f>
        <v>Coconut Chicken  2 / 2</v>
      </c>
      <c r="C94" s="1383"/>
      <c r="D94" s="1383"/>
      <c r="E94" s="1383"/>
      <c r="F94" s="1383"/>
      <c r="G94" s="1383"/>
      <c r="H94" s="1383"/>
    </row>
    <row r="95" spans="1:8" ht="36.75" customHeight="1" x14ac:dyDescent="0.25">
      <c r="A95" s="91"/>
      <c r="B95" s="91" t="s">
        <v>253</v>
      </c>
      <c r="C95" s="107" t="s">
        <v>254</v>
      </c>
      <c r="D95" s="91" t="s">
        <v>243</v>
      </c>
      <c r="E95" s="108" t="s">
        <v>246</v>
      </c>
      <c r="F95" s="108" t="s">
        <v>255</v>
      </c>
      <c r="G95" s="91" t="s">
        <v>256</v>
      </c>
      <c r="H95" s="109" t="s">
        <v>257</v>
      </c>
    </row>
    <row r="96" spans="1:8" ht="14.25" customHeight="1" x14ac:dyDescent="0.3">
      <c r="A96" s="128" t="s">
        <v>230</v>
      </c>
      <c r="B96" s="123" t="str">
        <f t="shared" ref="B96:D119" si="18">B5</f>
        <v>Chicken - دجاج</v>
      </c>
      <c r="C96" s="123" t="str">
        <f t="shared" si="18"/>
        <v>gm</v>
      </c>
      <c r="D96" s="279">
        <f t="shared" si="18"/>
        <v>2456.4701694915252</v>
      </c>
      <c r="E96" s="197">
        <f>H54</f>
        <v>6.5595196745723143</v>
      </c>
      <c r="F96" s="127">
        <f t="shared" ref="F96:F119" si="19">F5</f>
        <v>1</v>
      </c>
      <c r="G96" s="121">
        <f t="shared" ref="G96:G119" si="20">D96*E96</f>
        <v>16113.264406779646</v>
      </c>
      <c r="H96" s="120">
        <f t="shared" ref="H96:H119" si="21">G96*F96</f>
        <v>16113.264406779646</v>
      </c>
    </row>
    <row r="97" spans="1:8" ht="14.25" customHeight="1" x14ac:dyDescent="0.3">
      <c r="A97" s="128" t="s">
        <v>97</v>
      </c>
      <c r="B97" s="123" t="str">
        <f t="shared" si="18"/>
        <v>Fennel Seeds - شمر حب</v>
      </c>
      <c r="C97" s="123" t="str">
        <f t="shared" si="18"/>
        <v>gm</v>
      </c>
      <c r="D97" s="123">
        <f t="shared" si="18"/>
        <v>2</v>
      </c>
      <c r="E97" s="197">
        <f t="shared" ref="E97:E119" si="22">$C$54</f>
        <v>8.0000000000000107</v>
      </c>
      <c r="F97" s="127">
        <f t="shared" si="19"/>
        <v>1</v>
      </c>
      <c r="G97" s="121">
        <f t="shared" si="20"/>
        <v>16.000000000000021</v>
      </c>
      <c r="H97" s="120">
        <f t="shared" si="21"/>
        <v>16.000000000000021</v>
      </c>
    </row>
    <row r="98" spans="1:8" ht="14.25" customHeight="1" x14ac:dyDescent="0.3">
      <c r="A98" s="128" t="s">
        <v>97</v>
      </c>
      <c r="B98" s="123" t="str">
        <f t="shared" si="18"/>
        <v>Cumin Whole - كمون حب</v>
      </c>
      <c r="C98" s="123" t="str">
        <f t="shared" si="18"/>
        <v>gm</v>
      </c>
      <c r="D98" s="123">
        <f t="shared" si="18"/>
        <v>1</v>
      </c>
      <c r="E98" s="197">
        <f t="shared" si="22"/>
        <v>8.0000000000000107</v>
      </c>
      <c r="F98" s="127">
        <f t="shared" si="19"/>
        <v>1</v>
      </c>
      <c r="G98" s="121">
        <f t="shared" si="20"/>
        <v>8.0000000000000107</v>
      </c>
      <c r="H98" s="120">
        <f t="shared" si="21"/>
        <v>8.0000000000000107</v>
      </c>
    </row>
    <row r="99" spans="1:8" ht="14.25" customHeight="1" x14ac:dyDescent="0.3">
      <c r="A99" s="128" t="s">
        <v>97</v>
      </c>
      <c r="B99" s="123" t="str">
        <f t="shared" si="18"/>
        <v>Cardamom Whole - هيل حب</v>
      </c>
      <c r="C99" s="123" t="str">
        <f t="shared" si="18"/>
        <v>gm</v>
      </c>
      <c r="D99" s="123">
        <f t="shared" si="18"/>
        <v>1</v>
      </c>
      <c r="E99" s="197">
        <f t="shared" si="22"/>
        <v>8.0000000000000107</v>
      </c>
      <c r="F99" s="127">
        <f t="shared" si="19"/>
        <v>1</v>
      </c>
      <c r="G99" s="121">
        <f t="shared" si="20"/>
        <v>8.0000000000000107</v>
      </c>
      <c r="H99" s="120">
        <f t="shared" si="21"/>
        <v>8.0000000000000107</v>
      </c>
    </row>
    <row r="100" spans="1:8" ht="14.25" customHeight="1" x14ac:dyDescent="0.3">
      <c r="A100" s="128" t="s">
        <v>97</v>
      </c>
      <c r="B100" s="123" t="str">
        <f t="shared" si="18"/>
        <v>Cinnamon Powder - قرفة مطحونة</v>
      </c>
      <c r="C100" s="123" t="str">
        <f t="shared" si="18"/>
        <v>gm</v>
      </c>
      <c r="D100" s="123">
        <f t="shared" si="18"/>
        <v>1</v>
      </c>
      <c r="E100" s="197">
        <f t="shared" si="22"/>
        <v>8.0000000000000107</v>
      </c>
      <c r="F100" s="127">
        <f t="shared" si="19"/>
        <v>1</v>
      </c>
      <c r="G100" s="121">
        <f t="shared" si="20"/>
        <v>8.0000000000000107</v>
      </c>
      <c r="H100" s="120">
        <f t="shared" si="21"/>
        <v>8.0000000000000107</v>
      </c>
    </row>
    <row r="101" spans="1:8" ht="14.25" customHeight="1" x14ac:dyDescent="0.3">
      <c r="A101" s="128" t="s">
        <v>13</v>
      </c>
      <c r="B101" s="123" t="str">
        <f t="shared" si="18"/>
        <v>Onion - بصل</v>
      </c>
      <c r="C101" s="123" t="str">
        <f t="shared" si="18"/>
        <v>gm</v>
      </c>
      <c r="D101" s="123">
        <f t="shared" si="18"/>
        <v>350</v>
      </c>
      <c r="E101" s="197">
        <f t="shared" si="22"/>
        <v>8.0000000000000107</v>
      </c>
      <c r="F101" s="127">
        <f t="shared" si="19"/>
        <v>0.95</v>
      </c>
      <c r="G101" s="121">
        <f t="shared" si="20"/>
        <v>2800.0000000000036</v>
      </c>
      <c r="H101" s="120">
        <f t="shared" si="21"/>
        <v>2660.0000000000032</v>
      </c>
    </row>
    <row r="102" spans="1:8" ht="14.25" customHeight="1" x14ac:dyDescent="0.3">
      <c r="A102" s="128" t="s">
        <v>158</v>
      </c>
      <c r="B102" s="123" t="str">
        <f t="shared" si="18"/>
        <v>Coconut Milk - حليب جوز الهند</v>
      </c>
      <c r="C102" s="123" t="str">
        <f t="shared" si="18"/>
        <v>ml</v>
      </c>
      <c r="D102" s="123">
        <f t="shared" si="18"/>
        <v>300</v>
      </c>
      <c r="E102" s="197">
        <f t="shared" si="22"/>
        <v>8.0000000000000107</v>
      </c>
      <c r="F102" s="127">
        <f t="shared" si="19"/>
        <v>0.9</v>
      </c>
      <c r="G102" s="121">
        <f t="shared" si="20"/>
        <v>2400.0000000000032</v>
      </c>
      <c r="H102" s="120">
        <f t="shared" si="21"/>
        <v>2160.0000000000027</v>
      </c>
    </row>
    <row r="103" spans="1:8" ht="14.25" customHeight="1" x14ac:dyDescent="0.3">
      <c r="A103" s="128" t="s">
        <v>13</v>
      </c>
      <c r="B103" s="123" t="str">
        <f t="shared" si="18"/>
        <v>Fresh Coconut - جوز هند طازج</v>
      </c>
      <c r="C103" s="123" t="str">
        <f t="shared" si="18"/>
        <v>gm</v>
      </c>
      <c r="D103" s="123">
        <f t="shared" si="18"/>
        <v>200</v>
      </c>
      <c r="E103" s="197">
        <f t="shared" si="22"/>
        <v>8.0000000000000107</v>
      </c>
      <c r="F103" s="127">
        <f t="shared" si="19"/>
        <v>0.8</v>
      </c>
      <c r="G103" s="121">
        <f t="shared" si="20"/>
        <v>1600.000000000002</v>
      </c>
      <c r="H103" s="120">
        <f t="shared" si="21"/>
        <v>1280.0000000000018</v>
      </c>
    </row>
    <row r="104" spans="1:8" ht="14.25" customHeight="1" x14ac:dyDescent="0.3">
      <c r="A104" s="128" t="s">
        <v>13</v>
      </c>
      <c r="B104" s="123" t="str">
        <f t="shared" si="18"/>
        <v>Garlic - ثوم مقشر</v>
      </c>
      <c r="C104" s="123" t="str">
        <f t="shared" si="18"/>
        <v>gm</v>
      </c>
      <c r="D104" s="123">
        <f t="shared" si="18"/>
        <v>25</v>
      </c>
      <c r="E104" s="197">
        <f t="shared" si="22"/>
        <v>8.0000000000000107</v>
      </c>
      <c r="F104" s="127">
        <f t="shared" si="19"/>
        <v>0.95</v>
      </c>
      <c r="G104" s="121">
        <f t="shared" si="20"/>
        <v>200.00000000000026</v>
      </c>
      <c r="H104" s="120">
        <f t="shared" si="21"/>
        <v>190.00000000000023</v>
      </c>
    </row>
    <row r="105" spans="1:8" ht="14.25" customHeight="1" x14ac:dyDescent="0.3">
      <c r="A105" s="128" t="s">
        <v>97</v>
      </c>
      <c r="B105" s="123" t="str">
        <f t="shared" si="18"/>
        <v>Kashmiri Red Chilli Whole - فلفل كشميري أحمر كامل</v>
      </c>
      <c r="C105" s="123" t="str">
        <f t="shared" si="18"/>
        <v>gm</v>
      </c>
      <c r="D105" s="123">
        <f t="shared" si="18"/>
        <v>10</v>
      </c>
      <c r="E105" s="197">
        <f t="shared" si="22"/>
        <v>8.0000000000000107</v>
      </c>
      <c r="F105" s="127">
        <f t="shared" si="19"/>
        <v>0.75</v>
      </c>
      <c r="G105" s="121">
        <f t="shared" si="20"/>
        <v>80.000000000000114</v>
      </c>
      <c r="H105" s="120">
        <f t="shared" si="21"/>
        <v>60.000000000000085</v>
      </c>
    </row>
    <row r="106" spans="1:8" ht="14.25" customHeight="1" x14ac:dyDescent="0.3">
      <c r="A106" s="128" t="s">
        <v>220</v>
      </c>
      <c r="B106" s="123" t="str">
        <f t="shared" si="18"/>
        <v>Orange Color - لون برتقالي</v>
      </c>
      <c r="C106" s="123" t="str">
        <f t="shared" si="18"/>
        <v>gm</v>
      </c>
      <c r="D106" s="123">
        <f t="shared" si="18"/>
        <v>2</v>
      </c>
      <c r="E106" s="197">
        <f t="shared" si="22"/>
        <v>8.0000000000000107</v>
      </c>
      <c r="F106" s="127">
        <f t="shared" si="19"/>
        <v>1</v>
      </c>
      <c r="G106" s="121">
        <f t="shared" si="20"/>
        <v>16.000000000000021</v>
      </c>
      <c r="H106" s="120">
        <f t="shared" si="21"/>
        <v>16.000000000000021</v>
      </c>
    </row>
    <row r="107" spans="1:8" ht="14.25" customHeight="1" x14ac:dyDescent="0.3">
      <c r="A107" s="128" t="s">
        <v>97</v>
      </c>
      <c r="B107" s="123" t="str">
        <f t="shared" si="18"/>
        <v>Salt - ملح</v>
      </c>
      <c r="C107" s="123" t="str">
        <f t="shared" si="18"/>
        <v>gm</v>
      </c>
      <c r="D107" s="123">
        <f t="shared" si="18"/>
        <v>11</v>
      </c>
      <c r="E107" s="197">
        <f t="shared" si="22"/>
        <v>8.0000000000000107</v>
      </c>
      <c r="F107" s="127">
        <f t="shared" si="19"/>
        <v>0.75</v>
      </c>
      <c r="G107" s="121">
        <f t="shared" si="20"/>
        <v>88.000000000000114</v>
      </c>
      <c r="H107" s="120">
        <f t="shared" si="21"/>
        <v>66.000000000000085</v>
      </c>
    </row>
    <row r="108" spans="1:8" ht="14.25" customHeight="1" x14ac:dyDescent="0.3">
      <c r="A108" s="128" t="s">
        <v>210</v>
      </c>
      <c r="B108" s="123" t="str">
        <f t="shared" si="18"/>
        <v>Water - ماء</v>
      </c>
      <c r="C108" s="123" t="str">
        <f t="shared" si="18"/>
        <v>ml</v>
      </c>
      <c r="D108" s="123">
        <f t="shared" si="18"/>
        <v>500</v>
      </c>
      <c r="E108" s="197">
        <f t="shared" si="22"/>
        <v>8.0000000000000107</v>
      </c>
      <c r="F108" s="127">
        <f t="shared" si="19"/>
        <v>0.75</v>
      </c>
      <c r="G108" s="121">
        <f t="shared" si="20"/>
        <v>4000.0000000000055</v>
      </c>
      <c r="H108" s="120">
        <f t="shared" si="21"/>
        <v>3000.0000000000041</v>
      </c>
    </row>
    <row r="109" spans="1:8" ht="14.25" customHeight="1" x14ac:dyDescent="0.3">
      <c r="A109" s="128" t="s">
        <v>63</v>
      </c>
      <c r="B109" s="123" t="str">
        <f t="shared" si="18"/>
        <v>Curry Leaves - أوراق الكاري</v>
      </c>
      <c r="C109" s="123" t="str">
        <f t="shared" si="18"/>
        <v>gm</v>
      </c>
      <c r="D109" s="123">
        <f t="shared" si="18"/>
        <v>3</v>
      </c>
      <c r="E109" s="197">
        <f t="shared" si="22"/>
        <v>8.0000000000000107</v>
      </c>
      <c r="F109" s="127">
        <f t="shared" si="19"/>
        <v>1</v>
      </c>
      <c r="G109" s="121">
        <f t="shared" si="20"/>
        <v>24.000000000000032</v>
      </c>
      <c r="H109" s="120">
        <f t="shared" si="21"/>
        <v>24.000000000000032</v>
      </c>
    </row>
    <row r="110" spans="1:8" ht="14.25" customHeight="1" x14ac:dyDescent="0.3">
      <c r="A110" s="128" t="s">
        <v>63</v>
      </c>
      <c r="B110" s="123" t="str">
        <f t="shared" si="18"/>
        <v>Coriander Leaves - كزبرة خضراء</v>
      </c>
      <c r="C110" s="123" t="str">
        <f t="shared" si="18"/>
        <v>gm</v>
      </c>
      <c r="D110" s="123">
        <f t="shared" si="18"/>
        <v>10</v>
      </c>
      <c r="E110" s="197">
        <f t="shared" si="22"/>
        <v>8.0000000000000107</v>
      </c>
      <c r="F110" s="127">
        <f t="shared" si="19"/>
        <v>1</v>
      </c>
      <c r="G110" s="121">
        <f t="shared" si="20"/>
        <v>80.000000000000114</v>
      </c>
      <c r="H110" s="120">
        <f t="shared" si="21"/>
        <v>80.000000000000114</v>
      </c>
    </row>
    <row r="111" spans="1:8" ht="14.25" customHeight="1" x14ac:dyDescent="0.3">
      <c r="A111" s="128" t="s">
        <v>158</v>
      </c>
      <c r="B111" s="123" t="str">
        <f t="shared" si="18"/>
        <v>Butter - زبدة</v>
      </c>
      <c r="C111" s="123" t="str">
        <f t="shared" si="18"/>
        <v>gm</v>
      </c>
      <c r="D111" s="123">
        <f t="shared" si="18"/>
        <v>50</v>
      </c>
      <c r="E111" s="197">
        <f t="shared" si="22"/>
        <v>8.0000000000000107</v>
      </c>
      <c r="F111" s="127">
        <f t="shared" si="19"/>
        <v>1</v>
      </c>
      <c r="G111" s="121">
        <f t="shared" si="20"/>
        <v>400.00000000000051</v>
      </c>
      <c r="H111" s="120">
        <f t="shared" si="21"/>
        <v>400.00000000000051</v>
      </c>
    </row>
    <row r="112" spans="1:8" ht="14.25" customHeight="1" x14ac:dyDescent="0.3">
      <c r="A112" s="128" t="s">
        <v>63</v>
      </c>
      <c r="B112" s="123" t="str">
        <f t="shared" si="18"/>
        <v>Cloves Whole - قرنفل حب</v>
      </c>
      <c r="C112" s="123" t="str">
        <f t="shared" si="18"/>
        <v>gm</v>
      </c>
      <c r="D112" s="123">
        <f t="shared" si="18"/>
        <v>1</v>
      </c>
      <c r="E112" s="197">
        <f t="shared" si="22"/>
        <v>8.0000000000000107</v>
      </c>
      <c r="F112" s="127">
        <f t="shared" si="19"/>
        <v>1</v>
      </c>
      <c r="G112" s="121">
        <f t="shared" si="20"/>
        <v>8.0000000000000107</v>
      </c>
      <c r="H112" s="120">
        <f t="shared" si="21"/>
        <v>8.0000000000000107</v>
      </c>
    </row>
    <row r="113" spans="1:8" ht="14.25" customHeight="1" x14ac:dyDescent="0.3">
      <c r="A113" s="128" t="s">
        <v>63</v>
      </c>
      <c r="B113" s="123" t="str">
        <f t="shared" si="18"/>
        <v>Coriander Powder - كزبرة مطحونة</v>
      </c>
      <c r="C113" s="123" t="str">
        <f t="shared" si="18"/>
        <v>gm</v>
      </c>
      <c r="D113" s="123">
        <f t="shared" si="18"/>
        <v>15</v>
      </c>
      <c r="E113" s="197">
        <f t="shared" si="22"/>
        <v>8.0000000000000107</v>
      </c>
      <c r="F113" s="127">
        <f t="shared" si="19"/>
        <v>1</v>
      </c>
      <c r="G113" s="121">
        <f t="shared" si="20"/>
        <v>120.00000000000016</v>
      </c>
      <c r="H113" s="120">
        <f t="shared" si="21"/>
        <v>120.00000000000016</v>
      </c>
    </row>
    <row r="114" spans="1:8" ht="14.25" customHeight="1" x14ac:dyDescent="0.3">
      <c r="A114" s="128" t="s">
        <v>158</v>
      </c>
      <c r="B114" s="123" t="str">
        <f t="shared" si="18"/>
        <v>Cumin Powder - كمون مطحون</v>
      </c>
      <c r="C114" s="123" t="str">
        <f t="shared" si="18"/>
        <v>gm</v>
      </c>
      <c r="D114" s="123">
        <f t="shared" si="18"/>
        <v>2</v>
      </c>
      <c r="E114" s="197">
        <f t="shared" si="22"/>
        <v>8.0000000000000107</v>
      </c>
      <c r="F114" s="127">
        <f t="shared" si="19"/>
        <v>1</v>
      </c>
      <c r="G114" s="121">
        <f t="shared" si="20"/>
        <v>16.000000000000021</v>
      </c>
      <c r="H114" s="120">
        <f t="shared" si="21"/>
        <v>16.000000000000021</v>
      </c>
    </row>
    <row r="115" spans="1:8" ht="14.25" customHeight="1" x14ac:dyDescent="0.3">
      <c r="A115" s="128" t="s">
        <v>63</v>
      </c>
      <c r="B115" s="123" t="str">
        <f t="shared" si="18"/>
        <v>Turmeric - كركم</v>
      </c>
      <c r="C115" s="123" t="str">
        <f t="shared" si="18"/>
        <v>gm</v>
      </c>
      <c r="D115" s="123">
        <f t="shared" si="18"/>
        <v>1</v>
      </c>
      <c r="E115" s="197">
        <f t="shared" si="22"/>
        <v>8.0000000000000107</v>
      </c>
      <c r="F115" s="127">
        <f t="shared" si="19"/>
        <v>1</v>
      </c>
      <c r="G115" s="121">
        <f t="shared" si="20"/>
        <v>8.0000000000000107</v>
      </c>
      <c r="H115" s="120">
        <f t="shared" si="21"/>
        <v>8.0000000000000107</v>
      </c>
    </row>
    <row r="116" spans="1:8" ht="14.25" customHeight="1" x14ac:dyDescent="0.3">
      <c r="A116" s="128" t="s">
        <v>63</v>
      </c>
      <c r="B116" s="123" t="str">
        <f t="shared" si="18"/>
        <v>Lemon Juice - عصير ليمون</v>
      </c>
      <c r="C116" s="123" t="str">
        <f t="shared" si="18"/>
        <v>ml</v>
      </c>
      <c r="D116" s="123">
        <f t="shared" si="18"/>
        <v>20</v>
      </c>
      <c r="E116" s="197">
        <f t="shared" si="22"/>
        <v>8.0000000000000107</v>
      </c>
      <c r="F116" s="127">
        <f t="shared" si="19"/>
        <v>1</v>
      </c>
      <c r="G116" s="121">
        <f t="shared" si="20"/>
        <v>160.00000000000023</v>
      </c>
      <c r="H116" s="120">
        <f t="shared" si="21"/>
        <v>160.00000000000023</v>
      </c>
    </row>
    <row r="117" spans="1:8" ht="14.25" customHeight="1" x14ac:dyDescent="0.3">
      <c r="A117" s="128" t="s">
        <v>158</v>
      </c>
      <c r="B117" s="123" t="str">
        <f t="shared" si="18"/>
        <v>Star Anise - ينسون نجمي</v>
      </c>
      <c r="C117" s="123" t="str">
        <f t="shared" si="18"/>
        <v>gm</v>
      </c>
      <c r="D117" s="123">
        <f t="shared" si="18"/>
        <v>1</v>
      </c>
      <c r="E117" s="197">
        <f t="shared" si="22"/>
        <v>8.0000000000000107</v>
      </c>
      <c r="F117" s="127">
        <f t="shared" si="19"/>
        <v>1</v>
      </c>
      <c r="G117" s="121">
        <f t="shared" si="20"/>
        <v>8.0000000000000107</v>
      </c>
      <c r="H117" s="120">
        <f t="shared" si="21"/>
        <v>8.0000000000000107</v>
      </c>
    </row>
    <row r="118" spans="1:8" ht="14.25" customHeight="1" x14ac:dyDescent="0.3">
      <c r="A118" s="128" t="s">
        <v>63</v>
      </c>
      <c r="B118" s="123" t="str">
        <f t="shared" si="18"/>
        <v>Tomato Ketchup - كاتشب طماطم</v>
      </c>
      <c r="C118" s="123" t="str">
        <f t="shared" si="18"/>
        <v>ml</v>
      </c>
      <c r="D118" s="123">
        <f t="shared" si="18"/>
        <v>20</v>
      </c>
      <c r="E118" s="197">
        <f t="shared" si="22"/>
        <v>8.0000000000000107</v>
      </c>
      <c r="F118" s="127">
        <f t="shared" si="19"/>
        <v>1</v>
      </c>
      <c r="G118" s="121">
        <f t="shared" si="20"/>
        <v>160.00000000000023</v>
      </c>
      <c r="H118" s="120">
        <f t="shared" si="21"/>
        <v>160.00000000000023</v>
      </c>
    </row>
    <row r="119" spans="1:8" ht="14.25" customHeight="1" x14ac:dyDescent="0.3">
      <c r="A119" s="128" t="s">
        <v>63</v>
      </c>
      <c r="B119" s="123" t="str">
        <f t="shared" si="18"/>
        <v>Honey - عسل</v>
      </c>
      <c r="C119" s="123" t="str">
        <f t="shared" si="18"/>
        <v>gm</v>
      </c>
      <c r="D119" s="123">
        <f t="shared" si="18"/>
        <v>20</v>
      </c>
      <c r="E119" s="197">
        <f t="shared" si="22"/>
        <v>8.0000000000000107</v>
      </c>
      <c r="F119" s="127">
        <f t="shared" si="19"/>
        <v>1</v>
      </c>
      <c r="G119" s="121">
        <f t="shared" si="20"/>
        <v>160.00000000000023</v>
      </c>
      <c r="H119" s="120">
        <f t="shared" si="21"/>
        <v>160.00000000000023</v>
      </c>
    </row>
    <row r="120" spans="1:8" ht="20.25" customHeight="1" x14ac:dyDescent="0.3">
      <c r="A120" s="211"/>
      <c r="B120" s="198" t="s">
        <v>299</v>
      </c>
      <c r="C120" s="200" t="s">
        <v>285</v>
      </c>
      <c r="E120" s="200" t="s">
        <v>300</v>
      </c>
      <c r="G120" s="890" t="s">
        <v>276</v>
      </c>
      <c r="H120" s="890" t="s">
        <v>733</v>
      </c>
    </row>
    <row r="121" spans="1:8" ht="20" x14ac:dyDescent="0.4">
      <c r="A121" s="211"/>
      <c r="B121" s="199">
        <f>$J$54</f>
        <v>9506.8259999999937</v>
      </c>
      <c r="C121" s="199">
        <f>E121+G121</f>
        <v>7600.0000000000091</v>
      </c>
      <c r="D121" s="930"/>
      <c r="E121" s="199">
        <f>$D$54*$S$44</f>
        <v>3304.3477600000042</v>
      </c>
      <c r="F121" s="934"/>
      <c r="G121" s="199">
        <f>$D$54*$T$44</f>
        <v>4295.6522400000049</v>
      </c>
      <c r="H121" s="199">
        <f>B121+E121</f>
        <v>12811.173759999998</v>
      </c>
    </row>
  </sheetData>
  <mergeCells count="9">
    <mergeCell ref="AK2:AM2"/>
    <mergeCell ref="AE2:AG3"/>
    <mergeCell ref="B93:H93"/>
    <mergeCell ref="B94:H94"/>
    <mergeCell ref="R26:U26"/>
    <mergeCell ref="R25:U25"/>
    <mergeCell ref="B62:H62"/>
    <mergeCell ref="F2:F3"/>
    <mergeCell ref="B63:H63"/>
  </mergeCells>
  <printOptions horizontalCentered="1"/>
  <pageMargins left="0.4" right="0.4" top="1" bottom="0.5" header="0.3" footer="0.511811023622047"/>
  <pageSetup paperSize="9" scale="54" orientation="landscape"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2E75B6"/>
    <pageSetUpPr fitToPage="1"/>
  </sheetPr>
  <dimension ref="A1:AT107"/>
  <sheetViews>
    <sheetView topLeftCell="A16" zoomScale="85" zoomScaleNormal="85" workbookViewId="0">
      <selection activeCell="D53" sqref="D53:D54"/>
    </sheetView>
  </sheetViews>
  <sheetFormatPr defaultColWidth="12.5" defaultRowHeight="14" x14ac:dyDescent="0.3"/>
  <cols>
    <col min="1" max="1" width="12.5" style="79" customWidth="1"/>
    <col min="2" max="2" width="37.5" style="14" customWidth="1"/>
    <col min="3" max="3" width="23.9140625" style="14" customWidth="1"/>
    <col min="4" max="4" width="19" style="14" customWidth="1"/>
    <col min="5" max="5" width="16.1640625" style="297"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5.33203125" style="14" customWidth="1"/>
    <col min="15" max="17" width="12.5" style="14" customWidth="1"/>
    <col min="18" max="18" width="30.5" style="14" customWidth="1"/>
    <col min="19" max="19" width="12.5" style="14" customWidth="1"/>
    <col min="20" max="27" width="12.5" style="14"/>
    <col min="28" max="28" width="6.75" style="14" customWidth="1"/>
    <col min="29" max="29" width="13.33203125" style="14" bestFit="1" customWidth="1"/>
    <col min="30" max="30" width="11.58203125" style="14" bestFit="1" customWidth="1"/>
    <col min="31" max="31" width="10" style="14" bestFit="1" customWidth="1"/>
    <col min="32" max="32" width="11.58203125" style="14" bestFit="1" customWidth="1"/>
    <col min="33" max="34" width="4.25" style="14" customWidth="1"/>
    <col min="35" max="35" width="12.5" style="14"/>
    <col min="36" max="36" width="33.08203125" style="14" customWidth="1"/>
    <col min="37" max="16384" width="12.5" style="14"/>
  </cols>
  <sheetData>
    <row r="1" spans="1:46" ht="41.75" customHeight="1" x14ac:dyDescent="0.3">
      <c r="B1" s="80" t="s">
        <v>243</v>
      </c>
      <c r="C1" s="81">
        <v>1000</v>
      </c>
      <c r="D1" s="82" t="s">
        <v>244</v>
      </c>
      <c r="E1" s="83">
        <f>$T$32</f>
        <v>11333.076923076935</v>
      </c>
      <c r="F1" s="386" t="s">
        <v>245</v>
      </c>
      <c r="G1" s="84">
        <f>E1/1000</f>
        <v>11.333076923076934</v>
      </c>
      <c r="H1" s="80" t="s">
        <v>246</v>
      </c>
      <c r="I1" s="85">
        <f>(G1/K1)</f>
        <v>11.805288461538474</v>
      </c>
      <c r="J1" s="86" t="s">
        <v>247</v>
      </c>
      <c r="K1" s="85">
        <v>0.96</v>
      </c>
      <c r="L1" s="88"/>
      <c r="M1" s="89"/>
      <c r="N1" s="90"/>
      <c r="O1" s="91" t="s">
        <v>248</v>
      </c>
      <c r="P1" s="92" t="s">
        <v>249</v>
      </c>
      <c r="Q1" s="93" t="s">
        <v>250</v>
      </c>
      <c r="R1" s="92">
        <v>0.59</v>
      </c>
      <c r="Y1" s="91" t="s">
        <v>479</v>
      </c>
      <c r="Z1" s="847">
        <v>48610</v>
      </c>
      <c r="AA1" s="91" t="s">
        <v>600</v>
      </c>
      <c r="AB1" s="847">
        <v>500</v>
      </c>
      <c r="AC1" s="91" t="s">
        <v>587</v>
      </c>
      <c r="AD1" s="847">
        <v>340</v>
      </c>
      <c r="AE1" s="250"/>
      <c r="AF1" s="252"/>
      <c r="AG1" s="92"/>
      <c r="AI1" s="79"/>
      <c r="AJ1" s="110" t="s">
        <v>262</v>
      </c>
      <c r="AK1" s="94">
        <v>10000</v>
      </c>
      <c r="AL1" s="628" t="s">
        <v>520</v>
      </c>
      <c r="AM1" s="629">
        <f>$S$32</f>
        <v>37776.923076923063</v>
      </c>
      <c r="AN1" s="94" t="s">
        <v>251</v>
      </c>
      <c r="AO1" s="96">
        <f>($S$32/$R$1)/$AK$1</f>
        <v>6.402868318122553</v>
      </c>
      <c r="AP1" s="95"/>
    </row>
    <row r="2" spans="1:46" ht="12.75" customHeight="1" x14ac:dyDescent="0.3">
      <c r="A2" s="97"/>
      <c r="B2" s="1449" t="s">
        <v>48</v>
      </c>
      <c r="C2" s="1389"/>
      <c r="D2" s="1389"/>
      <c r="E2" s="1447"/>
      <c r="F2" s="1389"/>
      <c r="G2" s="1389"/>
      <c r="H2" s="1389"/>
      <c r="I2" s="1389"/>
      <c r="J2" s="1389"/>
      <c r="K2" s="1450"/>
      <c r="L2" s="293"/>
      <c r="M2" s="100"/>
      <c r="N2" s="100"/>
      <c r="O2" s="100"/>
      <c r="P2" s="100"/>
      <c r="Q2" s="100"/>
      <c r="R2" s="100"/>
      <c r="AC2" s="99"/>
      <c r="AD2" s="99"/>
      <c r="AE2" s="1391"/>
      <c r="AF2" s="1389"/>
      <c r="AG2" s="1389"/>
      <c r="AI2" s="79"/>
      <c r="AJ2" s="101"/>
      <c r="AK2" s="1386" t="s">
        <v>521</v>
      </c>
      <c r="AL2" s="1386"/>
      <c r="AM2" s="1386"/>
      <c r="AN2" s="102"/>
      <c r="AO2" s="101"/>
      <c r="AP2" s="101"/>
    </row>
    <row r="3" spans="1:46" ht="12.75" customHeight="1" x14ac:dyDescent="0.3">
      <c r="A3" s="97"/>
      <c r="B3" s="1388"/>
      <c r="C3" s="1388"/>
      <c r="D3" s="1388"/>
      <c r="E3" s="1388"/>
      <c r="F3" s="1388"/>
      <c r="G3" s="1388"/>
      <c r="H3" s="1388"/>
      <c r="I3" s="1388"/>
      <c r="J3" s="1388"/>
      <c r="K3" s="1451"/>
      <c r="L3" s="293"/>
      <c r="M3" s="100"/>
      <c r="N3" s="100"/>
      <c r="O3" s="100"/>
      <c r="P3" s="100"/>
      <c r="Q3" s="100"/>
      <c r="R3" s="100"/>
      <c r="AC3" s="99"/>
      <c r="AD3" s="99"/>
      <c r="AE3" s="1389"/>
      <c r="AF3" s="1389"/>
      <c r="AG3" s="1389"/>
      <c r="AI3" s="79"/>
      <c r="AJ3" s="104"/>
      <c r="AK3" s="104"/>
      <c r="AL3" s="105"/>
      <c r="AM3" s="105"/>
      <c r="AN3" s="105"/>
      <c r="AO3" s="104"/>
      <c r="AP3" s="104"/>
    </row>
    <row r="4" spans="1:46" ht="69" customHeight="1" x14ac:dyDescent="0.3">
      <c r="A4" s="91" t="s">
        <v>1</v>
      </c>
      <c r="B4" s="91" t="s">
        <v>253</v>
      </c>
      <c r="C4" s="107" t="s">
        <v>254</v>
      </c>
      <c r="D4" s="91" t="s">
        <v>243</v>
      </c>
      <c r="E4" s="108" t="s">
        <v>246</v>
      </c>
      <c r="F4" s="108" t="s">
        <v>255</v>
      </c>
      <c r="G4" s="91" t="s">
        <v>256</v>
      </c>
      <c r="H4" s="109" t="s">
        <v>257</v>
      </c>
      <c r="I4" s="91" t="s">
        <v>258</v>
      </c>
      <c r="J4" s="91" t="s">
        <v>259</v>
      </c>
      <c r="K4" s="91" t="s">
        <v>260</v>
      </c>
      <c r="L4" s="91" t="s">
        <v>261</v>
      </c>
      <c r="M4" s="100"/>
      <c r="N4" s="100"/>
      <c r="O4" s="100"/>
      <c r="P4" s="100"/>
      <c r="AA4" s="251"/>
      <c r="AB4" s="253"/>
      <c r="AC4" s="251"/>
      <c r="AD4" s="251"/>
      <c r="AE4" s="251"/>
      <c r="AI4" s="79"/>
      <c r="AJ4" s="110" t="s">
        <v>253</v>
      </c>
      <c r="AK4" s="111" t="s">
        <v>254</v>
      </c>
      <c r="AL4" s="110" t="s">
        <v>262</v>
      </c>
      <c r="AM4" s="110" t="s">
        <v>246</v>
      </c>
      <c r="AN4" s="110" t="s">
        <v>255</v>
      </c>
      <c r="AO4" s="110" t="s">
        <v>256</v>
      </c>
      <c r="AP4" s="112" t="s">
        <v>257</v>
      </c>
      <c r="AQ4" s="91" t="s">
        <v>258</v>
      </c>
      <c r="AR4" s="91" t="s">
        <v>259</v>
      </c>
      <c r="AS4" s="91" t="s">
        <v>260</v>
      </c>
      <c r="AT4" s="91" t="s">
        <v>261</v>
      </c>
    </row>
    <row r="5" spans="1:46" ht="14.25" customHeight="1" x14ac:dyDescent="0.3">
      <c r="A5" s="266" t="s">
        <v>230</v>
      </c>
      <c r="B5" s="309" t="s">
        <v>229</v>
      </c>
      <c r="C5" s="115" t="s">
        <v>14</v>
      </c>
      <c r="D5" s="121">
        <f>I51/10</f>
        <v>5649.8305084745762</v>
      </c>
      <c r="E5" s="117">
        <f>H52</f>
        <v>11.332850266071597</v>
      </c>
      <c r="F5" s="127">
        <v>1</v>
      </c>
      <c r="G5" s="119">
        <f t="shared" ref="G5:G20" si="0">D5*E5</f>
        <v>64028.683181225526</v>
      </c>
      <c r="H5" s="120">
        <f t="shared" ref="H5:H20" si="1">G5*F5</f>
        <v>64028.683181225526</v>
      </c>
      <c r="I5" s="81">
        <f>VLOOKUP(B5,All_Ingredients!$A$1:$F$151,6,FALSE())</f>
        <v>0.86</v>
      </c>
      <c r="J5" s="119">
        <f>VLOOKUP(B5,All_Ingredients!$A$1:$J$151,10,FALSE())</f>
        <v>17.100000000000001</v>
      </c>
      <c r="K5" s="122">
        <f t="shared" ref="K5" si="2">(H5/I5)/1000</f>
        <v>74.45195718747155</v>
      </c>
      <c r="L5" s="122">
        <f t="shared" ref="L5" si="3">K5*J5</f>
        <v>1273.1284679057635</v>
      </c>
      <c r="M5" s="100"/>
      <c r="N5" s="100"/>
      <c r="O5" s="100"/>
      <c r="P5" s="100"/>
      <c r="AA5" s="92"/>
      <c r="AB5" s="133"/>
      <c r="AC5" s="254"/>
      <c r="AD5" s="135"/>
      <c r="AE5" s="136"/>
      <c r="AI5" s="79"/>
      <c r="AJ5" s="123" t="s">
        <v>229</v>
      </c>
      <c r="AK5" s="124" t="s">
        <v>238</v>
      </c>
      <c r="AL5" s="116">
        <v>10</v>
      </c>
      <c r="AM5" s="116">
        <f t="shared" ref="AM5:AM19" si="4">$AO$1</f>
        <v>6.402868318122553</v>
      </c>
      <c r="AN5" s="127">
        <v>1</v>
      </c>
      <c r="AO5" s="119">
        <f t="shared" ref="AO5:AO19" si="5">AL5*AM5</f>
        <v>64.028683181225531</v>
      </c>
      <c r="AP5" s="120">
        <f t="shared" ref="AP5:AP19" si="6">AO5*AN5</f>
        <v>64.028683181225531</v>
      </c>
      <c r="AR5" s="1147"/>
      <c r="AS5" s="556"/>
      <c r="AT5" s="1145"/>
    </row>
    <row r="6" spans="1:46" ht="14.25" customHeight="1" x14ac:dyDescent="0.35">
      <c r="A6" s="128" t="s">
        <v>196</v>
      </c>
      <c r="B6" s="114" t="s">
        <v>204</v>
      </c>
      <c r="C6" s="1010" t="s">
        <v>165</v>
      </c>
      <c r="D6" s="125">
        <v>400</v>
      </c>
      <c r="E6" s="116">
        <f>$I$1</f>
        <v>11.805288461538474</v>
      </c>
      <c r="F6" s="127">
        <v>1</v>
      </c>
      <c r="G6" s="119">
        <f t="shared" si="0"/>
        <v>4722.1153846153893</v>
      </c>
      <c r="H6" s="120">
        <f t="shared" si="1"/>
        <v>4722.1153846153893</v>
      </c>
      <c r="I6" s="81">
        <f>VLOOKUP(B6,All_Ingredients!$A$1:$F$151,6,FALSE())</f>
        <v>1</v>
      </c>
      <c r="J6" s="119">
        <f>VLOOKUP(B6,All_Ingredients!$A$1:$J$151,10,FALSE())</f>
        <v>3.25</v>
      </c>
      <c r="K6" s="122">
        <f t="shared" ref="K6:K20" si="7">(H6/I6)/1000</f>
        <v>4.7221153846153889</v>
      </c>
      <c r="L6" s="122">
        <f t="shared" ref="L6:L20" si="8">K6*J6</f>
        <v>15.346875000000015</v>
      </c>
      <c r="AI6" s="79" t="s">
        <v>97</v>
      </c>
      <c r="AJ6" s="323" t="s">
        <v>108</v>
      </c>
      <c r="AK6" s="334" t="s">
        <v>14</v>
      </c>
      <c r="AL6" s="116">
        <v>20</v>
      </c>
      <c r="AM6" s="116">
        <f t="shared" si="4"/>
        <v>6.402868318122553</v>
      </c>
      <c r="AN6" s="127">
        <v>1</v>
      </c>
      <c r="AO6" s="119">
        <f t="shared" si="5"/>
        <v>128.05736636245106</v>
      </c>
      <c r="AP6" s="120">
        <f t="shared" si="6"/>
        <v>128.05736636245106</v>
      </c>
      <c r="AQ6" s="1145">
        <f>VLOOKUP(AJ6,Marination_Ordering!$A:$J,6,FALSE)</f>
        <v>1</v>
      </c>
      <c r="AR6" s="1145">
        <f>VLOOKUP(AJ6,Marination_Ordering!$A:$J,10,FALSE)</f>
        <v>15</v>
      </c>
      <c r="AS6" s="556">
        <f>AP6/AQ6</f>
        <v>128.05736636245106</v>
      </c>
      <c r="AT6" s="1145">
        <f>AR6*(AS6/1000)</f>
        <v>1.9208604954367661</v>
      </c>
    </row>
    <row r="7" spans="1:46" ht="14.25" customHeight="1" x14ac:dyDescent="0.3">
      <c r="A7" s="128" t="s">
        <v>196</v>
      </c>
      <c r="B7" s="114" t="s">
        <v>198</v>
      </c>
      <c r="C7" s="124" t="s">
        <v>165</v>
      </c>
      <c r="D7" s="125">
        <v>33</v>
      </c>
      <c r="E7" s="116">
        <f t="shared" ref="E7:E20" si="9">$I$1</f>
        <v>11.805288461538474</v>
      </c>
      <c r="F7" s="127">
        <v>0.75</v>
      </c>
      <c r="G7" s="119">
        <f t="shared" si="0"/>
        <v>389.57451923076962</v>
      </c>
      <c r="H7" s="120">
        <f t="shared" si="1"/>
        <v>292.18088942307725</v>
      </c>
      <c r="I7" s="81">
        <f>VLOOKUP(B7,All_Ingredients!$A$1:$F$151,6,FALSE())</f>
        <v>1</v>
      </c>
      <c r="J7" s="119">
        <f>VLOOKUP(B7,All_Ingredients!$A$1:$J$151,10,FALSE())</f>
        <v>58.685446009389672</v>
      </c>
      <c r="K7" s="122">
        <f t="shared" si="7"/>
        <v>0.29218088942307724</v>
      </c>
      <c r="L7" s="122">
        <f t="shared" si="8"/>
        <v>17.146765811213452</v>
      </c>
      <c r="AI7" s="79" t="s">
        <v>97</v>
      </c>
      <c r="AJ7" s="323" t="s">
        <v>110</v>
      </c>
      <c r="AK7" s="334" t="s">
        <v>14</v>
      </c>
      <c r="AL7" s="116">
        <v>10</v>
      </c>
      <c r="AM7" s="116">
        <f t="shared" si="4"/>
        <v>6.402868318122553</v>
      </c>
      <c r="AN7" s="127">
        <v>1</v>
      </c>
      <c r="AO7" s="119">
        <f t="shared" si="5"/>
        <v>64.028683181225531</v>
      </c>
      <c r="AP7" s="120">
        <f t="shared" si="6"/>
        <v>64.028683181225531</v>
      </c>
      <c r="AQ7" s="1145">
        <f>VLOOKUP(AJ7,Marination_Ordering!$A:$J,6,FALSE)</f>
        <v>1</v>
      </c>
      <c r="AR7" s="1145">
        <f>VLOOKUP(AJ7,Marination_Ordering!$A:$J,10,FALSE)</f>
        <v>8</v>
      </c>
      <c r="AS7" s="556">
        <f t="shared" ref="AS7:AS8" si="10">AP7/AQ7</f>
        <v>64.028683181225531</v>
      </c>
      <c r="AT7" s="1145">
        <f t="shared" ref="AT7:AT8" si="11">AR7*(AS7/1000)</f>
        <v>0.5122294654498043</v>
      </c>
    </row>
    <row r="8" spans="1:46" ht="14.25" customHeight="1" x14ac:dyDescent="0.3">
      <c r="A8" s="128" t="s">
        <v>97</v>
      </c>
      <c r="B8" s="114" t="s">
        <v>189</v>
      </c>
      <c r="C8" s="124" t="s">
        <v>14</v>
      </c>
      <c r="D8" s="125">
        <v>20</v>
      </c>
      <c r="E8" s="116">
        <f t="shared" si="9"/>
        <v>11.805288461538474</v>
      </c>
      <c r="F8" s="127">
        <v>1</v>
      </c>
      <c r="G8" s="119">
        <f t="shared" si="0"/>
        <v>236.10576923076948</v>
      </c>
      <c r="H8" s="120">
        <f t="shared" si="1"/>
        <v>236.10576923076948</v>
      </c>
      <c r="I8" s="81">
        <f>VLOOKUP(B8,All_Ingredients!$A$1:$F$151,6,FALSE())</f>
        <v>1</v>
      </c>
      <c r="J8" s="119">
        <f>VLOOKUP(B8,All_Ingredients!$A$1:$J$151,10,FALSE())</f>
        <v>17</v>
      </c>
      <c r="K8" s="122">
        <f t="shared" si="7"/>
        <v>0.23610576923076948</v>
      </c>
      <c r="L8" s="122">
        <f t="shared" si="8"/>
        <v>4.0137980769230808</v>
      </c>
      <c r="AI8" s="79" t="s">
        <v>158</v>
      </c>
      <c r="AJ8" s="374" t="s">
        <v>168</v>
      </c>
      <c r="AK8" s="334" t="s">
        <v>14</v>
      </c>
      <c r="AL8" s="223">
        <v>250</v>
      </c>
      <c r="AM8" s="116">
        <f t="shared" si="4"/>
        <v>6.402868318122553</v>
      </c>
      <c r="AN8" s="127">
        <v>1</v>
      </c>
      <c r="AO8" s="119">
        <f t="shared" si="5"/>
        <v>1600.7170795306383</v>
      </c>
      <c r="AP8" s="120">
        <f t="shared" si="6"/>
        <v>1600.7170795306383</v>
      </c>
      <c r="AQ8" s="1145">
        <f>VLOOKUP(AJ8,Marination_Ordering!$A:$J,6,FALSE)</f>
        <v>1</v>
      </c>
      <c r="AR8" s="1145">
        <f>VLOOKUP(AJ8,Marination_Ordering!$A:$J,10,FALSE)</f>
        <v>6.6959999999999997</v>
      </c>
      <c r="AS8" s="556">
        <f t="shared" si="10"/>
        <v>1600.7170795306383</v>
      </c>
      <c r="AT8" s="1145">
        <f t="shared" si="11"/>
        <v>10.718401564537153</v>
      </c>
    </row>
    <row r="9" spans="1:46" ht="14.25" customHeight="1" x14ac:dyDescent="0.3">
      <c r="A9" s="128" t="s">
        <v>210</v>
      </c>
      <c r="B9" s="114" t="s">
        <v>209</v>
      </c>
      <c r="C9" s="124" t="s">
        <v>165</v>
      </c>
      <c r="D9" s="125">
        <v>280</v>
      </c>
      <c r="E9" s="116">
        <f t="shared" si="9"/>
        <v>11.805288461538474</v>
      </c>
      <c r="F9" s="127">
        <v>1</v>
      </c>
      <c r="G9" s="119">
        <f t="shared" si="0"/>
        <v>3305.4807692307727</v>
      </c>
      <c r="H9" s="120">
        <f t="shared" si="1"/>
        <v>3305.4807692307727</v>
      </c>
      <c r="I9" s="81">
        <f>VLOOKUP(B9,All_Ingredients!$A$1:$F$151,6,FALSE())</f>
        <v>1</v>
      </c>
      <c r="J9" s="119">
        <f>VLOOKUP(B9,All_Ingredients!$A$1:$J$151,10,FALSE())</f>
        <v>0</v>
      </c>
      <c r="K9" s="122">
        <f t="shared" si="7"/>
        <v>3.3054807692307726</v>
      </c>
      <c r="L9" s="122">
        <f t="shared" si="8"/>
        <v>0</v>
      </c>
      <c r="AI9" s="79" t="s">
        <v>97</v>
      </c>
      <c r="AJ9" s="374" t="s">
        <v>117</v>
      </c>
      <c r="AK9" s="334" t="s">
        <v>14</v>
      </c>
      <c r="AL9" s="116">
        <v>10</v>
      </c>
      <c r="AM9" s="116">
        <f t="shared" si="4"/>
        <v>6.402868318122553</v>
      </c>
      <c r="AN9" s="127">
        <v>1</v>
      </c>
      <c r="AO9" s="119">
        <f t="shared" si="5"/>
        <v>64.028683181225531</v>
      </c>
      <c r="AP9" s="120">
        <f t="shared" si="6"/>
        <v>64.028683181225531</v>
      </c>
      <c r="AQ9" s="1145">
        <f>VLOOKUP(AJ9,Marination_Ordering!$A:$J,6,FALSE)</f>
        <v>1</v>
      </c>
      <c r="AR9" s="1145">
        <f>VLOOKUP(AJ9,Marination_Ordering!$A:$J,10,FALSE)</f>
        <v>20</v>
      </c>
      <c r="AS9" s="556">
        <f t="shared" ref="AS9:AS19" si="12">AP9/AQ9</f>
        <v>64.028683181225531</v>
      </c>
      <c r="AT9" s="1145">
        <f t="shared" ref="AT9:AT19" si="13">AR9*(AS9/1000)</f>
        <v>1.2805736636245109</v>
      </c>
    </row>
    <row r="10" spans="1:46" ht="14.25" customHeight="1" x14ac:dyDescent="0.3">
      <c r="A10" s="128" t="s">
        <v>192</v>
      </c>
      <c r="B10" s="114" t="s">
        <v>193</v>
      </c>
      <c r="C10" s="124" t="s">
        <v>14</v>
      </c>
      <c r="D10" s="125">
        <v>40</v>
      </c>
      <c r="E10" s="116">
        <f t="shared" si="9"/>
        <v>11.805288461538474</v>
      </c>
      <c r="F10" s="127">
        <v>0.5</v>
      </c>
      <c r="G10" s="119">
        <f t="shared" si="0"/>
        <v>472.21153846153896</v>
      </c>
      <c r="H10" s="120">
        <f t="shared" si="1"/>
        <v>236.10576923076948</v>
      </c>
      <c r="I10" s="81">
        <f>VLOOKUP(B10,All_Ingredients!$A$1:$F$151,6,FALSE())</f>
        <v>0.9</v>
      </c>
      <c r="J10" s="119">
        <f>VLOOKUP(B10,All_Ingredients!$A$1:$J$151,10,FALSE())</f>
        <v>2.3199999999999998</v>
      </c>
      <c r="K10" s="122">
        <f t="shared" si="7"/>
        <v>0.26233974358974388</v>
      </c>
      <c r="L10" s="122">
        <f t="shared" si="8"/>
        <v>0.60862820512820581</v>
      </c>
      <c r="AI10" s="79" t="s">
        <v>97</v>
      </c>
      <c r="AJ10" s="374" t="s">
        <v>122</v>
      </c>
      <c r="AK10" s="334" t="s">
        <v>14</v>
      </c>
      <c r="AL10" s="116">
        <v>5</v>
      </c>
      <c r="AM10" s="116">
        <f t="shared" si="4"/>
        <v>6.402868318122553</v>
      </c>
      <c r="AN10" s="127">
        <v>1</v>
      </c>
      <c r="AO10" s="119">
        <f t="shared" si="5"/>
        <v>32.014341590612766</v>
      </c>
      <c r="AP10" s="120">
        <f t="shared" si="6"/>
        <v>32.014341590612766</v>
      </c>
      <c r="AQ10" s="1145">
        <f>VLOOKUP(AJ10,Marination_Ordering!$A:$J,6,FALSE)</f>
        <v>1</v>
      </c>
      <c r="AR10" s="1145">
        <f>VLOOKUP(AJ10,Marination_Ordering!$A:$J,10,FALSE)</f>
        <v>15</v>
      </c>
      <c r="AS10" s="556">
        <f t="shared" si="12"/>
        <v>32.014341590612766</v>
      </c>
      <c r="AT10" s="1145">
        <f t="shared" si="13"/>
        <v>0.48021512385919152</v>
      </c>
    </row>
    <row r="11" spans="1:46" ht="14.25" customHeight="1" x14ac:dyDescent="0.3">
      <c r="A11" s="128" t="s">
        <v>13</v>
      </c>
      <c r="B11" s="114" t="s">
        <v>12</v>
      </c>
      <c r="C11" s="124" t="s">
        <v>14</v>
      </c>
      <c r="D11" s="125">
        <v>270</v>
      </c>
      <c r="E11" s="116">
        <f t="shared" si="9"/>
        <v>11.805288461538474</v>
      </c>
      <c r="F11" s="127">
        <v>0.95</v>
      </c>
      <c r="G11" s="119">
        <f t="shared" si="0"/>
        <v>3187.4278846153879</v>
      </c>
      <c r="H11" s="120">
        <f t="shared" si="1"/>
        <v>3028.0564903846184</v>
      </c>
      <c r="I11" s="81">
        <f>VLOOKUP(B11,All_Ingredients!$A$1:$F$151,6,FALSE())</f>
        <v>0.9</v>
      </c>
      <c r="J11" s="119">
        <f>VLOOKUP(B11,All_Ingredients!$A$1:$J$151,10,FALSE())</f>
        <v>3</v>
      </c>
      <c r="K11" s="122">
        <f t="shared" si="7"/>
        <v>3.3645072115384647</v>
      </c>
      <c r="L11" s="122">
        <f t="shared" si="8"/>
        <v>10.093521634615394</v>
      </c>
      <c r="AI11" s="79" t="s">
        <v>63</v>
      </c>
      <c r="AJ11" s="323" t="s">
        <v>78</v>
      </c>
      <c r="AK11" s="334" t="s">
        <v>14</v>
      </c>
      <c r="AL11" s="116">
        <v>5</v>
      </c>
      <c r="AM11" s="116">
        <f t="shared" si="4"/>
        <v>6.402868318122553</v>
      </c>
      <c r="AN11" s="127">
        <v>1</v>
      </c>
      <c r="AO11" s="119">
        <f t="shared" si="5"/>
        <v>32.014341590612766</v>
      </c>
      <c r="AP11" s="120">
        <f t="shared" si="6"/>
        <v>32.014341590612766</v>
      </c>
      <c r="AQ11" s="1145">
        <f>VLOOKUP(AJ11,Marination_Ordering!$A:$J,6,FALSE)</f>
        <v>1</v>
      </c>
      <c r="AR11" s="1145">
        <f>VLOOKUP(AJ11,Marination_Ordering!$A:$J,10,FALSE)</f>
        <v>90</v>
      </c>
      <c r="AS11" s="556">
        <f t="shared" si="12"/>
        <v>32.014341590612766</v>
      </c>
      <c r="AT11" s="1145">
        <f t="shared" si="13"/>
        <v>2.8812907431551493</v>
      </c>
    </row>
    <row r="12" spans="1:46" ht="14.25" customHeight="1" x14ac:dyDescent="0.3">
      <c r="A12" s="128" t="s">
        <v>13</v>
      </c>
      <c r="B12" s="114" t="s">
        <v>792</v>
      </c>
      <c r="C12" s="124" t="s">
        <v>14</v>
      </c>
      <c r="D12" s="125">
        <v>40</v>
      </c>
      <c r="E12" s="116">
        <f t="shared" si="9"/>
        <v>11.805288461538474</v>
      </c>
      <c r="F12" s="127">
        <v>0.95</v>
      </c>
      <c r="G12" s="119">
        <f t="shared" si="0"/>
        <v>472.21153846153896</v>
      </c>
      <c r="H12" s="120">
        <f t="shared" si="1"/>
        <v>448.600961538462</v>
      </c>
      <c r="I12" s="81">
        <f>VLOOKUP(B12,All_Ingredients!$A$1:$F$151,6,FALSE())</f>
        <v>1</v>
      </c>
      <c r="J12" s="119">
        <f>VLOOKUP(B12,All_Ingredients!$A$1:$J$151,10,FALSE())</f>
        <v>10.5</v>
      </c>
      <c r="K12" s="122">
        <f t="shared" si="7"/>
        <v>0.44860096153846202</v>
      </c>
      <c r="L12" s="122">
        <f t="shared" si="8"/>
        <v>4.7103100961538509</v>
      </c>
      <c r="AI12" s="79" t="s">
        <v>97</v>
      </c>
      <c r="AJ12" s="323" t="s">
        <v>96</v>
      </c>
      <c r="AK12" s="334" t="s">
        <v>14</v>
      </c>
      <c r="AL12" s="125">
        <v>5</v>
      </c>
      <c r="AM12" s="116">
        <f t="shared" si="4"/>
        <v>6.402868318122553</v>
      </c>
      <c r="AN12" s="127">
        <v>1</v>
      </c>
      <c r="AO12" s="119">
        <f t="shared" si="5"/>
        <v>32.014341590612766</v>
      </c>
      <c r="AP12" s="120">
        <f t="shared" si="6"/>
        <v>32.014341590612766</v>
      </c>
      <c r="AQ12" s="1145">
        <f>VLOOKUP(AJ12,Marination_Ordering!$A:$J,6,FALSE)</f>
        <v>1</v>
      </c>
      <c r="AR12" s="1145">
        <f>VLOOKUP(AJ12,Marination_Ordering!$A:$J,10,FALSE)</f>
        <v>0.74</v>
      </c>
      <c r="AS12" s="556">
        <f t="shared" si="12"/>
        <v>32.014341590612766</v>
      </c>
      <c r="AT12" s="1145">
        <f t="shared" si="13"/>
        <v>2.3690612777053449E-2</v>
      </c>
    </row>
    <row r="13" spans="1:46" ht="14.25" customHeight="1" x14ac:dyDescent="0.3">
      <c r="A13" s="128" t="s">
        <v>57</v>
      </c>
      <c r="B13" s="114" t="s">
        <v>56</v>
      </c>
      <c r="C13" s="124" t="s">
        <v>14</v>
      </c>
      <c r="D13" s="125">
        <v>40</v>
      </c>
      <c r="E13" s="116">
        <f t="shared" si="9"/>
        <v>11.805288461538474</v>
      </c>
      <c r="F13" s="127">
        <v>0.6</v>
      </c>
      <c r="G13" s="119">
        <f t="shared" si="0"/>
        <v>472.21153846153896</v>
      </c>
      <c r="H13" s="120">
        <f t="shared" si="1"/>
        <v>283.32692307692338</v>
      </c>
      <c r="I13" s="81">
        <f>VLOOKUP(B13,All_Ingredients!$A$1:$F$151,6,FALSE())</f>
        <v>0.87</v>
      </c>
      <c r="J13" s="119">
        <f>VLOOKUP(B13,All_Ingredients!$A$1:$J$151,10,FALSE())</f>
        <v>7</v>
      </c>
      <c r="K13" s="122">
        <f t="shared" si="7"/>
        <v>0.32566312997347513</v>
      </c>
      <c r="L13" s="122">
        <f t="shared" si="8"/>
        <v>2.2796419098143259</v>
      </c>
      <c r="AI13" s="79" t="s">
        <v>220</v>
      </c>
      <c r="AJ13" s="323" t="s">
        <v>221</v>
      </c>
      <c r="AK13" s="334" t="s">
        <v>14</v>
      </c>
      <c r="AL13" s="116">
        <v>5</v>
      </c>
      <c r="AM13" s="116">
        <f t="shared" si="4"/>
        <v>6.402868318122553</v>
      </c>
      <c r="AN13" s="127">
        <v>1</v>
      </c>
      <c r="AO13" s="119">
        <f t="shared" si="5"/>
        <v>32.014341590612766</v>
      </c>
      <c r="AP13" s="120">
        <f t="shared" si="6"/>
        <v>32.014341590612766</v>
      </c>
      <c r="AQ13" s="1145">
        <f>VLOOKUP(AJ13,Marination_Ordering!$A:$J,6,FALSE)</f>
        <v>1</v>
      </c>
      <c r="AR13" s="1145">
        <f>VLOOKUP(AJ13,Marination_Ordering!$A:$J,10,FALSE)</f>
        <v>35</v>
      </c>
      <c r="AS13" s="556">
        <f t="shared" si="12"/>
        <v>32.014341590612766</v>
      </c>
      <c r="AT13" s="1145">
        <f t="shared" si="13"/>
        <v>1.1205019556714468</v>
      </c>
    </row>
    <row r="14" spans="1:46" ht="14.25" customHeight="1" x14ac:dyDescent="0.3">
      <c r="A14" s="128" t="s">
        <v>63</v>
      </c>
      <c r="B14" s="114" t="s">
        <v>78</v>
      </c>
      <c r="C14" s="124" t="s">
        <v>14</v>
      </c>
      <c r="D14" s="125">
        <v>3</v>
      </c>
      <c r="E14" s="116">
        <f t="shared" si="9"/>
        <v>11.805288461538474</v>
      </c>
      <c r="F14" s="127">
        <v>1</v>
      </c>
      <c r="G14" s="119">
        <f t="shared" si="0"/>
        <v>35.415865384615422</v>
      </c>
      <c r="H14" s="120">
        <f t="shared" si="1"/>
        <v>35.415865384615422</v>
      </c>
      <c r="I14" s="81">
        <f>VLOOKUP(B14,All_Ingredients!$A$1:$F$151,6,FALSE())</f>
        <v>0.6</v>
      </c>
      <c r="J14" s="119">
        <f>VLOOKUP(B14,All_Ingredients!$A$1:$J$151,10,FALSE())</f>
        <v>90</v>
      </c>
      <c r="K14" s="122">
        <f t="shared" si="7"/>
        <v>5.902644230769237E-2</v>
      </c>
      <c r="L14" s="122">
        <f t="shared" si="8"/>
        <v>5.312379807692313</v>
      </c>
      <c r="AI14" s="79" t="s">
        <v>97</v>
      </c>
      <c r="AJ14" s="323" t="s">
        <v>132</v>
      </c>
      <c r="AK14" s="334" t="s">
        <v>14</v>
      </c>
      <c r="AL14" s="116">
        <v>5</v>
      </c>
      <c r="AM14" s="116">
        <f t="shared" si="4"/>
        <v>6.402868318122553</v>
      </c>
      <c r="AN14" s="127">
        <v>1</v>
      </c>
      <c r="AO14" s="119">
        <f t="shared" si="5"/>
        <v>32.014341590612766</v>
      </c>
      <c r="AP14" s="120">
        <f t="shared" si="6"/>
        <v>32.014341590612766</v>
      </c>
      <c r="AQ14" s="1145">
        <f>VLOOKUP(AJ14,Marination_Ordering!$A:$J,6,FALSE)</f>
        <v>1</v>
      </c>
      <c r="AR14" s="1145">
        <f>VLOOKUP(AJ14,Marination_Ordering!$A:$J,10,FALSE)</f>
        <v>107</v>
      </c>
      <c r="AS14" s="556">
        <f t="shared" si="12"/>
        <v>32.014341590612766</v>
      </c>
      <c r="AT14" s="1145">
        <f t="shared" si="13"/>
        <v>3.4255345501955663</v>
      </c>
    </row>
    <row r="15" spans="1:46" ht="14.25" customHeight="1" x14ac:dyDescent="0.3">
      <c r="A15" s="128" t="s">
        <v>63</v>
      </c>
      <c r="B15" s="114" t="s">
        <v>62</v>
      </c>
      <c r="C15" s="124" t="s">
        <v>14</v>
      </c>
      <c r="D15" s="125">
        <v>28</v>
      </c>
      <c r="E15" s="116">
        <f t="shared" si="9"/>
        <v>11.805288461538474</v>
      </c>
      <c r="F15" s="127">
        <v>1</v>
      </c>
      <c r="G15" s="119">
        <f t="shared" si="0"/>
        <v>330.54807692307725</v>
      </c>
      <c r="H15" s="120">
        <f t="shared" si="1"/>
        <v>330.54807692307725</v>
      </c>
      <c r="I15" s="81">
        <f>VLOOKUP(B15,All_Ingredients!$A$1:$F$151,6,FALSE())</f>
        <v>0.94</v>
      </c>
      <c r="J15" s="119">
        <f>VLOOKUP(B15,All_Ingredients!$A$1:$J$151,10,FALSE())</f>
        <v>3.6363636363636367</v>
      </c>
      <c r="K15" s="122">
        <f t="shared" si="7"/>
        <v>0.35164689034369923</v>
      </c>
      <c r="L15" s="122">
        <f t="shared" si="8"/>
        <v>1.2787159648861792</v>
      </c>
      <c r="AI15" s="79" t="s">
        <v>97</v>
      </c>
      <c r="AJ15" s="323" t="s">
        <v>128</v>
      </c>
      <c r="AK15" s="334" t="s">
        <v>14</v>
      </c>
      <c r="AL15" s="116">
        <v>7</v>
      </c>
      <c r="AM15" s="116">
        <f t="shared" si="4"/>
        <v>6.402868318122553</v>
      </c>
      <c r="AN15" s="127">
        <v>1</v>
      </c>
      <c r="AO15" s="119">
        <f t="shared" si="5"/>
        <v>44.820078226857873</v>
      </c>
      <c r="AP15" s="120">
        <f t="shared" si="6"/>
        <v>44.820078226857873</v>
      </c>
      <c r="AQ15" s="1145">
        <f>VLOOKUP(AJ15,Marination_Ordering!$A:$J,6,FALSE)</f>
        <v>1</v>
      </c>
      <c r="AR15" s="1145">
        <f>VLOOKUP(AJ15,Marination_Ordering!$A:$J,10,FALSE)</f>
        <v>37</v>
      </c>
      <c r="AS15" s="556">
        <f t="shared" si="12"/>
        <v>44.820078226857873</v>
      </c>
      <c r="AT15" s="1145">
        <f t="shared" si="13"/>
        <v>1.6583428943937413</v>
      </c>
    </row>
    <row r="16" spans="1:46" ht="14.25" customHeight="1" x14ac:dyDescent="0.3">
      <c r="A16" s="128" t="s">
        <v>97</v>
      </c>
      <c r="B16" s="114" t="s">
        <v>119</v>
      </c>
      <c r="C16" s="124" t="s">
        <v>14</v>
      </c>
      <c r="D16" s="125">
        <v>12</v>
      </c>
      <c r="E16" s="116">
        <f t="shared" si="9"/>
        <v>11.805288461538474</v>
      </c>
      <c r="F16" s="127">
        <v>0.75</v>
      </c>
      <c r="G16" s="119">
        <f t="shared" si="0"/>
        <v>141.66346153846169</v>
      </c>
      <c r="H16" s="120">
        <f t="shared" si="1"/>
        <v>106.24759615384627</v>
      </c>
      <c r="I16" s="81">
        <f>VLOOKUP(B16,All_Ingredients!$A$1:$F$151,6,FALSE())</f>
        <v>1</v>
      </c>
      <c r="J16" s="119">
        <f>VLOOKUP(B16,All_Ingredients!$A$1:$J$151,10,FALSE())</f>
        <v>14.5</v>
      </c>
      <c r="K16" s="122">
        <f t="shared" si="7"/>
        <v>0.10624759615384627</v>
      </c>
      <c r="L16" s="122">
        <f t="shared" si="8"/>
        <v>1.5405901442307708</v>
      </c>
      <c r="AI16" s="79" t="s">
        <v>57</v>
      </c>
      <c r="AJ16" s="323" t="s">
        <v>56</v>
      </c>
      <c r="AK16" s="334" t="s">
        <v>14</v>
      </c>
      <c r="AL16" s="125">
        <v>100</v>
      </c>
      <c r="AM16" s="116">
        <f t="shared" si="4"/>
        <v>6.402868318122553</v>
      </c>
      <c r="AN16" s="127">
        <v>1</v>
      </c>
      <c r="AO16" s="119">
        <f t="shared" si="5"/>
        <v>640.28683181225529</v>
      </c>
      <c r="AP16" s="120">
        <f t="shared" si="6"/>
        <v>640.28683181225529</v>
      </c>
      <c r="AQ16" s="1145">
        <f>VLOOKUP(AJ16,Marination_Ordering!$A:$J,6,FALSE)</f>
        <v>0.87</v>
      </c>
      <c r="AR16" s="1145">
        <f>VLOOKUP(AJ16,Marination_Ordering!$A:$J,10,FALSE)</f>
        <v>3.2</v>
      </c>
      <c r="AS16" s="556">
        <f t="shared" si="12"/>
        <v>735.96187564627041</v>
      </c>
      <c r="AT16" s="1145">
        <f t="shared" si="13"/>
        <v>2.3550780020680655</v>
      </c>
    </row>
    <row r="17" spans="1:46" ht="14.25" customHeight="1" x14ac:dyDescent="0.3">
      <c r="A17" s="128" t="s">
        <v>158</v>
      </c>
      <c r="B17" s="114" t="s">
        <v>157</v>
      </c>
      <c r="C17" s="124" t="s">
        <v>14</v>
      </c>
      <c r="D17" s="125">
        <v>25</v>
      </c>
      <c r="E17" s="116">
        <f t="shared" si="9"/>
        <v>11.805288461538474</v>
      </c>
      <c r="F17" s="127">
        <v>1</v>
      </c>
      <c r="G17" s="119">
        <f t="shared" si="0"/>
        <v>295.13221153846183</v>
      </c>
      <c r="H17" s="120">
        <f t="shared" si="1"/>
        <v>295.13221153846183</v>
      </c>
      <c r="I17" s="81">
        <f>VLOOKUP(B17,All_Ingredients!$A$1:$F$151,6,FALSE())</f>
        <v>1</v>
      </c>
      <c r="J17" s="119">
        <f>VLOOKUP(B17,All_Ingredients!$A$1:$J$151,10,FALSE())</f>
        <v>30</v>
      </c>
      <c r="K17" s="122">
        <f t="shared" si="7"/>
        <v>0.29513221153846181</v>
      </c>
      <c r="L17" s="122">
        <f t="shared" si="8"/>
        <v>8.8539663461538538</v>
      </c>
      <c r="AI17" s="79" t="s">
        <v>13</v>
      </c>
      <c r="AJ17" s="323" t="s">
        <v>792</v>
      </c>
      <c r="AK17" s="334" t="s">
        <v>14</v>
      </c>
      <c r="AL17" s="116">
        <v>150</v>
      </c>
      <c r="AM17" s="116">
        <f t="shared" si="4"/>
        <v>6.402868318122553</v>
      </c>
      <c r="AN17" s="127">
        <v>1</v>
      </c>
      <c r="AO17" s="119">
        <f t="shared" si="5"/>
        <v>960.43024771838293</v>
      </c>
      <c r="AP17" s="120">
        <f t="shared" si="6"/>
        <v>960.43024771838293</v>
      </c>
      <c r="AQ17" s="1145">
        <f>VLOOKUP(AJ17,Marination_Ordering!$A:$J,6,FALSE)</f>
        <v>1</v>
      </c>
      <c r="AR17" s="1145">
        <f>VLOOKUP(AJ17,Marination_Ordering!$A:$J,10,FALSE)</f>
        <v>10.5</v>
      </c>
      <c r="AS17" s="556">
        <f t="shared" si="12"/>
        <v>960.43024771838293</v>
      </c>
      <c r="AT17" s="1145">
        <f t="shared" si="13"/>
        <v>10.084517601043022</v>
      </c>
    </row>
    <row r="18" spans="1:46" ht="14.25" customHeight="1" x14ac:dyDescent="0.3">
      <c r="A18" s="128" t="s">
        <v>97</v>
      </c>
      <c r="B18" s="114" t="s">
        <v>96</v>
      </c>
      <c r="C18" s="124" t="s">
        <v>14</v>
      </c>
      <c r="D18" s="125">
        <v>7</v>
      </c>
      <c r="E18" s="116">
        <f t="shared" si="9"/>
        <v>11.805288461538474</v>
      </c>
      <c r="F18" s="127">
        <v>0.75</v>
      </c>
      <c r="G18" s="119">
        <f t="shared" si="0"/>
        <v>82.637019230769312</v>
      </c>
      <c r="H18" s="120">
        <f t="shared" si="1"/>
        <v>61.977764423076984</v>
      </c>
      <c r="I18" s="81">
        <f>VLOOKUP(B18,All_Ingredients!$A$1:$F$151,6,FALSE())</f>
        <v>1</v>
      </c>
      <c r="J18" s="119">
        <f>VLOOKUP(B18,All_Ingredients!$A$1:$J$151,10,FALSE())</f>
        <v>0.74</v>
      </c>
      <c r="K18" s="122">
        <f t="shared" si="7"/>
        <v>6.1977764423076981E-2</v>
      </c>
      <c r="L18" s="122">
        <f t="shared" si="8"/>
        <v>4.5863545673076968E-2</v>
      </c>
      <c r="AI18" s="79" t="s">
        <v>210</v>
      </c>
      <c r="AJ18" s="323" t="s">
        <v>219</v>
      </c>
      <c r="AK18" s="334" t="s">
        <v>165</v>
      </c>
      <c r="AL18" s="116">
        <v>300</v>
      </c>
      <c r="AM18" s="116">
        <f t="shared" si="4"/>
        <v>6.402868318122553</v>
      </c>
      <c r="AN18" s="127">
        <v>1</v>
      </c>
      <c r="AO18" s="119">
        <f t="shared" si="5"/>
        <v>1920.8604954367659</v>
      </c>
      <c r="AP18" s="120">
        <f t="shared" si="6"/>
        <v>1920.8604954367659</v>
      </c>
      <c r="AQ18" s="1145">
        <f>VLOOKUP(AJ18,Marination_Ordering!$A:$J,6,FALSE)</f>
        <v>1</v>
      </c>
      <c r="AR18" s="1145">
        <f>VLOOKUP(AJ18,Marination_Ordering!$A:$J,10,FALSE)</f>
        <v>5</v>
      </c>
      <c r="AS18" s="556">
        <f t="shared" si="12"/>
        <v>1920.8604954367659</v>
      </c>
      <c r="AT18" s="1145">
        <f t="shared" si="13"/>
        <v>9.604302477183829</v>
      </c>
    </row>
    <row r="19" spans="1:46" ht="14.25" customHeight="1" x14ac:dyDescent="0.3">
      <c r="A19" s="128" t="s">
        <v>220</v>
      </c>
      <c r="B19" s="114" t="s">
        <v>221</v>
      </c>
      <c r="C19" s="124" t="s">
        <v>14</v>
      </c>
      <c r="D19" s="125">
        <v>2.5</v>
      </c>
      <c r="E19" s="116">
        <f t="shared" si="9"/>
        <v>11.805288461538474</v>
      </c>
      <c r="F19" s="127">
        <v>1</v>
      </c>
      <c r="G19" s="119">
        <f t="shared" si="0"/>
        <v>29.513221153846185</v>
      </c>
      <c r="H19" s="120">
        <f t="shared" si="1"/>
        <v>29.513221153846185</v>
      </c>
      <c r="I19" s="81">
        <f>VLOOKUP(B19,All_Ingredients!$A$1:$F$151,6,FALSE())</f>
        <v>1</v>
      </c>
      <c r="J19" s="119">
        <f>VLOOKUP(B19,All_Ingredients!$A$1:$J$151,10,FALSE())</f>
        <v>35</v>
      </c>
      <c r="K19" s="122">
        <f t="shared" si="7"/>
        <v>2.9513221153846185E-2</v>
      </c>
      <c r="L19" s="122">
        <f t="shared" si="8"/>
        <v>1.0329627403846164</v>
      </c>
      <c r="AI19" s="79" t="s">
        <v>210</v>
      </c>
      <c r="AJ19" s="323" t="s">
        <v>215</v>
      </c>
      <c r="AK19" s="124" t="s">
        <v>165</v>
      </c>
      <c r="AL19" s="116">
        <v>50</v>
      </c>
      <c r="AM19" s="116">
        <f t="shared" si="4"/>
        <v>6.402868318122553</v>
      </c>
      <c r="AN19" s="127">
        <v>1</v>
      </c>
      <c r="AO19" s="119">
        <f t="shared" si="5"/>
        <v>320.14341590612764</v>
      </c>
      <c r="AP19" s="120">
        <f t="shared" si="6"/>
        <v>320.14341590612764</v>
      </c>
      <c r="AQ19" s="1145">
        <f>VLOOKUP(AJ19,Marination_Ordering!$A:$J,6,FALSE)</f>
        <v>1</v>
      </c>
      <c r="AR19" s="1145">
        <f>VLOOKUP(AJ19,Marination_Ordering!$A:$J,10,FALSE)</f>
        <v>2.1621621621621623</v>
      </c>
      <c r="AS19" s="556">
        <f t="shared" si="12"/>
        <v>320.14341590612764</v>
      </c>
      <c r="AT19" s="1145">
        <f t="shared" si="13"/>
        <v>0.69220198033757341</v>
      </c>
    </row>
    <row r="20" spans="1:46" ht="14.25" customHeight="1" x14ac:dyDescent="0.3">
      <c r="A20" s="128" t="s">
        <v>13</v>
      </c>
      <c r="B20" s="114" t="s">
        <v>17</v>
      </c>
      <c r="C20" s="124" t="s">
        <v>14</v>
      </c>
      <c r="D20" s="394">
        <v>400</v>
      </c>
      <c r="E20" s="116">
        <f t="shared" si="9"/>
        <v>11.805288461538474</v>
      </c>
      <c r="F20" s="395">
        <v>0.95</v>
      </c>
      <c r="G20" s="119">
        <f t="shared" si="0"/>
        <v>4722.1153846153893</v>
      </c>
      <c r="H20" s="120">
        <f t="shared" si="1"/>
        <v>4486.0096153846198</v>
      </c>
      <c r="I20" s="81">
        <f>VLOOKUP(B20,All_Ingredients!$A$1:$F$151,6,FALSE())</f>
        <v>0.98</v>
      </c>
      <c r="J20" s="119">
        <f>VLOOKUP(B20,All_Ingredients!$A$1:$J$151,10,FALSE())</f>
        <v>3.5</v>
      </c>
      <c r="K20" s="122">
        <f t="shared" si="7"/>
        <v>4.5775608320251218</v>
      </c>
      <c r="L20" s="122">
        <f t="shared" si="8"/>
        <v>16.021462912087927</v>
      </c>
    </row>
    <row r="21" spans="1:46" ht="14.25" customHeight="1" x14ac:dyDescent="0.3">
      <c r="B21" s="100"/>
      <c r="C21" s="171"/>
      <c r="D21" s="171"/>
      <c r="E21" s="346"/>
      <c r="F21" s="100"/>
      <c r="G21" s="171"/>
      <c r="L21" s="297"/>
    </row>
    <row r="22" spans="1:46" ht="14.25" customHeight="1" x14ac:dyDescent="0.3">
      <c r="L22" s="297"/>
    </row>
    <row r="23" spans="1:46" ht="14.25" customHeight="1" x14ac:dyDescent="0.3">
      <c r="L23" s="297"/>
      <c r="R23"/>
    </row>
    <row r="24" spans="1:46" ht="14.25" customHeight="1" x14ac:dyDescent="0.3">
      <c r="L24" s="297"/>
      <c r="Z24" s="1234"/>
    </row>
    <row r="25" spans="1:46" ht="15.75" customHeight="1" x14ac:dyDescent="0.35">
      <c r="L25" s="297"/>
      <c r="R25" s="1411" t="s">
        <v>372</v>
      </c>
      <c r="S25" s="1388"/>
      <c r="T25" s="1388"/>
      <c r="U25" s="1388"/>
      <c r="V25" s="1151"/>
      <c r="Z25" s="141" t="s">
        <v>264</v>
      </c>
      <c r="AA25" s="142">
        <v>48800</v>
      </c>
      <c r="AB25" s="141" t="s">
        <v>261</v>
      </c>
      <c r="AC25" s="143">
        <f>(AA25*AE30)+(AA30*(AB28/R1))</f>
        <v>1352.417622046547</v>
      </c>
    </row>
    <row r="26" spans="1:46" ht="14.25" customHeight="1" x14ac:dyDescent="0.3">
      <c r="L26" s="297"/>
      <c r="R26" s="1409" t="s">
        <v>373</v>
      </c>
      <c r="S26" s="1410"/>
      <c r="T26" s="1410"/>
      <c r="U26" s="1410"/>
      <c r="V26" s="1151"/>
    </row>
    <row r="27" spans="1:46" ht="33.5" customHeight="1" thickBot="1" x14ac:dyDescent="0.35">
      <c r="R27" s="145" t="s">
        <v>266</v>
      </c>
      <c r="S27" s="146" t="s">
        <v>267</v>
      </c>
      <c r="T27" s="146" t="s">
        <v>268</v>
      </c>
      <c r="U27" s="146" t="s">
        <v>274</v>
      </c>
      <c r="V27" s="146" t="s">
        <v>839</v>
      </c>
      <c r="W27" s="146" t="s">
        <v>848</v>
      </c>
      <c r="Z27" s="141" t="s">
        <v>270</v>
      </c>
      <c r="AA27" s="1185" t="s">
        <v>324</v>
      </c>
      <c r="AB27" s="147" t="s">
        <v>271</v>
      </c>
      <c r="AC27" s="147" t="s">
        <v>272</v>
      </c>
      <c r="AD27" s="1186" t="s">
        <v>848</v>
      </c>
      <c r="AE27" s="147" t="s">
        <v>274</v>
      </c>
    </row>
    <row r="28" spans="1:46" ht="14.25" customHeight="1" thickBot="1" x14ac:dyDescent="0.35">
      <c r="R28" s="148" t="s">
        <v>275</v>
      </c>
      <c r="S28" s="149">
        <f>U28*S40</f>
        <v>37392.307692307681</v>
      </c>
      <c r="T28" s="149">
        <f>U28*U40</f>
        <v>11217.692307692319</v>
      </c>
      <c r="U28" s="150">
        <f>$Z$1</f>
        <v>48610</v>
      </c>
      <c r="V28" s="149">
        <f>SUM(AP5:AP13)</f>
        <v>2048.917861799217</v>
      </c>
      <c r="W28" s="149">
        <f>H37</f>
        <v>23.8</v>
      </c>
      <c r="Z28" s="151"/>
      <c r="AA28" s="1188"/>
      <c r="AB28" s="152">
        <f>AA25*$S$40</f>
        <v>37538.461538461532</v>
      </c>
      <c r="AC28" s="152">
        <f>AA25-AB28</f>
        <v>11261.538461538468</v>
      </c>
      <c r="AD28" s="1188"/>
      <c r="AE28" s="154">
        <f>SUM(AB28:AC28)</f>
        <v>48800</v>
      </c>
    </row>
    <row r="29" spans="1:46" ht="14.25" customHeight="1" thickBot="1" x14ac:dyDescent="0.35">
      <c r="R29" s="148" t="s">
        <v>276</v>
      </c>
      <c r="S29" s="155"/>
      <c r="T29" s="149"/>
      <c r="U29" s="149">
        <f>T29</f>
        <v>0</v>
      </c>
      <c r="V29" s="149"/>
      <c r="W29" s="149"/>
      <c r="Z29" s="151"/>
      <c r="AA29" s="1192"/>
      <c r="AB29" s="156">
        <f>AB28/$AE$28</f>
        <v>0.76923076923076905</v>
      </c>
      <c r="AC29" s="156">
        <f>AC28/$AE$28</f>
        <v>0.23076923076923089</v>
      </c>
      <c r="AD29" s="1192"/>
      <c r="AE29" s="156">
        <f>AE28/$AE$28</f>
        <v>1</v>
      </c>
    </row>
    <row r="30" spans="1:46" ht="19.25" customHeight="1" thickBot="1" x14ac:dyDescent="0.35">
      <c r="R30" s="148" t="s">
        <v>277</v>
      </c>
      <c r="S30" s="1228">
        <f>U30*S40</f>
        <v>384.61538461538453</v>
      </c>
      <c r="T30" s="1228">
        <f>U30*U40</f>
        <v>115.3846153846155</v>
      </c>
      <c r="U30" s="150">
        <f>$AB$1</f>
        <v>500</v>
      </c>
      <c r="V30" s="1143"/>
      <c r="W30" s="1143"/>
      <c r="Z30" s="141" t="s">
        <v>278</v>
      </c>
      <c r="AA30" s="1196">
        <f>V35/(S32/R1)</f>
        <v>2.9576999999999994E-4</v>
      </c>
      <c r="AB30" s="157">
        <f>S35/(S28)</f>
        <v>3.4047870978759373E-2</v>
      </c>
      <c r="AC30" s="158">
        <f>T35/T32</f>
        <v>4.7824206172539701E-3</v>
      </c>
      <c r="AD30" s="1199">
        <f>W35/U32</f>
        <v>3.3551054931629149E-5</v>
      </c>
      <c r="AE30" s="1201">
        <f>SUMPRODUCT(AB30:AC30,AB29:AC29)+AD30</f>
        <v>2.7327856565651291E-2</v>
      </c>
    </row>
    <row r="31" spans="1:46" ht="14.25" customHeight="1" thickBot="1" x14ac:dyDescent="0.35">
      <c r="L31" s="100"/>
      <c r="M31" s="100"/>
      <c r="N31" s="100"/>
      <c r="O31" s="100"/>
      <c r="P31" s="100"/>
      <c r="Q31" s="100"/>
      <c r="R31" s="148" t="s">
        <v>279</v>
      </c>
      <c r="S31" s="155"/>
      <c r="T31" s="149"/>
      <c r="U31" s="149"/>
      <c r="V31" s="149"/>
      <c r="W31" s="149"/>
      <c r="X31" s="14" t="s">
        <v>322</v>
      </c>
    </row>
    <row r="32" spans="1:46" ht="14.25" customHeight="1" thickBot="1" x14ac:dyDescent="0.35">
      <c r="R32" s="160" t="s">
        <v>269</v>
      </c>
      <c r="S32" s="149">
        <f>SUM(S28:S30)</f>
        <v>37776.923076923063</v>
      </c>
      <c r="T32" s="149">
        <f>SUM(T28:T30)</f>
        <v>11333.076923076935</v>
      </c>
      <c r="U32" s="149">
        <f>SUM(U28:U30)</f>
        <v>49110</v>
      </c>
      <c r="V32" s="149"/>
      <c r="W32" s="149">
        <f>SUM(W28:W30)</f>
        <v>23.8</v>
      </c>
    </row>
    <row r="33" spans="2:23" ht="14.25" customHeight="1" thickBot="1" x14ac:dyDescent="0.35">
      <c r="R33" s="161" t="s">
        <v>280</v>
      </c>
      <c r="S33" s="155"/>
      <c r="T33" s="155"/>
      <c r="U33" s="155"/>
      <c r="V33" s="155"/>
      <c r="W33" s="155"/>
    </row>
    <row r="34" spans="2:23" ht="14.25" customHeight="1" thickBot="1" x14ac:dyDescent="0.35">
      <c r="R34" s="162" t="s">
        <v>281</v>
      </c>
      <c r="S34" s="155"/>
      <c r="T34" s="149"/>
      <c r="U34" s="155"/>
      <c r="V34" s="155"/>
      <c r="W34" s="155"/>
    </row>
    <row r="35" spans="2:23" ht="14.25" customHeight="1" thickBot="1" x14ac:dyDescent="0.35">
      <c r="B35" s="1394" t="s">
        <v>687</v>
      </c>
      <c r="C35" s="1394"/>
      <c r="D35" s="1394"/>
      <c r="E35" s="1394"/>
      <c r="F35" s="1394"/>
      <c r="G35" s="889"/>
      <c r="H35" s="889"/>
      <c r="I35" s="889"/>
      <c r="J35" s="889"/>
      <c r="K35" s="889"/>
      <c r="L35" s="889"/>
      <c r="R35" s="163" t="s">
        <v>261</v>
      </c>
      <c r="S35" s="164">
        <f>$L$5</f>
        <v>1273.1284679057635</v>
      </c>
      <c r="T35" s="164">
        <f>SUM(L6:L13)</f>
        <v>54.199540733848316</v>
      </c>
      <c r="U35" s="164">
        <f>S35+T35+V35+W35</f>
        <v>1347.9134645718152</v>
      </c>
      <c r="V35" s="1144">
        <f>SUM(AT6:AT13)</f>
        <v>18.937763624511071</v>
      </c>
      <c r="W35" s="1144">
        <f>L37</f>
        <v>1.6476923076923076</v>
      </c>
    </row>
    <row r="36" spans="2:23" ht="46.5" x14ac:dyDescent="0.3">
      <c r="B36" s="860" t="s">
        <v>253</v>
      </c>
      <c r="C36" s="860" t="s">
        <v>329</v>
      </c>
      <c r="D36" s="862" t="s">
        <v>671</v>
      </c>
      <c r="E36" s="859" t="s">
        <v>672</v>
      </c>
      <c r="F36" s="862" t="s">
        <v>673</v>
      </c>
      <c r="G36" s="882"/>
      <c r="H36" s="862" t="s">
        <v>673</v>
      </c>
      <c r="I36" s="862" t="s">
        <v>258</v>
      </c>
      <c r="J36" s="862" t="s">
        <v>259</v>
      </c>
      <c r="K36" s="862" t="s">
        <v>260</v>
      </c>
      <c r="L36" s="862" t="s">
        <v>261</v>
      </c>
    </row>
    <row r="37" spans="2:23" x14ac:dyDescent="0.3">
      <c r="B37" s="855" t="s">
        <v>746</v>
      </c>
      <c r="C37" s="856" t="s">
        <v>14</v>
      </c>
      <c r="D37" s="857">
        <v>7.0000000000000007E-2</v>
      </c>
      <c r="E37" s="855">
        <f>$AD$1</f>
        <v>340</v>
      </c>
      <c r="F37" s="855">
        <f>D37*E37</f>
        <v>23.8</v>
      </c>
      <c r="G37"/>
      <c r="H37" s="855">
        <f>F37</f>
        <v>23.8</v>
      </c>
      <c r="I37" s="855">
        <f>VLOOKUP(B37,All_Ingredients!$A$1:$F$151,6,FALSE())</f>
        <v>0.65</v>
      </c>
      <c r="J37" s="855">
        <f>VLOOKUP(B37,All_Ingredients!$A$1:$J$151,10,FALSE())</f>
        <v>45</v>
      </c>
      <c r="K37" s="855">
        <f>(H37/I37)/1000</f>
        <v>3.6615384615384612E-2</v>
      </c>
      <c r="L37" s="855">
        <f t="shared" ref="L37" si="14">K37*J37</f>
        <v>1.6476923076923076</v>
      </c>
    </row>
    <row r="40" spans="2:23" ht="10.25" customHeight="1" x14ac:dyDescent="0.3">
      <c r="R40" s="165" t="s">
        <v>282</v>
      </c>
      <c r="S40" s="166">
        <v>0.76923076923076905</v>
      </c>
      <c r="T40" s="165" t="s">
        <v>283</v>
      </c>
      <c r="U40" s="167">
        <v>0.230769230769231</v>
      </c>
      <c r="V40" s="168">
        <f>S40+U40</f>
        <v>1</v>
      </c>
    </row>
    <row r="41" spans="2:23" ht="14.25" customHeight="1" x14ac:dyDescent="0.3">
      <c r="U41" s="169"/>
    </row>
    <row r="43" spans="2:23" ht="14.25" customHeight="1" x14ac:dyDescent="0.3">
      <c r="Q43" s="170" t="s">
        <v>284</v>
      </c>
      <c r="R43" s="170" t="s">
        <v>285</v>
      </c>
      <c r="S43" s="170" t="s">
        <v>286</v>
      </c>
      <c r="T43" s="170" t="s">
        <v>287</v>
      </c>
      <c r="U43" s="170" t="s">
        <v>288</v>
      </c>
      <c r="V43" s="170" t="s">
        <v>289</v>
      </c>
      <c r="W43" s="258" t="s">
        <v>290</v>
      </c>
    </row>
    <row r="44" spans="2:23" ht="14.25" customHeight="1" x14ac:dyDescent="0.3">
      <c r="Q44" s="172">
        <v>43334</v>
      </c>
      <c r="R44" s="173">
        <f>D51</f>
        <v>10000</v>
      </c>
      <c r="S44" s="174">
        <v>1</v>
      </c>
      <c r="T44" s="174">
        <v>0</v>
      </c>
      <c r="U44" s="242">
        <f>R44*S44</f>
        <v>10000</v>
      </c>
      <c r="V44" s="176">
        <f>R44*T44</f>
        <v>0</v>
      </c>
      <c r="W44" s="260">
        <f>Q44-U44</f>
        <v>33334</v>
      </c>
    </row>
    <row r="48" spans="2:23" ht="14.25" customHeight="1" x14ac:dyDescent="0.3"/>
    <row r="49" spans="1:10" ht="14.25" customHeight="1" x14ac:dyDescent="0.3"/>
    <row r="50" spans="1:10" ht="14" customHeight="1" x14ac:dyDescent="0.3">
      <c r="B50" s="145"/>
      <c r="C50" s="145" t="s">
        <v>245</v>
      </c>
      <c r="D50" s="145" t="s">
        <v>291</v>
      </c>
      <c r="E50" s="183"/>
      <c r="F50" s="100"/>
      <c r="G50" s="145" t="s">
        <v>292</v>
      </c>
      <c r="H50" s="145" t="s">
        <v>245</v>
      </c>
      <c r="I50" s="145" t="s">
        <v>293</v>
      </c>
      <c r="J50" s="145" t="s">
        <v>294</v>
      </c>
    </row>
    <row r="51" spans="1:10" ht="14" customHeight="1" x14ac:dyDescent="0.3">
      <c r="B51" s="180" t="s">
        <v>295</v>
      </c>
      <c r="C51" s="181">
        <f>10/$K$1</f>
        <v>10.416666666666668</v>
      </c>
      <c r="D51" s="182">
        <f>$C$1*10</f>
        <v>10000</v>
      </c>
      <c r="E51" s="183"/>
      <c r="F51" s="100"/>
      <c r="G51" s="180" t="s">
        <v>295</v>
      </c>
      <c r="H51" s="277">
        <f>I51/$D$5</f>
        <v>10</v>
      </c>
      <c r="I51" s="181">
        <f>J51/$R$1</f>
        <v>56498.305084745763</v>
      </c>
      <c r="J51" s="181">
        <f>$W$44</f>
        <v>33334</v>
      </c>
    </row>
    <row r="52" spans="1:10" ht="14.25" customHeight="1" x14ac:dyDescent="0.3">
      <c r="B52" s="231" t="s">
        <v>274</v>
      </c>
      <c r="C52" s="232">
        <f>$I$1</f>
        <v>11.805288461538474</v>
      </c>
      <c r="D52" s="233">
        <f>$E$1</f>
        <v>11333.076923076935</v>
      </c>
      <c r="E52" s="100"/>
      <c r="F52" s="100"/>
      <c r="G52" s="148" t="s">
        <v>274</v>
      </c>
      <c r="H52" s="210">
        <f>I52/$D$5</f>
        <v>11.332850266071597</v>
      </c>
      <c r="I52" s="176">
        <f>J52/$R$1</f>
        <v>64028.683181225533</v>
      </c>
      <c r="J52" s="184">
        <f>$S$32</f>
        <v>37776.923076923063</v>
      </c>
    </row>
    <row r="53" spans="1:10" ht="14.25" customHeight="1" x14ac:dyDescent="0.3">
      <c r="B53" s="231" t="s">
        <v>296</v>
      </c>
      <c r="C53" s="234">
        <f>MIN(C52, C51)</f>
        <v>10.416666666666668</v>
      </c>
      <c r="D53" s="233">
        <f>(C53*$K$1)*$C$1</f>
        <v>10000</v>
      </c>
      <c r="E53" s="100"/>
      <c r="F53" s="100"/>
      <c r="G53" s="148" t="s">
        <v>296</v>
      </c>
      <c r="H53" s="187">
        <f>MIN(H52,H51)</f>
        <v>10</v>
      </c>
      <c r="I53" s="176">
        <f>J53/$R$1</f>
        <v>56498.305084745763</v>
      </c>
      <c r="J53" s="176">
        <f>MIN(J52,J51)</f>
        <v>33334</v>
      </c>
    </row>
    <row r="54" spans="1:10" x14ac:dyDescent="0.3">
      <c r="B54" s="231" t="s">
        <v>297</v>
      </c>
      <c r="C54" s="234">
        <f>MIN(MAX(C52-C53,0),C51)</f>
        <v>1.3886217948718063</v>
      </c>
      <c r="D54" s="233">
        <f>(C54*$K$1)*$C$1</f>
        <v>1333.076923076934</v>
      </c>
      <c r="E54" s="100"/>
      <c r="F54" s="100"/>
      <c r="G54" s="148" t="s">
        <v>297</v>
      </c>
      <c r="H54" s="187">
        <f>MIN(MAX(H52-H53),H51)</f>
        <v>1.3328502660715973</v>
      </c>
      <c r="I54" s="176">
        <f>J54/$R$1</f>
        <v>7530.3780964797688</v>
      </c>
      <c r="J54" s="176">
        <f>MIN(MAX(J52-J53),J51)</f>
        <v>4442.9230769230635</v>
      </c>
    </row>
    <row r="55" spans="1:10" x14ac:dyDescent="0.3">
      <c r="B55" s="231" t="s">
        <v>298</v>
      </c>
      <c r="C55" s="234">
        <f>MIN(MAX(C52-C53-C54,0),C51)</f>
        <v>0</v>
      </c>
      <c r="D55" s="233">
        <f>(C55*$K$1)*$C$1</f>
        <v>0</v>
      </c>
      <c r="E55" s="100"/>
      <c r="F55" s="100"/>
      <c r="G55" s="145" t="s">
        <v>298</v>
      </c>
      <c r="H55" s="187">
        <f>MIN(MAX(H52-H53-H54),H51)</f>
        <v>0</v>
      </c>
      <c r="I55" s="176">
        <f>J55/$R$1</f>
        <v>0</v>
      </c>
      <c r="J55" s="176">
        <f>MIN(MAX(J52-J53-J54),J51)</f>
        <v>0</v>
      </c>
    </row>
    <row r="62" spans="1:10" ht="17.75" customHeight="1" x14ac:dyDescent="0.3">
      <c r="A62" s="937"/>
      <c r="B62" s="1413" t="str">
        <f>"دجاج 65   1 / " &amp; COUNTIF($C$53:$C$55, "&gt;0")</f>
        <v>دجاج 65   1 / 2</v>
      </c>
      <c r="C62" s="1424"/>
      <c r="D62" s="1424"/>
      <c r="E62" s="1448"/>
      <c r="F62" s="1424"/>
      <c r="G62" s="1424"/>
      <c r="H62" s="1424"/>
    </row>
    <row r="63" spans="1:10" ht="17.75" customHeight="1" x14ac:dyDescent="0.3">
      <c r="A63" s="937"/>
      <c r="B63" s="1382" t="str">
        <f>"  Chicken 65   1 / " &amp; COUNTIF($C$53:$C$55, "&gt;0")</f>
        <v xml:space="preserve">  Chicken 65   1 / 2</v>
      </c>
      <c r="C63" s="1383"/>
      <c r="D63" s="1383"/>
      <c r="E63" s="1383"/>
      <c r="F63" s="1383"/>
      <c r="G63" s="1383"/>
      <c r="H63" s="1383"/>
    </row>
    <row r="64" spans="1:10" ht="25.5" customHeight="1" x14ac:dyDescent="0.25">
      <c r="A64" s="91"/>
      <c r="B64" s="91" t="s">
        <v>253</v>
      </c>
      <c r="C64" s="107" t="s">
        <v>254</v>
      </c>
      <c r="D64" s="91" t="s">
        <v>243</v>
      </c>
      <c r="E64" s="108" t="s">
        <v>246</v>
      </c>
      <c r="F64" s="108" t="s">
        <v>255</v>
      </c>
      <c r="G64" s="91" t="s">
        <v>256</v>
      </c>
      <c r="H64" s="109" t="s">
        <v>257</v>
      </c>
    </row>
    <row r="65" spans="1:8" ht="14.25" customHeight="1" x14ac:dyDescent="0.3">
      <c r="A65" s="128" t="s">
        <v>230</v>
      </c>
      <c r="B65" s="123" t="str">
        <f t="shared" ref="B65:D80" si="15">B5</f>
        <v>Chicken - دجاج</v>
      </c>
      <c r="C65" s="123" t="str">
        <f t="shared" si="15"/>
        <v>gm</v>
      </c>
      <c r="D65" s="263">
        <f t="shared" si="15"/>
        <v>5649.8305084745762</v>
      </c>
      <c r="E65" s="197">
        <f>H53</f>
        <v>10</v>
      </c>
      <c r="F65" s="127">
        <f t="shared" ref="F65:F80" si="16">F5</f>
        <v>1</v>
      </c>
      <c r="G65" s="119">
        <f t="shared" ref="G65:G80" si="17">D65*E65</f>
        <v>56498.305084745763</v>
      </c>
      <c r="H65" s="120">
        <f t="shared" ref="H65:H80" si="18">G65*F65</f>
        <v>56498.305084745763</v>
      </c>
    </row>
    <row r="66" spans="1:8" ht="14.25" customHeight="1" x14ac:dyDescent="0.3">
      <c r="A66" s="128" t="s">
        <v>196</v>
      </c>
      <c r="B66" s="123" t="str">
        <f t="shared" si="15"/>
        <v>Tomato Ketchup - كاتشب طماطم</v>
      </c>
      <c r="C66" s="123" t="str">
        <f t="shared" si="15"/>
        <v>ml</v>
      </c>
      <c r="D66" s="123">
        <f t="shared" si="15"/>
        <v>400</v>
      </c>
      <c r="E66" s="197">
        <f t="shared" ref="E66:E80" si="19">$C$53</f>
        <v>10.416666666666668</v>
      </c>
      <c r="F66" s="127">
        <f t="shared" si="16"/>
        <v>1</v>
      </c>
      <c r="G66" s="119">
        <f t="shared" si="17"/>
        <v>4166.666666666667</v>
      </c>
      <c r="H66" s="120">
        <f t="shared" si="18"/>
        <v>4166.666666666667</v>
      </c>
    </row>
    <row r="67" spans="1:8" ht="14.25" customHeight="1" x14ac:dyDescent="0.3">
      <c r="A67" s="128" t="s">
        <v>196</v>
      </c>
      <c r="B67" s="123" t="str">
        <f t="shared" si="15"/>
        <v>Sriracha Sauce - صوص سريراتشا</v>
      </c>
      <c r="C67" s="123" t="str">
        <f t="shared" si="15"/>
        <v>ml</v>
      </c>
      <c r="D67" s="123">
        <f t="shared" si="15"/>
        <v>33</v>
      </c>
      <c r="E67" s="197">
        <f t="shared" si="19"/>
        <v>10.416666666666668</v>
      </c>
      <c r="F67" s="127">
        <f t="shared" si="16"/>
        <v>0.75</v>
      </c>
      <c r="G67" s="119">
        <f t="shared" si="17"/>
        <v>343.75000000000006</v>
      </c>
      <c r="H67" s="120">
        <f t="shared" si="18"/>
        <v>257.81250000000006</v>
      </c>
    </row>
    <row r="68" spans="1:8" ht="14.25" customHeight="1" x14ac:dyDescent="0.3">
      <c r="A68" s="128" t="s">
        <v>97</v>
      </c>
      <c r="B68" s="123" t="str">
        <f t="shared" si="15"/>
        <v>Honey - عسل</v>
      </c>
      <c r="C68" s="123" t="str">
        <f t="shared" si="15"/>
        <v>gm</v>
      </c>
      <c r="D68" s="123">
        <f t="shared" si="15"/>
        <v>20</v>
      </c>
      <c r="E68" s="197">
        <f t="shared" si="19"/>
        <v>10.416666666666668</v>
      </c>
      <c r="F68" s="127">
        <f t="shared" si="16"/>
        <v>1</v>
      </c>
      <c r="G68" s="119">
        <f t="shared" si="17"/>
        <v>208.33333333333337</v>
      </c>
      <c r="H68" s="120">
        <f t="shared" si="18"/>
        <v>208.33333333333337</v>
      </c>
    </row>
    <row r="69" spans="1:8" ht="14.25" customHeight="1" x14ac:dyDescent="0.3">
      <c r="A69" s="128" t="s">
        <v>210</v>
      </c>
      <c r="B69" s="123" t="str">
        <f t="shared" si="15"/>
        <v>Water - ماء</v>
      </c>
      <c r="C69" s="123" t="str">
        <f t="shared" si="15"/>
        <v>ml</v>
      </c>
      <c r="D69" s="123">
        <f t="shared" si="15"/>
        <v>280</v>
      </c>
      <c r="E69" s="197">
        <f t="shared" si="19"/>
        <v>10.416666666666668</v>
      </c>
      <c r="F69" s="127">
        <f t="shared" si="16"/>
        <v>1</v>
      </c>
      <c r="G69" s="119">
        <f t="shared" si="17"/>
        <v>2916.666666666667</v>
      </c>
      <c r="H69" s="120">
        <f t="shared" si="18"/>
        <v>2916.666666666667</v>
      </c>
    </row>
    <row r="70" spans="1:8" ht="14.25" customHeight="1" x14ac:dyDescent="0.3">
      <c r="A70" s="128" t="s">
        <v>192</v>
      </c>
      <c r="B70" s="123" t="str">
        <f t="shared" si="15"/>
        <v>Corn Starch - نشا ذرة</v>
      </c>
      <c r="C70" s="123" t="str">
        <f t="shared" si="15"/>
        <v>gm</v>
      </c>
      <c r="D70" s="123">
        <f t="shared" si="15"/>
        <v>40</v>
      </c>
      <c r="E70" s="197">
        <f t="shared" si="19"/>
        <v>10.416666666666668</v>
      </c>
      <c r="F70" s="127">
        <f t="shared" si="16"/>
        <v>0.5</v>
      </c>
      <c r="G70" s="119">
        <f t="shared" si="17"/>
        <v>416.66666666666674</v>
      </c>
      <c r="H70" s="120">
        <f t="shared" si="18"/>
        <v>208.33333333333337</v>
      </c>
    </row>
    <row r="71" spans="1:8" ht="14.25" customHeight="1" x14ac:dyDescent="0.3">
      <c r="A71" s="128" t="s">
        <v>13</v>
      </c>
      <c r="B71" s="123" t="str">
        <f t="shared" si="15"/>
        <v>Onion - بصل</v>
      </c>
      <c r="C71" s="123" t="str">
        <f t="shared" si="15"/>
        <v>gm</v>
      </c>
      <c r="D71" s="123">
        <f t="shared" si="15"/>
        <v>270</v>
      </c>
      <c r="E71" s="197">
        <f t="shared" si="19"/>
        <v>10.416666666666668</v>
      </c>
      <c r="F71" s="127">
        <f t="shared" si="16"/>
        <v>0.95</v>
      </c>
      <c r="G71" s="119">
        <f t="shared" si="17"/>
        <v>2812.5000000000005</v>
      </c>
      <c r="H71" s="120">
        <f t="shared" si="18"/>
        <v>2671.8750000000005</v>
      </c>
    </row>
    <row r="72" spans="1:8" ht="14.25" customHeight="1" x14ac:dyDescent="0.3">
      <c r="A72" s="128" t="s">
        <v>13</v>
      </c>
      <c r="B72" s="123" t="str">
        <f t="shared" si="15"/>
        <v>Garlic - ثوم مقشر</v>
      </c>
      <c r="C72" s="123" t="str">
        <f t="shared" si="15"/>
        <v>gm</v>
      </c>
      <c r="D72" s="123">
        <f t="shared" si="15"/>
        <v>40</v>
      </c>
      <c r="E72" s="197">
        <f t="shared" si="19"/>
        <v>10.416666666666668</v>
      </c>
      <c r="F72" s="127">
        <f t="shared" si="16"/>
        <v>0.95</v>
      </c>
      <c r="G72" s="119">
        <f t="shared" si="17"/>
        <v>416.66666666666674</v>
      </c>
      <c r="H72" s="120">
        <f t="shared" si="18"/>
        <v>395.83333333333337</v>
      </c>
    </row>
    <row r="73" spans="1:8" ht="14.25" customHeight="1" x14ac:dyDescent="0.3">
      <c r="A73" s="128" t="s">
        <v>57</v>
      </c>
      <c r="B73" s="123" t="str">
        <f t="shared" si="15"/>
        <v>Ginger - زنجبيل</v>
      </c>
      <c r="C73" s="123" t="str">
        <f t="shared" si="15"/>
        <v>gm</v>
      </c>
      <c r="D73" s="123">
        <f t="shared" si="15"/>
        <v>40</v>
      </c>
      <c r="E73" s="197">
        <f t="shared" si="19"/>
        <v>10.416666666666668</v>
      </c>
      <c r="F73" s="127">
        <f t="shared" si="16"/>
        <v>0.6</v>
      </c>
      <c r="G73" s="119">
        <f t="shared" si="17"/>
        <v>416.66666666666674</v>
      </c>
      <c r="H73" s="120">
        <f t="shared" si="18"/>
        <v>250.00000000000003</v>
      </c>
    </row>
    <row r="74" spans="1:8" ht="14.25" customHeight="1" x14ac:dyDescent="0.3">
      <c r="A74" s="128" t="s">
        <v>63</v>
      </c>
      <c r="B74" s="123" t="str">
        <f t="shared" si="15"/>
        <v>Curry Leaves - أوراق الكاري</v>
      </c>
      <c r="C74" s="123" t="str">
        <f t="shared" si="15"/>
        <v>gm</v>
      </c>
      <c r="D74" s="123">
        <f t="shared" si="15"/>
        <v>3</v>
      </c>
      <c r="E74" s="197">
        <f t="shared" si="19"/>
        <v>10.416666666666668</v>
      </c>
      <c r="F74" s="127">
        <f t="shared" si="16"/>
        <v>1</v>
      </c>
      <c r="G74" s="119">
        <f t="shared" si="17"/>
        <v>31.250000000000004</v>
      </c>
      <c r="H74" s="120">
        <f t="shared" si="18"/>
        <v>31.250000000000004</v>
      </c>
    </row>
    <row r="75" spans="1:8" ht="14.25" customHeight="1" x14ac:dyDescent="0.3">
      <c r="A75" s="128" t="s">
        <v>63</v>
      </c>
      <c r="B75" s="123" t="str">
        <f t="shared" si="15"/>
        <v>Coriander Leaves - كزبرة خضراء</v>
      </c>
      <c r="C75" s="123" t="str">
        <f t="shared" si="15"/>
        <v>gm</v>
      </c>
      <c r="D75" s="123">
        <f t="shared" si="15"/>
        <v>28</v>
      </c>
      <c r="E75" s="197">
        <f t="shared" si="19"/>
        <v>10.416666666666668</v>
      </c>
      <c r="F75" s="127">
        <f t="shared" si="16"/>
        <v>1</v>
      </c>
      <c r="G75" s="119">
        <f t="shared" si="17"/>
        <v>291.66666666666669</v>
      </c>
      <c r="H75" s="120">
        <f t="shared" si="18"/>
        <v>291.66666666666669</v>
      </c>
    </row>
    <row r="76" spans="1:8" ht="14.25" customHeight="1" x14ac:dyDescent="0.3">
      <c r="A76" s="128" t="s">
        <v>97</v>
      </c>
      <c r="B76" s="123" t="str">
        <f t="shared" si="15"/>
        <v>Kashmiri Red Chilli Whole - فلفل كشميري أحمر كامل</v>
      </c>
      <c r="C76" s="123" t="str">
        <f t="shared" si="15"/>
        <v>gm</v>
      </c>
      <c r="D76" s="123">
        <f t="shared" si="15"/>
        <v>12</v>
      </c>
      <c r="E76" s="197">
        <f t="shared" si="19"/>
        <v>10.416666666666668</v>
      </c>
      <c r="F76" s="127">
        <f t="shared" si="16"/>
        <v>0.75</v>
      </c>
      <c r="G76" s="119">
        <f t="shared" si="17"/>
        <v>125.00000000000001</v>
      </c>
      <c r="H76" s="120">
        <f t="shared" si="18"/>
        <v>93.750000000000014</v>
      </c>
    </row>
    <row r="77" spans="1:8" ht="14.25" customHeight="1" x14ac:dyDescent="0.3">
      <c r="A77" s="128" t="s">
        <v>158</v>
      </c>
      <c r="B77" s="123" t="str">
        <f t="shared" si="15"/>
        <v>Butter - زبدة</v>
      </c>
      <c r="C77" s="123" t="str">
        <f t="shared" si="15"/>
        <v>gm</v>
      </c>
      <c r="D77" s="123">
        <f t="shared" si="15"/>
        <v>25</v>
      </c>
      <c r="E77" s="197">
        <f t="shared" si="19"/>
        <v>10.416666666666668</v>
      </c>
      <c r="F77" s="127">
        <f t="shared" si="16"/>
        <v>1</v>
      </c>
      <c r="G77" s="119">
        <f t="shared" si="17"/>
        <v>260.41666666666669</v>
      </c>
      <c r="H77" s="120">
        <f t="shared" si="18"/>
        <v>260.41666666666669</v>
      </c>
    </row>
    <row r="78" spans="1:8" ht="14.25" customHeight="1" x14ac:dyDescent="0.3">
      <c r="A78" s="128" t="s">
        <v>97</v>
      </c>
      <c r="B78" s="123" t="str">
        <f t="shared" si="15"/>
        <v>Salt - ملح</v>
      </c>
      <c r="C78" s="123" t="str">
        <f t="shared" si="15"/>
        <v>gm</v>
      </c>
      <c r="D78" s="123">
        <f t="shared" si="15"/>
        <v>7</v>
      </c>
      <c r="E78" s="197">
        <f t="shared" si="19"/>
        <v>10.416666666666668</v>
      </c>
      <c r="F78" s="127">
        <f t="shared" si="16"/>
        <v>0.75</v>
      </c>
      <c r="G78" s="119">
        <f t="shared" si="17"/>
        <v>72.916666666666671</v>
      </c>
      <c r="H78" s="120">
        <f t="shared" si="18"/>
        <v>54.6875</v>
      </c>
    </row>
    <row r="79" spans="1:8" ht="14.25" customHeight="1" x14ac:dyDescent="0.3">
      <c r="A79" s="128" t="s">
        <v>220</v>
      </c>
      <c r="B79" s="123" t="str">
        <f t="shared" si="15"/>
        <v>Orange Color - لون برتقالي</v>
      </c>
      <c r="C79" s="123" t="str">
        <f t="shared" si="15"/>
        <v>gm</v>
      </c>
      <c r="D79" s="123">
        <f t="shared" si="15"/>
        <v>2.5</v>
      </c>
      <c r="E79" s="197">
        <f t="shared" si="19"/>
        <v>10.416666666666668</v>
      </c>
      <c r="F79" s="127">
        <f t="shared" si="16"/>
        <v>1</v>
      </c>
      <c r="G79" s="119">
        <f t="shared" si="17"/>
        <v>26.041666666666671</v>
      </c>
      <c r="H79" s="120">
        <f t="shared" si="18"/>
        <v>26.041666666666671</v>
      </c>
    </row>
    <row r="80" spans="1:8" ht="14.25" customHeight="1" x14ac:dyDescent="0.3">
      <c r="A80" s="128" t="s">
        <v>13</v>
      </c>
      <c r="B80" s="123" t="str">
        <f t="shared" si="15"/>
        <v>Tomato - طماطم</v>
      </c>
      <c r="C80" s="123" t="str">
        <f t="shared" si="15"/>
        <v>gm</v>
      </c>
      <c r="D80" s="123">
        <f t="shared" si="15"/>
        <v>400</v>
      </c>
      <c r="E80" s="197">
        <f t="shared" si="19"/>
        <v>10.416666666666668</v>
      </c>
      <c r="F80" s="127">
        <f t="shared" si="16"/>
        <v>0.95</v>
      </c>
      <c r="G80" s="119">
        <f t="shared" si="17"/>
        <v>4166.666666666667</v>
      </c>
      <c r="H80" s="120">
        <f t="shared" si="18"/>
        <v>3958.3333333333335</v>
      </c>
    </row>
    <row r="81" spans="1:8" ht="20.25" customHeight="1" x14ac:dyDescent="0.3">
      <c r="A81" s="211"/>
      <c r="B81" s="198" t="s">
        <v>299</v>
      </c>
      <c r="C81" s="200" t="s">
        <v>285</v>
      </c>
      <c r="E81" s="200" t="s">
        <v>300</v>
      </c>
      <c r="G81" s="890" t="s">
        <v>276</v>
      </c>
      <c r="H81" s="890" t="s">
        <v>733</v>
      </c>
    </row>
    <row r="82" spans="1:8" ht="21.5" customHeight="1" x14ac:dyDescent="0.4">
      <c r="A82" s="211"/>
      <c r="B82" s="199">
        <f>$J$53</f>
        <v>33334</v>
      </c>
      <c r="C82" s="199">
        <f>E82+G82</f>
        <v>10000</v>
      </c>
      <c r="D82" s="930"/>
      <c r="E82" s="199">
        <f>$D$53*$S$44</f>
        <v>10000</v>
      </c>
      <c r="F82" s="934"/>
      <c r="G82" s="199">
        <f>$D$53*$T$44</f>
        <v>0</v>
      </c>
      <c r="H82" s="199">
        <f>B82+E82</f>
        <v>43334</v>
      </c>
    </row>
    <row r="83" spans="1:8" ht="21.5" customHeight="1" x14ac:dyDescent="0.3">
      <c r="B83" s="100"/>
      <c r="E83" s="346"/>
      <c r="F83" s="100"/>
    </row>
    <row r="84" spans="1:8" ht="14.25" customHeight="1" x14ac:dyDescent="0.3">
      <c r="B84" s="100"/>
      <c r="C84" s="100"/>
      <c r="D84" s="100"/>
      <c r="E84" s="100"/>
      <c r="F84" s="100"/>
      <c r="G84" s="100"/>
      <c r="H84" s="100"/>
    </row>
    <row r="85" spans="1:8" ht="14.25" customHeight="1" x14ac:dyDescent="0.3">
      <c r="B85" s="100"/>
      <c r="C85" s="100"/>
      <c r="D85" s="100"/>
      <c r="E85" s="100"/>
      <c r="F85" s="100"/>
      <c r="G85" s="100"/>
      <c r="H85" s="100"/>
    </row>
    <row r="86" spans="1:8" ht="14.25" customHeight="1" x14ac:dyDescent="0.3">
      <c r="B86" s="100"/>
      <c r="C86" s="100"/>
      <c r="D86" s="100"/>
      <c r="E86" s="100"/>
      <c r="F86" s="100"/>
      <c r="G86" s="100"/>
      <c r="H86" s="100"/>
    </row>
    <row r="87" spans="1:8" ht="17.75" customHeight="1" x14ac:dyDescent="0.3">
      <c r="A87" s="937"/>
      <c r="B87" s="1413" t="str">
        <f>"دجاج 65 2 / " &amp; COUNTIF($C$53:$C$55, "&gt;0")</f>
        <v>دجاج 65 2 / 2</v>
      </c>
      <c r="C87" s="1424"/>
      <c r="D87" s="1424"/>
      <c r="E87" s="1448"/>
      <c r="F87" s="1424"/>
      <c r="G87" s="1424"/>
      <c r="H87" s="1424"/>
    </row>
    <row r="88" spans="1:8" ht="17.75" customHeight="1" x14ac:dyDescent="0.3">
      <c r="A88" s="937"/>
      <c r="B88" s="1382" t="str">
        <f>"  Chicken 65   2 / " &amp; COUNTIF($C$53:$C$55, "&gt;0")</f>
        <v xml:space="preserve">  Chicken 65   2 / 2</v>
      </c>
      <c r="C88" s="1383"/>
      <c r="D88" s="1383"/>
      <c r="E88" s="1383"/>
      <c r="F88" s="1383"/>
      <c r="G88" s="1383"/>
      <c r="H88" s="1383"/>
    </row>
    <row r="89" spans="1:8" ht="25.5" customHeight="1" x14ac:dyDescent="0.25">
      <c r="A89" s="91"/>
      <c r="B89" s="91" t="s">
        <v>253</v>
      </c>
      <c r="C89" s="107" t="s">
        <v>254</v>
      </c>
      <c r="D89" s="91" t="s">
        <v>243</v>
      </c>
      <c r="E89" s="108" t="s">
        <v>246</v>
      </c>
      <c r="F89" s="108" t="s">
        <v>255</v>
      </c>
      <c r="G89" s="91" t="s">
        <v>256</v>
      </c>
      <c r="H89" s="109" t="s">
        <v>257</v>
      </c>
    </row>
    <row r="90" spans="1:8" ht="14.25" customHeight="1" x14ac:dyDescent="0.3">
      <c r="A90" s="79" t="s">
        <v>230</v>
      </c>
      <c r="B90" s="123" t="str">
        <f t="shared" ref="B90:D105" si="20">B5</f>
        <v>Chicken - دجاج</v>
      </c>
      <c r="C90" s="123" t="str">
        <f t="shared" si="20"/>
        <v>gm</v>
      </c>
      <c r="D90" s="263">
        <f>D5</f>
        <v>5649.8305084745762</v>
      </c>
      <c r="E90" s="197">
        <f>H54</f>
        <v>1.3328502660715973</v>
      </c>
      <c r="F90" s="127">
        <f t="shared" ref="F90:F105" si="21">F5</f>
        <v>1</v>
      </c>
      <c r="G90" s="121">
        <f t="shared" ref="G90:G105" si="22">D90*E90</f>
        <v>7530.378096479767</v>
      </c>
      <c r="H90" s="120">
        <f t="shared" ref="H90:H105" si="23">G90*F90</f>
        <v>7530.378096479767</v>
      </c>
    </row>
    <row r="91" spans="1:8" ht="14.25" customHeight="1" x14ac:dyDescent="0.3">
      <c r="A91" s="79" t="s">
        <v>196</v>
      </c>
      <c r="B91" s="123" t="str">
        <f t="shared" si="20"/>
        <v>Tomato Ketchup - كاتشب طماطم</v>
      </c>
      <c r="C91" s="123" t="str">
        <f t="shared" si="20"/>
        <v>ml</v>
      </c>
      <c r="D91" s="123">
        <f t="shared" si="20"/>
        <v>400</v>
      </c>
      <c r="E91" s="197">
        <f t="shared" ref="E91:E105" si="24">$C$54</f>
        <v>1.3886217948718063</v>
      </c>
      <c r="F91" s="127">
        <f t="shared" si="21"/>
        <v>1</v>
      </c>
      <c r="G91" s="121">
        <f t="shared" si="22"/>
        <v>555.44871794872256</v>
      </c>
      <c r="H91" s="120">
        <f t="shared" si="23"/>
        <v>555.44871794872256</v>
      </c>
    </row>
    <row r="92" spans="1:8" ht="14.25" customHeight="1" x14ac:dyDescent="0.3">
      <c r="A92" s="79" t="s">
        <v>196</v>
      </c>
      <c r="B92" s="123" t="str">
        <f t="shared" si="20"/>
        <v>Sriracha Sauce - صوص سريراتشا</v>
      </c>
      <c r="C92" s="123" t="str">
        <f t="shared" si="20"/>
        <v>ml</v>
      </c>
      <c r="D92" s="123">
        <f t="shared" si="20"/>
        <v>33</v>
      </c>
      <c r="E92" s="197">
        <f t="shared" si="24"/>
        <v>1.3886217948718063</v>
      </c>
      <c r="F92" s="127">
        <f t="shared" si="21"/>
        <v>0.75</v>
      </c>
      <c r="G92" s="121">
        <f t="shared" si="22"/>
        <v>45.82451923076961</v>
      </c>
      <c r="H92" s="120">
        <f t="shared" si="23"/>
        <v>34.368389423077204</v>
      </c>
    </row>
    <row r="93" spans="1:8" ht="14.25" customHeight="1" x14ac:dyDescent="0.3">
      <c r="A93" s="79" t="s">
        <v>97</v>
      </c>
      <c r="B93" s="123" t="str">
        <f t="shared" si="20"/>
        <v>Honey - عسل</v>
      </c>
      <c r="C93" s="123" t="str">
        <f t="shared" si="20"/>
        <v>gm</v>
      </c>
      <c r="D93" s="123">
        <f t="shared" si="20"/>
        <v>20</v>
      </c>
      <c r="E93" s="197">
        <f t="shared" si="24"/>
        <v>1.3886217948718063</v>
      </c>
      <c r="F93" s="127">
        <f t="shared" si="21"/>
        <v>1</v>
      </c>
      <c r="G93" s="121">
        <f t="shared" si="22"/>
        <v>27.772435897436125</v>
      </c>
      <c r="H93" s="120">
        <f t="shared" si="23"/>
        <v>27.772435897436125</v>
      </c>
    </row>
    <row r="94" spans="1:8" ht="14.25" customHeight="1" x14ac:dyDescent="0.3">
      <c r="A94" s="79" t="s">
        <v>210</v>
      </c>
      <c r="B94" s="123" t="str">
        <f t="shared" si="20"/>
        <v>Water - ماء</v>
      </c>
      <c r="C94" s="123" t="str">
        <f t="shared" si="20"/>
        <v>ml</v>
      </c>
      <c r="D94" s="123">
        <f t="shared" si="20"/>
        <v>280</v>
      </c>
      <c r="E94" s="197">
        <f t="shared" si="24"/>
        <v>1.3886217948718063</v>
      </c>
      <c r="F94" s="127">
        <f t="shared" si="21"/>
        <v>1</v>
      </c>
      <c r="G94" s="121">
        <f t="shared" si="22"/>
        <v>388.81410256410572</v>
      </c>
      <c r="H94" s="120">
        <f t="shared" si="23"/>
        <v>388.81410256410572</v>
      </c>
    </row>
    <row r="95" spans="1:8" ht="14.25" customHeight="1" x14ac:dyDescent="0.3">
      <c r="A95" s="79" t="s">
        <v>192</v>
      </c>
      <c r="B95" s="123" t="str">
        <f t="shared" si="20"/>
        <v>Corn Starch - نشا ذرة</v>
      </c>
      <c r="C95" s="123" t="str">
        <f t="shared" si="20"/>
        <v>gm</v>
      </c>
      <c r="D95" s="123">
        <f t="shared" si="20"/>
        <v>40</v>
      </c>
      <c r="E95" s="197">
        <f t="shared" si="24"/>
        <v>1.3886217948718063</v>
      </c>
      <c r="F95" s="127">
        <f t="shared" si="21"/>
        <v>0.5</v>
      </c>
      <c r="G95" s="121">
        <f t="shared" si="22"/>
        <v>55.54487179487225</v>
      </c>
      <c r="H95" s="120">
        <f t="shared" si="23"/>
        <v>27.772435897436125</v>
      </c>
    </row>
    <row r="96" spans="1:8" ht="14.25" customHeight="1" x14ac:dyDescent="0.3">
      <c r="A96" s="79" t="s">
        <v>13</v>
      </c>
      <c r="B96" s="123" t="str">
        <f t="shared" si="20"/>
        <v>Onion - بصل</v>
      </c>
      <c r="C96" s="123" t="str">
        <f t="shared" si="20"/>
        <v>gm</v>
      </c>
      <c r="D96" s="123">
        <f t="shared" si="20"/>
        <v>270</v>
      </c>
      <c r="E96" s="197">
        <f t="shared" si="24"/>
        <v>1.3886217948718063</v>
      </c>
      <c r="F96" s="127">
        <f t="shared" si="21"/>
        <v>0.95</v>
      </c>
      <c r="G96" s="121">
        <f t="shared" si="22"/>
        <v>374.92788461538771</v>
      </c>
      <c r="H96" s="120">
        <f t="shared" si="23"/>
        <v>356.18149038461831</v>
      </c>
    </row>
    <row r="97" spans="1:10" ht="14.25" customHeight="1" x14ac:dyDescent="0.3">
      <c r="A97" s="79" t="s">
        <v>13</v>
      </c>
      <c r="B97" s="123" t="str">
        <f t="shared" si="20"/>
        <v>Garlic - ثوم مقشر</v>
      </c>
      <c r="C97" s="123" t="str">
        <f t="shared" si="20"/>
        <v>gm</v>
      </c>
      <c r="D97" s="123">
        <f t="shared" si="20"/>
        <v>40</v>
      </c>
      <c r="E97" s="197">
        <f t="shared" si="24"/>
        <v>1.3886217948718063</v>
      </c>
      <c r="F97" s="127">
        <f t="shared" si="21"/>
        <v>0.95</v>
      </c>
      <c r="G97" s="121">
        <f t="shared" si="22"/>
        <v>55.54487179487225</v>
      </c>
      <c r="H97" s="120">
        <f t="shared" si="23"/>
        <v>52.767628205128638</v>
      </c>
    </row>
    <row r="98" spans="1:10" ht="14.25" customHeight="1" x14ac:dyDescent="0.3">
      <c r="A98" s="79" t="s">
        <v>57</v>
      </c>
      <c r="B98" s="123" t="str">
        <f t="shared" si="20"/>
        <v>Ginger - زنجبيل</v>
      </c>
      <c r="C98" s="123" t="str">
        <f t="shared" si="20"/>
        <v>gm</v>
      </c>
      <c r="D98" s="123">
        <f t="shared" si="20"/>
        <v>40</v>
      </c>
      <c r="E98" s="197">
        <f t="shared" si="24"/>
        <v>1.3886217948718063</v>
      </c>
      <c r="F98" s="127">
        <f t="shared" si="21"/>
        <v>0.6</v>
      </c>
      <c r="G98" s="121">
        <f t="shared" si="22"/>
        <v>55.54487179487225</v>
      </c>
      <c r="H98" s="120">
        <f t="shared" si="23"/>
        <v>33.32692307692335</v>
      </c>
    </row>
    <row r="99" spans="1:10" ht="14.25" customHeight="1" x14ac:dyDescent="0.3">
      <c r="A99" s="79" t="s">
        <v>63</v>
      </c>
      <c r="B99" s="123" t="str">
        <f t="shared" si="20"/>
        <v>Curry Leaves - أوراق الكاري</v>
      </c>
      <c r="C99" s="123" t="str">
        <f t="shared" si="20"/>
        <v>gm</v>
      </c>
      <c r="D99" s="123">
        <f t="shared" si="20"/>
        <v>3</v>
      </c>
      <c r="E99" s="197">
        <f t="shared" si="24"/>
        <v>1.3886217948718063</v>
      </c>
      <c r="F99" s="127">
        <f t="shared" si="21"/>
        <v>1</v>
      </c>
      <c r="G99" s="121">
        <f t="shared" si="22"/>
        <v>4.1658653846154188</v>
      </c>
      <c r="H99" s="120">
        <f t="shared" si="23"/>
        <v>4.1658653846154188</v>
      </c>
    </row>
    <row r="100" spans="1:10" ht="14.25" customHeight="1" x14ac:dyDescent="0.3">
      <c r="A100" s="79" t="s">
        <v>63</v>
      </c>
      <c r="B100" s="123" t="str">
        <f t="shared" si="20"/>
        <v>Coriander Leaves - كزبرة خضراء</v>
      </c>
      <c r="C100" s="123" t="str">
        <f t="shared" si="20"/>
        <v>gm</v>
      </c>
      <c r="D100" s="123">
        <f t="shared" si="20"/>
        <v>28</v>
      </c>
      <c r="E100" s="197">
        <f t="shared" si="24"/>
        <v>1.3886217948718063</v>
      </c>
      <c r="F100" s="127">
        <f t="shared" si="21"/>
        <v>1</v>
      </c>
      <c r="G100" s="121">
        <f t="shared" si="22"/>
        <v>38.881410256410575</v>
      </c>
      <c r="H100" s="120">
        <f t="shared" si="23"/>
        <v>38.881410256410575</v>
      </c>
    </row>
    <row r="101" spans="1:10" ht="14.25" customHeight="1" x14ac:dyDescent="0.3">
      <c r="A101" s="79" t="s">
        <v>97</v>
      </c>
      <c r="B101" s="123" t="str">
        <f t="shared" si="20"/>
        <v>Kashmiri Red Chilli Whole - فلفل كشميري أحمر كامل</v>
      </c>
      <c r="C101" s="123" t="str">
        <f t="shared" si="20"/>
        <v>gm</v>
      </c>
      <c r="D101" s="123">
        <f t="shared" si="20"/>
        <v>12</v>
      </c>
      <c r="E101" s="197">
        <f t="shared" si="24"/>
        <v>1.3886217948718063</v>
      </c>
      <c r="F101" s="127">
        <f t="shared" si="21"/>
        <v>0.75</v>
      </c>
      <c r="G101" s="121">
        <f t="shared" si="22"/>
        <v>16.663461538461675</v>
      </c>
      <c r="H101" s="120">
        <f t="shared" si="23"/>
        <v>12.497596153846256</v>
      </c>
    </row>
    <row r="102" spans="1:10" ht="14.25" customHeight="1" x14ac:dyDescent="0.3">
      <c r="A102" s="79" t="s">
        <v>158</v>
      </c>
      <c r="B102" s="123" t="str">
        <f t="shared" si="20"/>
        <v>Butter - زبدة</v>
      </c>
      <c r="C102" s="123" t="str">
        <f t="shared" si="20"/>
        <v>gm</v>
      </c>
      <c r="D102" s="123">
        <f t="shared" si="20"/>
        <v>25</v>
      </c>
      <c r="E102" s="197">
        <f t="shared" si="24"/>
        <v>1.3886217948718063</v>
      </c>
      <c r="F102" s="127">
        <f t="shared" si="21"/>
        <v>1</v>
      </c>
      <c r="G102" s="121">
        <f t="shared" si="22"/>
        <v>34.71554487179516</v>
      </c>
      <c r="H102" s="120">
        <f t="shared" si="23"/>
        <v>34.71554487179516</v>
      </c>
    </row>
    <row r="103" spans="1:10" ht="14.25" customHeight="1" x14ac:dyDescent="0.3">
      <c r="A103" s="79" t="s">
        <v>97</v>
      </c>
      <c r="B103" s="123" t="str">
        <f t="shared" si="20"/>
        <v>Salt - ملح</v>
      </c>
      <c r="C103" s="123" t="str">
        <f t="shared" si="20"/>
        <v>gm</v>
      </c>
      <c r="D103" s="123">
        <f t="shared" si="20"/>
        <v>7</v>
      </c>
      <c r="E103" s="197">
        <f t="shared" si="24"/>
        <v>1.3886217948718063</v>
      </c>
      <c r="F103" s="127">
        <f t="shared" si="21"/>
        <v>0.75</v>
      </c>
      <c r="G103" s="121">
        <f t="shared" si="22"/>
        <v>9.7203525641026438</v>
      </c>
      <c r="H103" s="120">
        <f t="shared" si="23"/>
        <v>7.2902644230769829</v>
      </c>
    </row>
    <row r="104" spans="1:10" ht="14.25" customHeight="1" x14ac:dyDescent="0.3">
      <c r="A104" s="79" t="s">
        <v>220</v>
      </c>
      <c r="B104" s="123" t="str">
        <f t="shared" si="20"/>
        <v>Orange Color - لون برتقالي</v>
      </c>
      <c r="C104" s="123" t="str">
        <f t="shared" si="20"/>
        <v>gm</v>
      </c>
      <c r="D104" s="123">
        <f t="shared" si="20"/>
        <v>2.5</v>
      </c>
      <c r="E104" s="197">
        <f t="shared" si="24"/>
        <v>1.3886217948718063</v>
      </c>
      <c r="F104" s="127">
        <f t="shared" si="21"/>
        <v>1</v>
      </c>
      <c r="G104" s="121">
        <f t="shared" si="22"/>
        <v>3.4715544871795156</v>
      </c>
      <c r="H104" s="120">
        <f t="shared" si="23"/>
        <v>3.4715544871795156</v>
      </c>
    </row>
    <row r="105" spans="1:10" ht="14.25" customHeight="1" x14ac:dyDescent="0.3">
      <c r="A105" s="79" t="s">
        <v>13</v>
      </c>
      <c r="B105" s="123" t="str">
        <f t="shared" si="20"/>
        <v>Tomato - طماطم</v>
      </c>
      <c r="C105" s="123" t="str">
        <f t="shared" si="20"/>
        <v>gm</v>
      </c>
      <c r="D105" s="123">
        <f t="shared" si="20"/>
        <v>400</v>
      </c>
      <c r="E105" s="197">
        <f t="shared" si="24"/>
        <v>1.3886217948718063</v>
      </c>
      <c r="F105" s="127">
        <f t="shared" si="21"/>
        <v>0.95</v>
      </c>
      <c r="G105" s="121">
        <f t="shared" si="22"/>
        <v>555.44871794872256</v>
      </c>
      <c r="H105" s="120">
        <f t="shared" si="23"/>
        <v>527.67628205128642</v>
      </c>
    </row>
    <row r="106" spans="1:10" ht="20.25" customHeight="1" x14ac:dyDescent="0.4">
      <c r="A106" s="211"/>
      <c r="B106" s="198" t="s">
        <v>299</v>
      </c>
      <c r="C106" s="200" t="s">
        <v>285</v>
      </c>
      <c r="E106" s="200" t="s">
        <v>300</v>
      </c>
      <c r="G106" s="890" t="s">
        <v>276</v>
      </c>
      <c r="H106" s="890" t="s">
        <v>733</v>
      </c>
      <c r="I106" s="204"/>
      <c r="J106" s="203"/>
    </row>
    <row r="107" spans="1:10" ht="20" x14ac:dyDescent="0.4">
      <c r="A107" s="211"/>
      <c r="B107" s="199">
        <f>$J$54</f>
        <v>4442.9230769230635</v>
      </c>
      <c r="C107" s="199">
        <f>E107+G107</f>
        <v>1333.076923076934</v>
      </c>
      <c r="D107" s="930"/>
      <c r="E107" s="199">
        <f>$D$54*$S$44</f>
        <v>1333.076923076934</v>
      </c>
      <c r="F107" s="934"/>
      <c r="G107" s="199">
        <f>$D$54*$T$44</f>
        <v>0</v>
      </c>
      <c r="H107" s="199">
        <f>B107+E107</f>
        <v>5775.9999999999973</v>
      </c>
    </row>
  </sheetData>
  <mergeCells count="10">
    <mergeCell ref="AK2:AM2"/>
    <mergeCell ref="AE2:AG3"/>
    <mergeCell ref="B88:H88"/>
    <mergeCell ref="R26:U26"/>
    <mergeCell ref="B87:H87"/>
    <mergeCell ref="R25:U25"/>
    <mergeCell ref="B62:H62"/>
    <mergeCell ref="B2:K3"/>
    <mergeCell ref="B63:H63"/>
    <mergeCell ref="B35:F35"/>
  </mergeCells>
  <printOptions horizontalCentered="1"/>
  <pageMargins left="0.4" right="0.4" top="1" bottom="0.5" header="0.3" footer="0.511811023622047"/>
  <pageSetup paperSize="9" scale="46" orientation="landscape"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2E75B6"/>
    <pageSetUpPr fitToPage="1"/>
  </sheetPr>
  <dimension ref="A1:AG124"/>
  <sheetViews>
    <sheetView topLeftCell="A21" zoomScaleNormal="100" workbookViewId="0">
      <selection activeCell="D53" sqref="D53:D54"/>
    </sheetView>
  </sheetViews>
  <sheetFormatPr defaultColWidth="12.5" defaultRowHeight="14" x14ac:dyDescent="0.3"/>
  <cols>
    <col min="1" max="1" width="12.5" style="1" customWidth="1"/>
    <col min="2" max="2" width="34.83203125" customWidth="1"/>
    <col min="3" max="3" width="16.75" customWidth="1"/>
    <col min="4" max="4" width="18.4140625" customWidth="1"/>
    <col min="5" max="5" width="15.58203125" customWidth="1"/>
    <col min="6" max="6" width="17.1640625" customWidth="1"/>
    <col min="7" max="7" width="17.25" customWidth="1"/>
    <col min="8" max="8" width="30.5" customWidth="1"/>
    <col min="10" max="10" width="11" customWidth="1"/>
    <col min="12" max="12" width="8.33203125" customWidth="1"/>
    <col min="13" max="14" width="4.08203125" customWidth="1"/>
    <col min="15" max="15" width="8.58203125" customWidth="1"/>
    <col min="16" max="16" width="7.5" customWidth="1"/>
    <col min="18" max="18" width="30.5" customWidth="1"/>
    <col min="26" max="26" width="9.33203125" bestFit="1" customWidth="1"/>
    <col min="27" max="27" width="21.33203125" customWidth="1"/>
    <col min="28" max="28" width="11.58203125" bestFit="1" customWidth="1"/>
    <col min="29" max="29" width="13.1640625" bestFit="1" customWidth="1"/>
  </cols>
  <sheetData>
    <row r="1" spans="1:33" ht="38.75" customHeight="1" x14ac:dyDescent="0.3">
      <c r="B1" s="80" t="s">
        <v>243</v>
      </c>
      <c r="C1" s="81">
        <v>1000</v>
      </c>
      <c r="D1" s="82" t="s">
        <v>244</v>
      </c>
      <c r="E1" s="117">
        <f>T32</f>
        <v>11946.769230769234</v>
      </c>
      <c r="F1" s="80" t="s">
        <v>245</v>
      </c>
      <c r="G1" s="121">
        <f>E1/C1</f>
        <v>11.946769230769235</v>
      </c>
      <c r="H1" s="80" t="s">
        <v>246</v>
      </c>
      <c r="I1" s="282">
        <f>G1/K1</f>
        <v>12.190580847723707</v>
      </c>
      <c r="J1" s="86" t="s">
        <v>247</v>
      </c>
      <c r="K1" s="81">
        <f>9.8/10</f>
        <v>0.98000000000000009</v>
      </c>
      <c r="L1" s="100"/>
      <c r="M1" s="89"/>
      <c r="N1" s="90"/>
      <c r="O1" s="91" t="s">
        <v>248</v>
      </c>
      <c r="P1" s="92" t="s">
        <v>301</v>
      </c>
      <c r="Q1" s="93" t="s">
        <v>250</v>
      </c>
      <c r="R1" s="92">
        <v>0.51</v>
      </c>
      <c r="Y1" s="91" t="s">
        <v>479</v>
      </c>
      <c r="Z1" s="847">
        <v>18940</v>
      </c>
      <c r="AA1" s="91" t="s">
        <v>600</v>
      </c>
      <c r="AB1" s="847">
        <v>0</v>
      </c>
      <c r="AC1" s="91" t="s">
        <v>587</v>
      </c>
      <c r="AD1" s="847">
        <v>129</v>
      </c>
      <c r="AE1" s="250"/>
      <c r="AF1" s="252"/>
      <c r="AG1" s="92"/>
    </row>
    <row r="2" spans="1:33" ht="14.25" customHeight="1" x14ac:dyDescent="0.3">
      <c r="A2" s="265"/>
      <c r="B2" s="1387" t="s">
        <v>52</v>
      </c>
      <c r="C2" s="1422"/>
      <c r="D2" s="1422"/>
      <c r="E2" s="1422"/>
      <c r="F2" s="1422"/>
      <c r="G2" s="1422"/>
      <c r="H2" s="1422"/>
      <c r="I2" s="1422"/>
      <c r="J2" s="1422"/>
      <c r="K2" s="1422"/>
      <c r="L2" s="293"/>
      <c r="M2" s="100"/>
      <c r="N2" s="100"/>
      <c r="O2" s="100"/>
      <c r="P2" s="100"/>
      <c r="Q2" s="100"/>
      <c r="R2" s="100"/>
    </row>
    <row r="3" spans="1:33" ht="14.25" customHeight="1" x14ac:dyDescent="0.3">
      <c r="A3" s="265"/>
      <c r="B3" s="1388"/>
      <c r="C3" s="1388"/>
      <c r="D3" s="1388"/>
      <c r="E3" s="1388"/>
      <c r="F3" s="1388"/>
      <c r="G3" s="1388"/>
      <c r="H3" s="1388"/>
      <c r="I3" s="1388"/>
      <c r="J3" s="1388"/>
      <c r="K3" s="1388"/>
      <c r="L3" s="293"/>
      <c r="M3" s="100"/>
      <c r="N3" s="100"/>
      <c r="O3" s="100"/>
      <c r="P3" s="100"/>
      <c r="Q3" s="100"/>
      <c r="R3" s="100"/>
    </row>
    <row r="4" spans="1:33" ht="36.75" customHeight="1" x14ac:dyDescent="0.3">
      <c r="A4" s="91" t="s">
        <v>1</v>
      </c>
      <c r="B4" s="91" t="s">
        <v>253</v>
      </c>
      <c r="C4" s="107" t="s">
        <v>254</v>
      </c>
      <c r="D4" s="91" t="s">
        <v>243</v>
      </c>
      <c r="E4" s="108" t="s">
        <v>246</v>
      </c>
      <c r="F4" s="108" t="s">
        <v>255</v>
      </c>
      <c r="G4" s="91" t="s">
        <v>256</v>
      </c>
      <c r="H4" s="109" t="s">
        <v>257</v>
      </c>
      <c r="I4" s="91" t="s">
        <v>258</v>
      </c>
      <c r="J4" s="91" t="s">
        <v>259</v>
      </c>
      <c r="K4" s="91" t="s">
        <v>260</v>
      </c>
      <c r="L4" s="91" t="s">
        <v>261</v>
      </c>
      <c r="M4" s="100"/>
      <c r="N4" s="100"/>
      <c r="O4" s="100"/>
      <c r="P4" s="100"/>
      <c r="AA4" s="251"/>
      <c r="AB4" s="253"/>
    </row>
    <row r="5" spans="1:33" ht="14.25" customHeight="1" x14ac:dyDescent="0.3">
      <c r="A5" s="266" t="s">
        <v>230</v>
      </c>
      <c r="B5" s="383" t="s">
        <v>232</v>
      </c>
      <c r="C5" s="115" t="s">
        <v>14</v>
      </c>
      <c r="D5" s="121">
        <f>I51/10</f>
        <v>2391.2509803921566</v>
      </c>
      <c r="E5" s="117">
        <f>H52</f>
        <v>11.946516442481306</v>
      </c>
      <c r="F5" s="127">
        <v>1</v>
      </c>
      <c r="G5" s="119">
        <f t="shared" ref="G5:G19" si="0">D5*E5</f>
        <v>28567.119155354441</v>
      </c>
      <c r="H5" s="120">
        <f t="shared" ref="H5:H19" si="1">G5*F5</f>
        <v>28567.119155354441</v>
      </c>
      <c r="I5" s="81">
        <f>VLOOKUP(B5,All_Ingredients!$A$1:$F$151,6,FALSE())</f>
        <v>0.55000000000000004</v>
      </c>
      <c r="J5" s="119">
        <f>VLOOKUP(B5,All_Ingredients!$A$1:$J$151,10,FALSE())</f>
        <v>26.666666666666668</v>
      </c>
      <c r="K5" s="122">
        <f t="shared" ref="K5" si="2">(H5/I5)/1000</f>
        <v>51.940216646098982</v>
      </c>
      <c r="L5" s="122">
        <f t="shared" ref="L5" si="3">K5*J5</f>
        <v>1385.0724438959728</v>
      </c>
      <c r="M5" s="100"/>
      <c r="N5" s="100"/>
      <c r="O5" s="100"/>
      <c r="P5" s="100"/>
      <c r="AA5" s="92"/>
      <c r="AB5" s="133"/>
      <c r="AE5" s="136"/>
    </row>
    <row r="6" spans="1:33" ht="14.25" customHeight="1" x14ac:dyDescent="0.3">
      <c r="A6" s="270" t="s">
        <v>13</v>
      </c>
      <c r="B6" s="383" t="s">
        <v>12</v>
      </c>
      <c r="C6" s="124" t="s">
        <v>14</v>
      </c>
      <c r="D6" s="125">
        <v>300</v>
      </c>
      <c r="E6" s="223">
        <f t="shared" ref="E6:E19" si="4">$I$1</f>
        <v>12.190580847723707</v>
      </c>
      <c r="F6" s="127">
        <v>1</v>
      </c>
      <c r="G6" s="119">
        <f t="shared" si="0"/>
        <v>3657.1742543171122</v>
      </c>
      <c r="H6" s="120">
        <f t="shared" si="1"/>
        <v>3657.1742543171122</v>
      </c>
      <c r="I6" s="81">
        <f>VLOOKUP(B6,All_Ingredients!$A$1:$F$151,6,FALSE())</f>
        <v>0.9</v>
      </c>
      <c r="J6" s="119">
        <f>VLOOKUP(B6,All_Ingredients!$A$1:$J$151,10,FALSE())</f>
        <v>3</v>
      </c>
      <c r="K6" s="122">
        <f t="shared" ref="K6:K19" si="5">(H6/I6)/1000</f>
        <v>4.0635269492412354</v>
      </c>
      <c r="L6" s="122">
        <f t="shared" ref="L6:L19" si="6">K6*J6</f>
        <v>12.190580847723705</v>
      </c>
    </row>
    <row r="7" spans="1:33" ht="14.25" customHeight="1" x14ac:dyDescent="0.3">
      <c r="A7" s="270" t="s">
        <v>13</v>
      </c>
      <c r="B7" s="222" t="s">
        <v>17</v>
      </c>
      <c r="C7" s="124" t="s">
        <v>14</v>
      </c>
      <c r="D7" s="125">
        <v>200</v>
      </c>
      <c r="E7" s="223">
        <f t="shared" si="4"/>
        <v>12.190580847723707</v>
      </c>
      <c r="F7" s="127">
        <v>1</v>
      </c>
      <c r="G7" s="119">
        <f t="shared" si="0"/>
        <v>2438.1161695447413</v>
      </c>
      <c r="H7" s="120">
        <f t="shared" si="1"/>
        <v>2438.1161695447413</v>
      </c>
      <c r="I7" s="81">
        <f>VLOOKUP(B7,All_Ingredients!$A$1:$F$151,6,FALSE())</f>
        <v>0.98</v>
      </c>
      <c r="J7" s="119">
        <f>VLOOKUP(B7,All_Ingredients!$A$1:$J$151,10,FALSE())</f>
        <v>3.5</v>
      </c>
      <c r="K7" s="122">
        <f t="shared" si="5"/>
        <v>2.4878736423925933</v>
      </c>
      <c r="L7" s="122">
        <f t="shared" si="6"/>
        <v>8.7075577483740769</v>
      </c>
    </row>
    <row r="8" spans="1:33" ht="14.25" customHeight="1" x14ac:dyDescent="0.3">
      <c r="A8" s="270" t="s">
        <v>13</v>
      </c>
      <c r="B8" s="222" t="s">
        <v>792</v>
      </c>
      <c r="C8" s="124" t="s">
        <v>14</v>
      </c>
      <c r="D8" s="125">
        <v>35</v>
      </c>
      <c r="E8" s="223">
        <f t="shared" si="4"/>
        <v>12.190580847723707</v>
      </c>
      <c r="F8" s="127">
        <v>1</v>
      </c>
      <c r="G8" s="119">
        <f t="shared" si="0"/>
        <v>426.67032967032975</v>
      </c>
      <c r="H8" s="120">
        <f t="shared" si="1"/>
        <v>426.67032967032975</v>
      </c>
      <c r="I8" s="81">
        <f>VLOOKUP(B8,All_Ingredients!$A$1:$F$151,6,FALSE())</f>
        <v>1</v>
      </c>
      <c r="J8" s="119">
        <f>VLOOKUP(B8,All_Ingredients!$A$1:$J$151,10,FALSE())</f>
        <v>10.5</v>
      </c>
      <c r="K8" s="122">
        <f t="shared" si="5"/>
        <v>0.42667032967032975</v>
      </c>
      <c r="L8" s="122">
        <f t="shared" si="6"/>
        <v>4.4800384615384621</v>
      </c>
    </row>
    <row r="9" spans="1:33" ht="14.25" customHeight="1" x14ac:dyDescent="0.3">
      <c r="A9" s="270" t="s">
        <v>97</v>
      </c>
      <c r="B9" s="222" t="s">
        <v>102</v>
      </c>
      <c r="C9" s="124" t="s">
        <v>14</v>
      </c>
      <c r="D9" s="125">
        <v>3</v>
      </c>
      <c r="E9" s="223">
        <f t="shared" si="4"/>
        <v>12.190580847723707</v>
      </c>
      <c r="F9" s="127">
        <v>1</v>
      </c>
      <c r="G9" s="119">
        <f t="shared" si="0"/>
        <v>36.571742543171119</v>
      </c>
      <c r="H9" s="120">
        <f t="shared" si="1"/>
        <v>36.571742543171119</v>
      </c>
      <c r="I9" s="81">
        <f>VLOOKUP(B9,All_Ingredients!$A$1:$F$151,6,FALSE())</f>
        <v>1</v>
      </c>
      <c r="J9" s="119">
        <f>VLOOKUP(B9,All_Ingredients!$A$1:$J$151,10,FALSE())</f>
        <v>31</v>
      </c>
      <c r="K9" s="122">
        <f t="shared" si="5"/>
        <v>3.6571742543171117E-2</v>
      </c>
      <c r="L9" s="122">
        <f t="shared" si="6"/>
        <v>1.1337240188383046</v>
      </c>
    </row>
    <row r="10" spans="1:33" ht="14.25" customHeight="1" x14ac:dyDescent="0.3">
      <c r="A10" s="270" t="s">
        <v>97</v>
      </c>
      <c r="B10" s="222" t="s">
        <v>108</v>
      </c>
      <c r="C10" s="124" t="s">
        <v>14</v>
      </c>
      <c r="D10" s="125">
        <v>5</v>
      </c>
      <c r="E10" s="223">
        <f t="shared" si="4"/>
        <v>12.190580847723707</v>
      </c>
      <c r="F10" s="127">
        <v>0.75</v>
      </c>
      <c r="G10" s="119">
        <f t="shared" si="0"/>
        <v>60.952904238618537</v>
      </c>
      <c r="H10" s="120">
        <f t="shared" si="1"/>
        <v>45.714678178963901</v>
      </c>
      <c r="I10" s="81">
        <f>VLOOKUP(B10,All_Ingredients!$A$1:$F$151,6,FALSE())</f>
        <v>1</v>
      </c>
      <c r="J10" s="119">
        <f>VLOOKUP(B10,All_Ingredients!$A$1:$J$151,10,FALSE())</f>
        <v>15</v>
      </c>
      <c r="K10" s="122">
        <f t="shared" si="5"/>
        <v>4.5714678178963901E-2</v>
      </c>
      <c r="L10" s="122">
        <f t="shared" si="6"/>
        <v>0.68572017268445851</v>
      </c>
    </row>
    <row r="11" spans="1:33" ht="14.25" customHeight="1" x14ac:dyDescent="0.3">
      <c r="A11" s="270" t="s">
        <v>97</v>
      </c>
      <c r="B11" s="222" t="s">
        <v>110</v>
      </c>
      <c r="C11" s="124" t="s">
        <v>14</v>
      </c>
      <c r="D11" s="125">
        <v>5</v>
      </c>
      <c r="E11" s="223">
        <f t="shared" si="4"/>
        <v>12.190580847723707</v>
      </c>
      <c r="F11" s="127">
        <v>0.75</v>
      </c>
      <c r="G11" s="119">
        <f t="shared" si="0"/>
        <v>60.952904238618537</v>
      </c>
      <c r="H11" s="120">
        <f t="shared" si="1"/>
        <v>45.714678178963901</v>
      </c>
      <c r="I11" s="81">
        <f>VLOOKUP(B11,All_Ingredients!$A$1:$F$151,6,FALSE())</f>
        <v>1</v>
      </c>
      <c r="J11" s="119">
        <f>VLOOKUP(B11,All_Ingredients!$A$1:$J$151,10,FALSE())</f>
        <v>8</v>
      </c>
      <c r="K11" s="122">
        <f t="shared" si="5"/>
        <v>4.5714678178963901E-2</v>
      </c>
      <c r="L11" s="122">
        <f t="shared" si="6"/>
        <v>0.36571742543171121</v>
      </c>
    </row>
    <row r="12" spans="1:33" ht="14.25" customHeight="1" x14ac:dyDescent="0.3">
      <c r="A12" s="270" t="s">
        <v>97</v>
      </c>
      <c r="B12" s="222" t="s">
        <v>126</v>
      </c>
      <c r="C12" s="124" t="s">
        <v>14</v>
      </c>
      <c r="D12" s="125">
        <v>6</v>
      </c>
      <c r="E12" s="223">
        <f t="shared" si="4"/>
        <v>12.190580847723707</v>
      </c>
      <c r="F12" s="127">
        <v>0.75</v>
      </c>
      <c r="G12" s="119">
        <f t="shared" si="0"/>
        <v>73.143485086342238</v>
      </c>
      <c r="H12" s="120">
        <f t="shared" si="1"/>
        <v>54.857613814756675</v>
      </c>
      <c r="I12" s="81">
        <f>VLOOKUP(B12,All_Ingredients!$A$1:$F$151,6,FALSE())</f>
        <v>1</v>
      </c>
      <c r="J12" s="119">
        <f>VLOOKUP(B12,All_Ingredients!$A$1:$J$151,10,FALSE())</f>
        <v>14</v>
      </c>
      <c r="K12" s="122">
        <f t="shared" si="5"/>
        <v>5.4857613814756678E-2</v>
      </c>
      <c r="L12" s="122">
        <f t="shared" si="6"/>
        <v>0.7680065934065935</v>
      </c>
    </row>
    <row r="13" spans="1:33" ht="14.25" customHeight="1" x14ac:dyDescent="0.3">
      <c r="A13" s="270" t="s">
        <v>97</v>
      </c>
      <c r="B13" s="222" t="s">
        <v>96</v>
      </c>
      <c r="C13" s="124" t="s">
        <v>14</v>
      </c>
      <c r="D13" s="125">
        <v>11</v>
      </c>
      <c r="E13" s="223">
        <f t="shared" si="4"/>
        <v>12.190580847723707</v>
      </c>
      <c r="F13" s="127">
        <v>0.75</v>
      </c>
      <c r="G13" s="119">
        <f t="shared" si="0"/>
        <v>134.09638932496077</v>
      </c>
      <c r="H13" s="120">
        <f t="shared" si="1"/>
        <v>100.57229199372057</v>
      </c>
      <c r="I13" s="81">
        <f>VLOOKUP(B13,All_Ingredients!$A$1:$F$151,6,FALSE())</f>
        <v>1</v>
      </c>
      <c r="J13" s="119">
        <f>VLOOKUP(B13,All_Ingredients!$A$1:$J$151,10,FALSE())</f>
        <v>0.74</v>
      </c>
      <c r="K13" s="122">
        <f t="shared" si="5"/>
        <v>0.10057229199372057</v>
      </c>
      <c r="L13" s="122">
        <f t="shared" si="6"/>
        <v>7.4423496075353229E-2</v>
      </c>
    </row>
    <row r="14" spans="1:33" ht="14.25" customHeight="1" x14ac:dyDescent="0.3">
      <c r="A14" s="270" t="s">
        <v>196</v>
      </c>
      <c r="B14" s="222" t="s">
        <v>761</v>
      </c>
      <c r="C14" s="124" t="s">
        <v>14</v>
      </c>
      <c r="D14" s="125">
        <v>300</v>
      </c>
      <c r="E14" s="223">
        <f t="shared" si="4"/>
        <v>12.190580847723707</v>
      </c>
      <c r="F14" s="127">
        <v>1</v>
      </c>
      <c r="G14" s="119">
        <f t="shared" si="0"/>
        <v>3657.1742543171122</v>
      </c>
      <c r="H14" s="120">
        <f t="shared" si="1"/>
        <v>3657.1742543171122</v>
      </c>
      <c r="I14" s="81">
        <f>VLOOKUP(B14,All_Ingredients!$A$1:$F$151,6,FALSE())</f>
        <v>1</v>
      </c>
      <c r="J14" s="119">
        <f>VLOOKUP(B14,All_Ingredients!$A$1:$J$151,10,FALSE())</f>
        <v>8.1520833333333336</v>
      </c>
      <c r="K14" s="122">
        <f t="shared" si="5"/>
        <v>3.6571742543171122</v>
      </c>
      <c r="L14" s="122">
        <f t="shared" si="6"/>
        <v>29.813589285714293</v>
      </c>
    </row>
    <row r="15" spans="1:33" ht="14.25" customHeight="1" x14ac:dyDescent="0.3">
      <c r="A15" s="270" t="s">
        <v>210</v>
      </c>
      <c r="B15" s="222" t="s">
        <v>213</v>
      </c>
      <c r="C15" s="124" t="s">
        <v>14</v>
      </c>
      <c r="D15" s="125">
        <v>500</v>
      </c>
      <c r="E15" s="223">
        <f t="shared" si="4"/>
        <v>12.190580847723707</v>
      </c>
      <c r="F15" s="127">
        <v>1</v>
      </c>
      <c r="G15" s="119">
        <f t="shared" si="0"/>
        <v>6095.2904238618539</v>
      </c>
      <c r="H15" s="120">
        <f t="shared" si="1"/>
        <v>6095.2904238618539</v>
      </c>
      <c r="I15" s="81">
        <f>VLOOKUP(B15,All_Ingredients!$A$1:$F$151,6,FALSE())</f>
        <v>1</v>
      </c>
      <c r="J15" s="119">
        <f>VLOOKUP(B15,All_Ingredients!$A$1:$J$151,10,FALSE())</f>
        <v>0</v>
      </c>
      <c r="K15" s="122">
        <f t="shared" si="5"/>
        <v>6.0952904238618535</v>
      </c>
      <c r="L15" s="122">
        <f t="shared" si="6"/>
        <v>0</v>
      </c>
    </row>
    <row r="16" spans="1:33" ht="14.25" customHeight="1" x14ac:dyDescent="0.3">
      <c r="A16" s="270" t="s">
        <v>158</v>
      </c>
      <c r="B16" s="222" t="s">
        <v>157</v>
      </c>
      <c r="C16" s="124" t="s">
        <v>14</v>
      </c>
      <c r="D16" s="125">
        <v>15</v>
      </c>
      <c r="E16" s="223">
        <f t="shared" si="4"/>
        <v>12.190580847723707</v>
      </c>
      <c r="F16" s="127">
        <v>1</v>
      </c>
      <c r="G16" s="119">
        <f t="shared" si="0"/>
        <v>182.8587127158556</v>
      </c>
      <c r="H16" s="120">
        <f t="shared" si="1"/>
        <v>182.8587127158556</v>
      </c>
      <c r="I16" s="81">
        <f>VLOOKUP(B16,All_Ingredients!$A$1:$F$151,6,FALSE())</f>
        <v>1</v>
      </c>
      <c r="J16" s="119">
        <f>VLOOKUP(B16,All_Ingredients!$A$1:$J$151,10,FALSE())</f>
        <v>30</v>
      </c>
      <c r="K16" s="122">
        <f t="shared" si="5"/>
        <v>0.1828587127158556</v>
      </c>
      <c r="L16" s="122">
        <f t="shared" si="6"/>
        <v>5.4857613814756681</v>
      </c>
    </row>
    <row r="17" spans="1:31" ht="14.25" customHeight="1" x14ac:dyDescent="0.3">
      <c r="A17" s="270" t="s">
        <v>97</v>
      </c>
      <c r="B17" s="222" t="s">
        <v>144</v>
      </c>
      <c r="C17" s="124" t="s">
        <v>14</v>
      </c>
      <c r="D17" s="125">
        <v>10</v>
      </c>
      <c r="E17" s="223">
        <f t="shared" si="4"/>
        <v>12.190580847723707</v>
      </c>
      <c r="F17" s="127">
        <v>0.75</v>
      </c>
      <c r="G17" s="119">
        <f t="shared" si="0"/>
        <v>121.90580847723707</v>
      </c>
      <c r="H17" s="120">
        <f t="shared" si="1"/>
        <v>91.429356357927801</v>
      </c>
      <c r="I17" s="81">
        <f>VLOOKUP(B17,All_Ingredients!$A$1:$F$151,6,FALSE())</f>
        <v>1</v>
      </c>
      <c r="J17" s="119">
        <f>VLOOKUP(B17,All_Ingredients!$A$1:$J$151,10,FALSE())</f>
        <v>15.277777777777779</v>
      </c>
      <c r="K17" s="122">
        <f t="shared" si="5"/>
        <v>9.1429356357927802E-2</v>
      </c>
      <c r="L17" s="122">
        <f t="shared" si="6"/>
        <v>1.3968373888016747</v>
      </c>
    </row>
    <row r="18" spans="1:31" ht="14.25" customHeight="1" x14ac:dyDescent="0.3">
      <c r="A18" s="270" t="s">
        <v>192</v>
      </c>
      <c r="B18" s="222" t="s">
        <v>193</v>
      </c>
      <c r="C18" s="124" t="s">
        <v>14</v>
      </c>
      <c r="D18" s="125">
        <v>20</v>
      </c>
      <c r="E18" s="223">
        <f t="shared" si="4"/>
        <v>12.190580847723707</v>
      </c>
      <c r="F18" s="127">
        <v>0.75</v>
      </c>
      <c r="G18" s="119">
        <f t="shared" si="0"/>
        <v>243.81161695447415</v>
      </c>
      <c r="H18" s="120">
        <f t="shared" si="1"/>
        <v>182.8587127158556</v>
      </c>
      <c r="I18" s="81">
        <f>VLOOKUP(B18,All_Ingredients!$A$1:$F$151,6,FALSE())</f>
        <v>0.9</v>
      </c>
      <c r="J18" s="119">
        <f>VLOOKUP(B18,All_Ingredients!$A$1:$J$151,10,FALSE())</f>
        <v>2.3199999999999998</v>
      </c>
      <c r="K18" s="122">
        <f t="shared" si="5"/>
        <v>0.20317634746206178</v>
      </c>
      <c r="L18" s="122">
        <f t="shared" si="6"/>
        <v>0.47136912611198328</v>
      </c>
    </row>
    <row r="19" spans="1:31" ht="14.25" customHeight="1" x14ac:dyDescent="0.3">
      <c r="A19" s="270"/>
      <c r="B19" s="222" t="s">
        <v>96</v>
      </c>
      <c r="C19" s="124" t="s">
        <v>14</v>
      </c>
      <c r="D19" s="125">
        <v>5</v>
      </c>
      <c r="E19" s="223">
        <f t="shared" si="4"/>
        <v>12.190580847723707</v>
      </c>
      <c r="F19" s="127">
        <v>1</v>
      </c>
      <c r="G19" s="119">
        <f t="shared" si="0"/>
        <v>60.952904238618537</v>
      </c>
      <c r="H19" s="120">
        <f t="shared" si="1"/>
        <v>60.952904238618537</v>
      </c>
      <c r="I19" s="81">
        <f>VLOOKUP(B19,All_Ingredients!$A$1:$F$151,6,FALSE())</f>
        <v>1</v>
      </c>
      <c r="J19" s="119">
        <f>VLOOKUP(B19,All_Ingredients!$A$1:$J$151,10,FALSE())</f>
        <v>0.74</v>
      </c>
      <c r="K19" s="122">
        <f t="shared" si="5"/>
        <v>6.0952904238618537E-2</v>
      </c>
      <c r="L19" s="122">
        <f t="shared" si="6"/>
        <v>4.5105149136577719E-2</v>
      </c>
    </row>
    <row r="20" spans="1:31" ht="14.25" customHeight="1" x14ac:dyDescent="0.3">
      <c r="B20" s="100"/>
      <c r="E20" s="100"/>
      <c r="F20" s="100"/>
      <c r="L20" s="209"/>
    </row>
    <row r="21" spans="1:31" ht="14.25" customHeight="1" x14ac:dyDescent="0.3">
      <c r="B21" s="100"/>
      <c r="E21" s="183"/>
      <c r="F21" s="100"/>
      <c r="L21" s="209"/>
    </row>
    <row r="22" spans="1:31" ht="14.25" customHeight="1" x14ac:dyDescent="0.3">
      <c r="L22" s="209"/>
    </row>
    <row r="23" spans="1:31" ht="14.25" customHeight="1" x14ac:dyDescent="0.3">
      <c r="L23" s="209"/>
    </row>
    <row r="24" spans="1:31" ht="14.25" customHeight="1" x14ac:dyDescent="0.3">
      <c r="L24" s="209"/>
      <c r="R24" s="5"/>
      <c r="Z24" s="1294"/>
    </row>
    <row r="25" spans="1:31" ht="14.25" customHeight="1" x14ac:dyDescent="0.35">
      <c r="L25" s="209"/>
      <c r="R25" s="1411" t="s">
        <v>377</v>
      </c>
      <c r="S25" s="1388"/>
      <c r="T25" s="1388"/>
      <c r="U25" s="1388"/>
      <c r="Z25" s="141" t="s">
        <v>264</v>
      </c>
      <c r="AA25" s="142">
        <f>22060+500</f>
        <v>22560</v>
      </c>
      <c r="AB25" s="141" t="s">
        <v>261</v>
      </c>
      <c r="AC25" s="1237">
        <f>(AA25*(1.4))*AE30</f>
        <v>1729.1814939961412</v>
      </c>
      <c r="AD25" s="14"/>
    </row>
    <row r="26" spans="1:31" ht="14.25" customHeight="1" x14ac:dyDescent="0.3">
      <c r="L26" s="209"/>
      <c r="R26" s="1423" t="s">
        <v>317</v>
      </c>
      <c r="S26" s="1388"/>
      <c r="T26" s="1388"/>
      <c r="U26" s="1388"/>
      <c r="Z26" s="14"/>
      <c r="AA26" s="14"/>
      <c r="AB26" s="14"/>
      <c r="AC26" s="14"/>
      <c r="AD26" s="14"/>
    </row>
    <row r="27" spans="1:31" ht="14.25" customHeight="1" thickBot="1" x14ac:dyDescent="0.35">
      <c r="R27" s="145" t="s">
        <v>266</v>
      </c>
      <c r="S27" s="146" t="s">
        <v>318</v>
      </c>
      <c r="T27" s="146" t="s">
        <v>268</v>
      </c>
      <c r="U27" s="146" t="s">
        <v>274</v>
      </c>
      <c r="V27" s="146" t="s">
        <v>848</v>
      </c>
      <c r="Z27" s="141" t="s">
        <v>270</v>
      </c>
      <c r="AA27" s="147" t="s">
        <v>271</v>
      </c>
      <c r="AB27" s="147" t="s">
        <v>272</v>
      </c>
      <c r="AC27" s="147" t="s">
        <v>273</v>
      </c>
      <c r="AD27" s="1186" t="s">
        <v>848</v>
      </c>
      <c r="AE27" s="147" t="s">
        <v>274</v>
      </c>
    </row>
    <row r="28" spans="1:31" ht="14.25" customHeight="1" thickBot="1" x14ac:dyDescent="0.35">
      <c r="B28" s="100"/>
      <c r="E28" s="100"/>
      <c r="F28" s="100"/>
      <c r="R28" s="148" t="s">
        <v>275</v>
      </c>
      <c r="S28" s="149">
        <f>U28*S40</f>
        <v>14569.230769230766</v>
      </c>
      <c r="T28" s="149">
        <f>U28*U40</f>
        <v>4370.769230769235</v>
      </c>
      <c r="U28" s="150">
        <f>$Z$1</f>
        <v>18940</v>
      </c>
      <c r="V28" s="149">
        <f>SUM(H37:H38)</f>
        <v>138.03</v>
      </c>
      <c r="Z28" s="151"/>
      <c r="AA28" s="152">
        <f>AA25*$S$40</f>
        <v>17353.846153846149</v>
      </c>
      <c r="AB28" s="152">
        <f>AA25*$U$40</f>
        <v>5206.1538461538512</v>
      </c>
      <c r="AC28" s="153">
        <f>AA25*(0.4)</f>
        <v>9024</v>
      </c>
      <c r="AD28" s="1188"/>
      <c r="AE28" s="154">
        <f>SUM(AA28:AC28)</f>
        <v>31584</v>
      </c>
    </row>
    <row r="29" spans="1:31" ht="14.25" customHeight="1" thickBot="1" x14ac:dyDescent="0.35">
      <c r="B29" s="100"/>
      <c r="E29" s="100"/>
      <c r="F29" s="100"/>
      <c r="R29" s="148" t="s">
        <v>276</v>
      </c>
      <c r="S29" s="155"/>
      <c r="T29" s="149">
        <f>U28*0.4</f>
        <v>7576</v>
      </c>
      <c r="U29" s="149">
        <f>T29</f>
        <v>7576</v>
      </c>
      <c r="V29" s="149"/>
      <c r="Z29" s="151"/>
      <c r="AA29" s="156">
        <f>AA28/$AE$28</f>
        <v>0.54945054945054927</v>
      </c>
      <c r="AB29" s="156">
        <f>AB28/$AE$28</f>
        <v>0.164835164835165</v>
      </c>
      <c r="AC29" s="156">
        <f>AC28/$AE$28</f>
        <v>0.2857142857142857</v>
      </c>
      <c r="AD29" s="1192"/>
      <c r="AE29" s="156">
        <f>AE28/$AE$28</f>
        <v>1</v>
      </c>
    </row>
    <row r="30" spans="1:31" ht="14.25" customHeight="1" thickBot="1" x14ac:dyDescent="0.35">
      <c r="R30" s="148" t="s">
        <v>277</v>
      </c>
      <c r="S30" s="1143">
        <f>U30*S40</f>
        <v>0</v>
      </c>
      <c r="T30" s="1299">
        <f>(U30*U40)+(U30*0.4)</f>
        <v>0</v>
      </c>
      <c r="U30" s="1236">
        <f>$AB$1</f>
        <v>0</v>
      </c>
      <c r="V30" s="1143"/>
      <c r="Z30" s="141" t="s">
        <v>278</v>
      </c>
      <c r="AA30" s="157">
        <f>S35/(S32)</f>
        <v>9.5068330362447995E-2</v>
      </c>
      <c r="AB30" s="158">
        <f>T35/T32</f>
        <v>5.492567055393585E-3</v>
      </c>
      <c r="AC30" s="158">
        <f>T35/T32</f>
        <v>5.492567055393585E-3</v>
      </c>
      <c r="AD30" s="1300">
        <f>V35/(U32)</f>
        <v>3.8634769966795918E-5</v>
      </c>
      <c r="AE30" s="1201">
        <f>SUMPRODUCT(AA30:AC30,AA29:AC29)+(AD30)</f>
        <v>5.4748654191873775E-2</v>
      </c>
    </row>
    <row r="31" spans="1:31" ht="59" customHeight="1" thickBot="1" x14ac:dyDescent="0.35">
      <c r="R31" s="148" t="s">
        <v>279</v>
      </c>
      <c r="S31" s="155"/>
      <c r="T31" s="149"/>
      <c r="U31" s="149"/>
      <c r="V31" s="149"/>
      <c r="AA31">
        <f>AA28*AA30</f>
        <v>1649.8011792129432</v>
      </c>
      <c r="AB31">
        <f>AB28*AB30</f>
        <v>28.595149100695245</v>
      </c>
      <c r="AC31">
        <f>AC28*AC30</f>
        <v>49.564925107871709</v>
      </c>
    </row>
    <row r="32" spans="1:31" ht="20.25" customHeight="1" thickBot="1" x14ac:dyDescent="0.35">
      <c r="M32" s="398"/>
      <c r="N32" s="398"/>
      <c r="R32" s="160" t="s">
        <v>269</v>
      </c>
      <c r="S32" s="149">
        <f>SUM(S28:S30)</f>
        <v>14569.230769230766</v>
      </c>
      <c r="T32" s="1222">
        <f>SUM(T28:T30)</f>
        <v>11946.769230769234</v>
      </c>
      <c r="U32" s="149">
        <f>SUM(U28:U29)+S30+T30</f>
        <v>26516</v>
      </c>
      <c r="V32" s="149">
        <f>SUM(V28:V30)</f>
        <v>138.03</v>
      </c>
      <c r="AB32">
        <f>AB31+AC31</f>
        <v>78.160074208566954</v>
      </c>
    </row>
    <row r="33" spans="2:23" ht="14.25" customHeight="1" thickBot="1" x14ac:dyDescent="0.35">
      <c r="R33" s="161" t="s">
        <v>280</v>
      </c>
      <c r="S33" s="155"/>
      <c r="T33" s="155">
        <f>F81+F103</f>
        <v>0</v>
      </c>
      <c r="U33" s="155"/>
      <c r="V33" s="155"/>
    </row>
    <row r="34" spans="2:23" ht="14.25" customHeight="1" thickBot="1" x14ac:dyDescent="0.35">
      <c r="E34" s="100"/>
      <c r="F34" s="100"/>
      <c r="R34" s="162" t="s">
        <v>281</v>
      </c>
      <c r="S34" s="155"/>
      <c r="T34" s="149">
        <f>T33-(T28+T29)</f>
        <v>-11946.769230769234</v>
      </c>
      <c r="U34" s="155"/>
      <c r="V34" s="155"/>
    </row>
    <row r="35" spans="2:23" ht="14.25" customHeight="1" thickBot="1" x14ac:dyDescent="0.35">
      <c r="B35" s="1394" t="s">
        <v>688</v>
      </c>
      <c r="C35" s="1394"/>
      <c r="D35" s="1394"/>
      <c r="E35" s="1394"/>
      <c r="F35" s="1394"/>
      <c r="G35" s="889"/>
      <c r="H35" s="889"/>
      <c r="I35" s="889"/>
      <c r="J35" s="889"/>
      <c r="K35" s="889"/>
      <c r="L35" s="889"/>
      <c r="R35" s="163" t="s">
        <v>261</v>
      </c>
      <c r="S35" s="1144">
        <f>$L$5</f>
        <v>1385.0724438959728</v>
      </c>
      <c r="T35" s="1301">
        <f>SUM(L6:L19)</f>
        <v>65.618431095312857</v>
      </c>
      <c r="U35" s="1240">
        <f>S35+T35+V35</f>
        <v>1451.7153145517252</v>
      </c>
      <c r="V35" s="1203">
        <f>SUM(L37:L38)</f>
        <v>1.0244395604395606</v>
      </c>
    </row>
    <row r="36" spans="2:23" ht="46.5" x14ac:dyDescent="0.3">
      <c r="B36" s="860" t="s">
        <v>253</v>
      </c>
      <c r="C36" s="860" t="s">
        <v>329</v>
      </c>
      <c r="D36" s="862" t="s">
        <v>671</v>
      </c>
      <c r="E36" s="859" t="s">
        <v>672</v>
      </c>
      <c r="F36" s="862" t="s">
        <v>673</v>
      </c>
      <c r="G36" s="882"/>
      <c r="H36" s="862" t="s">
        <v>673</v>
      </c>
      <c r="I36" s="862" t="s">
        <v>258</v>
      </c>
      <c r="J36" s="862" t="s">
        <v>259</v>
      </c>
      <c r="K36" s="862" t="s">
        <v>260</v>
      </c>
      <c r="L36" s="862" t="s">
        <v>261</v>
      </c>
    </row>
    <row r="37" spans="2:23" x14ac:dyDescent="0.3">
      <c r="B37" s="855" t="s">
        <v>746</v>
      </c>
      <c r="C37" s="856" t="s">
        <v>14</v>
      </c>
      <c r="D37" s="857">
        <v>7.0000000000000007E-2</v>
      </c>
      <c r="E37" s="855">
        <f>$AD$1</f>
        <v>129</v>
      </c>
      <c r="F37" s="855">
        <f>D37*E37</f>
        <v>9.0300000000000011</v>
      </c>
      <c r="H37" s="855">
        <f>F37</f>
        <v>9.0300000000000011</v>
      </c>
      <c r="I37" s="855">
        <f>VLOOKUP(B37,All_Ingredients!$A$1:$F$151,6,FALSE())</f>
        <v>0.65</v>
      </c>
      <c r="J37" s="855">
        <f>VLOOKUP(B37,All_Ingredients!$A$1:$J$151,10,FALSE())</f>
        <v>45</v>
      </c>
      <c r="K37" s="855">
        <f>(H37/I37)/1000</f>
        <v>1.3892307692307695E-2</v>
      </c>
      <c r="L37" s="855">
        <f t="shared" ref="L37" si="7">K37*J37</f>
        <v>0.62515384615384628</v>
      </c>
    </row>
    <row r="38" spans="2:23" x14ac:dyDescent="0.3">
      <c r="B38" s="855" t="s">
        <v>19</v>
      </c>
      <c r="C38" s="856" t="s">
        <v>14</v>
      </c>
      <c r="D38" s="857">
        <v>1</v>
      </c>
      <c r="E38" s="855">
        <f>$AD$1</f>
        <v>129</v>
      </c>
      <c r="F38" s="855">
        <f>D38*E38</f>
        <v>129</v>
      </c>
      <c r="H38" s="855">
        <f>F38</f>
        <v>129</v>
      </c>
      <c r="I38" s="855">
        <f>VLOOKUP(B38,All_Ingredients!$A$1:$F$151,6,FALSE())</f>
        <v>0.84</v>
      </c>
      <c r="J38" s="855">
        <f>VLOOKUP(B38,All_Ingredients!$A$1:$J$151,10,FALSE())</f>
        <v>2.6</v>
      </c>
      <c r="K38" s="855">
        <f>(H38/I38)/1000</f>
        <v>0.15357142857142858</v>
      </c>
      <c r="L38" s="855">
        <f t="shared" ref="L38" si="8">K38*J38</f>
        <v>0.3992857142857143</v>
      </c>
    </row>
    <row r="40" spans="2:23" ht="15" customHeight="1" x14ac:dyDescent="0.3">
      <c r="Q40" s="14"/>
      <c r="R40" s="165" t="s">
        <v>282</v>
      </c>
      <c r="S40" s="166">
        <v>0.76923076923076905</v>
      </c>
      <c r="T40" s="165" t="s">
        <v>283</v>
      </c>
      <c r="U40" s="167">
        <v>0.230769230769231</v>
      </c>
      <c r="V40" s="168">
        <f>S40+U40</f>
        <v>1</v>
      </c>
      <c r="W40" s="14"/>
    </row>
    <row r="41" spans="2:23" ht="14.25" customHeight="1" x14ac:dyDescent="0.3">
      <c r="Q41" s="14"/>
      <c r="R41" s="14"/>
      <c r="S41" s="14"/>
      <c r="T41" s="14"/>
      <c r="V41" s="14"/>
      <c r="W41" s="14"/>
    </row>
    <row r="42" spans="2:23" ht="14.25" customHeight="1" x14ac:dyDescent="0.3">
      <c r="Q42" s="14"/>
      <c r="R42" s="14"/>
      <c r="S42" s="14"/>
      <c r="T42" s="169"/>
      <c r="U42" s="14"/>
      <c r="V42" s="14"/>
      <c r="W42" s="14"/>
    </row>
    <row r="43" spans="2:23" ht="14.25" customHeight="1" x14ac:dyDescent="0.3">
      <c r="Q43" s="170" t="s">
        <v>284</v>
      </c>
      <c r="R43" s="170" t="s">
        <v>285</v>
      </c>
      <c r="S43" s="170" t="s">
        <v>286</v>
      </c>
      <c r="T43" s="170" t="s">
        <v>287</v>
      </c>
      <c r="U43" s="170" t="s">
        <v>288</v>
      </c>
      <c r="V43" s="170" t="s">
        <v>289</v>
      </c>
      <c r="W43" s="258" t="s">
        <v>290</v>
      </c>
    </row>
    <row r="44" spans="2:23" ht="14.25" customHeight="1" x14ac:dyDescent="0.3">
      <c r="Q44" s="172">
        <v>15854</v>
      </c>
      <c r="R44" s="173">
        <f>D51</f>
        <v>10000</v>
      </c>
      <c r="S44" s="174">
        <v>0.36586200000000002</v>
      </c>
      <c r="T44" s="174">
        <v>0.63415999999999995</v>
      </c>
      <c r="U44" s="242">
        <f>R44*S44</f>
        <v>3658.6200000000003</v>
      </c>
      <c r="V44" s="176">
        <f>R44*T44</f>
        <v>6341.5999999999995</v>
      </c>
      <c r="W44" s="260">
        <f>Q44-U44</f>
        <v>12195.38</v>
      </c>
    </row>
    <row r="50" spans="1:10" x14ac:dyDescent="0.3">
      <c r="B50" s="145"/>
      <c r="C50" s="145" t="s">
        <v>245</v>
      </c>
      <c r="D50" s="145" t="s">
        <v>291</v>
      </c>
      <c r="E50" s="398"/>
      <c r="F50" s="100"/>
      <c r="G50" s="145" t="s">
        <v>292</v>
      </c>
      <c r="H50" s="145" t="s">
        <v>245</v>
      </c>
      <c r="I50" s="145" t="s">
        <v>293</v>
      </c>
      <c r="J50" s="145" t="s">
        <v>294</v>
      </c>
    </row>
    <row r="51" spans="1:10" ht="18" customHeight="1" x14ac:dyDescent="0.3">
      <c r="B51" s="180" t="s">
        <v>295</v>
      </c>
      <c r="C51" s="181">
        <f>10/$K$1</f>
        <v>10.204081632653061</v>
      </c>
      <c r="D51" s="182">
        <f>$C$1*10</f>
        <v>10000</v>
      </c>
      <c r="E51" s="183"/>
      <c r="F51" s="100"/>
      <c r="G51" s="180" t="s">
        <v>295</v>
      </c>
      <c r="H51" s="277">
        <f>I51/$D$5</f>
        <v>10</v>
      </c>
      <c r="I51" s="181">
        <f>J51/$R$1</f>
        <v>23912.509803921566</v>
      </c>
      <c r="J51" s="181">
        <v>12195.38</v>
      </c>
    </row>
    <row r="52" spans="1:10" ht="19.5" customHeight="1" x14ac:dyDescent="0.3">
      <c r="B52" s="231" t="s">
        <v>274</v>
      </c>
      <c r="C52" s="232">
        <f>$I$1</f>
        <v>12.190580847723707</v>
      </c>
      <c r="D52" s="233">
        <f>$E$1</f>
        <v>11946.769230769234</v>
      </c>
      <c r="E52" s="100"/>
      <c r="F52" s="100"/>
      <c r="G52" s="148" t="s">
        <v>274</v>
      </c>
      <c r="H52" s="210">
        <f>I52/$D$5</f>
        <v>11.946516442481306</v>
      </c>
      <c r="I52" s="176">
        <f>J52/$R$1</f>
        <v>28567.119155354441</v>
      </c>
      <c r="J52" s="184">
        <f>$S$32</f>
        <v>14569.230769230766</v>
      </c>
    </row>
    <row r="53" spans="1:10" x14ac:dyDescent="0.3">
      <c r="B53" s="231" t="s">
        <v>296</v>
      </c>
      <c r="C53" s="234">
        <f>MIN(C52, C51)</f>
        <v>10.204081632653061</v>
      </c>
      <c r="D53" s="233">
        <f>(C53*$K$1)*$C$1</f>
        <v>10000</v>
      </c>
      <c r="E53" s="100"/>
      <c r="F53" s="100"/>
      <c r="G53" s="148" t="s">
        <v>296</v>
      </c>
      <c r="H53" s="187">
        <f>MIN(H52,H51)</f>
        <v>10</v>
      </c>
      <c r="I53" s="176">
        <f>J53/$R$1</f>
        <v>23912.509803921566</v>
      </c>
      <c r="J53" s="176">
        <f>MIN(J52,J51)</f>
        <v>12195.38</v>
      </c>
    </row>
    <row r="54" spans="1:10" x14ac:dyDescent="0.3">
      <c r="B54" s="231" t="s">
        <v>297</v>
      </c>
      <c r="C54" s="234">
        <f>MIN(MAX(C52-C53,0),C51)</f>
        <v>1.986499215070646</v>
      </c>
      <c r="D54" s="233">
        <f>(C54*$K$1)*$C$1</f>
        <v>1946.7692307692332</v>
      </c>
      <c r="E54" s="100"/>
      <c r="F54" s="100"/>
      <c r="G54" s="148" t="s">
        <v>297</v>
      </c>
      <c r="H54" s="187">
        <f>MIN(MAX(H52-H53),H51)</f>
        <v>1.9465164424813057</v>
      </c>
      <c r="I54" s="176">
        <f>J54/$R$1</f>
        <v>4654.6093514328759</v>
      </c>
      <c r="J54" s="176">
        <f>MIN(MAX(J52-J53),J51)</f>
        <v>2373.8507692307667</v>
      </c>
    </row>
    <row r="55" spans="1:10" x14ac:dyDescent="0.3">
      <c r="B55" s="231" t="s">
        <v>298</v>
      </c>
      <c r="C55" s="234">
        <f>MIN(MAX(C52-C53-C54,0),C51)</f>
        <v>0</v>
      </c>
      <c r="D55" s="233">
        <f>(C55*$K$1)*$C$1</f>
        <v>0</v>
      </c>
      <c r="E55" s="100"/>
      <c r="F55" s="100"/>
      <c r="G55" s="145" t="s">
        <v>298</v>
      </c>
      <c r="H55" s="187">
        <f>MIN(MAX(H52-H53-H54),H51)</f>
        <v>0</v>
      </c>
      <c r="I55" s="176">
        <f>J55/$R$1</f>
        <v>0</v>
      </c>
      <c r="J55" s="176">
        <f>MIN(MAX(J52-J53-J54),J51)</f>
        <v>0</v>
      </c>
    </row>
    <row r="62" spans="1:10" ht="17.75" customHeight="1" x14ac:dyDescent="0.3">
      <c r="A62" s="938"/>
      <c r="B62" s="1382" t="str">
        <f>"  مختوم لحم  1 / " &amp; COUNTIF($C$53:$C$55, "&gt;0")</f>
        <v xml:space="preserve">  مختوم لحم  1 / 2</v>
      </c>
      <c r="C62" s="1383"/>
      <c r="D62" s="1383"/>
      <c r="E62" s="1383"/>
      <c r="F62" s="1383"/>
      <c r="G62" s="1383"/>
      <c r="H62" s="1383"/>
    </row>
    <row r="63" spans="1:10" ht="17.75" customHeight="1" x14ac:dyDescent="0.3">
      <c r="A63" s="938"/>
      <c r="B63" s="1452" t="str">
        <f>" Mkhtoum Lahm 1  / " &amp; COUNTIF($C$53:$C$55, "&gt;0")</f>
        <v xml:space="preserve"> Mkhtoum Lahm 1  / 2</v>
      </c>
      <c r="C63" s="1385"/>
      <c r="D63" s="1385"/>
      <c r="E63" s="1385"/>
      <c r="F63" s="1385"/>
      <c r="G63" s="1385"/>
      <c r="H63" s="1385"/>
    </row>
    <row r="64" spans="1:10" ht="44" customHeight="1" x14ac:dyDescent="0.3">
      <c r="A64" s="91"/>
      <c r="B64" s="91" t="s">
        <v>253</v>
      </c>
      <c r="C64" s="107" t="s">
        <v>254</v>
      </c>
      <c r="D64" s="91" t="s">
        <v>243</v>
      </c>
      <c r="E64" s="108" t="s">
        <v>246</v>
      </c>
      <c r="F64" s="108" t="s">
        <v>255</v>
      </c>
      <c r="G64" s="91" t="s">
        <v>256</v>
      </c>
      <c r="H64" s="109" t="s">
        <v>257</v>
      </c>
    </row>
    <row r="65" spans="1:8" ht="14.25" customHeight="1" x14ac:dyDescent="0.3">
      <c r="A65" s="270" t="s">
        <v>230</v>
      </c>
      <c r="B65" s="323" t="str">
        <f t="shared" ref="B65:D79" si="9">B5</f>
        <v>Indian Meat Alana  - لحم هندى ألانا</v>
      </c>
      <c r="C65" s="323" t="str">
        <f t="shared" si="9"/>
        <v>gm</v>
      </c>
      <c r="D65" s="324">
        <f t="shared" si="9"/>
        <v>2391.2509803921566</v>
      </c>
      <c r="E65" s="281">
        <f>H53</f>
        <v>10</v>
      </c>
      <c r="F65" s="127">
        <f t="shared" ref="F65:F79" si="10">F5</f>
        <v>1</v>
      </c>
      <c r="G65" s="119">
        <f t="shared" ref="G65:G79" si="11">D65*E65</f>
        <v>23912.509803921566</v>
      </c>
      <c r="H65" s="120">
        <f t="shared" ref="H65:H79" si="12">G65*F65</f>
        <v>23912.509803921566</v>
      </c>
    </row>
    <row r="66" spans="1:8" ht="14.25" customHeight="1" x14ac:dyDescent="0.3">
      <c r="A66" s="270" t="s">
        <v>13</v>
      </c>
      <c r="B66" s="323" t="str">
        <f t="shared" si="9"/>
        <v>Onion - بصل</v>
      </c>
      <c r="C66" s="323" t="str">
        <f t="shared" si="9"/>
        <v>gm</v>
      </c>
      <c r="D66" s="323">
        <f t="shared" si="9"/>
        <v>300</v>
      </c>
      <c r="E66" s="281">
        <f t="shared" ref="E66:E79" si="13">$C$53</f>
        <v>10.204081632653061</v>
      </c>
      <c r="F66" s="127">
        <f t="shared" si="10"/>
        <v>1</v>
      </c>
      <c r="G66" s="119">
        <f t="shared" si="11"/>
        <v>3061.2244897959181</v>
      </c>
      <c r="H66" s="120">
        <f t="shared" si="12"/>
        <v>3061.2244897959181</v>
      </c>
    </row>
    <row r="67" spans="1:8" ht="14.25" customHeight="1" x14ac:dyDescent="0.3">
      <c r="A67" s="270" t="s">
        <v>13</v>
      </c>
      <c r="B67" s="323" t="str">
        <f t="shared" si="9"/>
        <v>Tomato - طماطم</v>
      </c>
      <c r="C67" s="323" t="str">
        <f t="shared" si="9"/>
        <v>gm</v>
      </c>
      <c r="D67" s="323">
        <f t="shared" si="9"/>
        <v>200</v>
      </c>
      <c r="E67" s="281">
        <f t="shared" si="13"/>
        <v>10.204081632653061</v>
      </c>
      <c r="F67" s="127">
        <f t="shared" si="10"/>
        <v>1</v>
      </c>
      <c r="G67" s="119">
        <f t="shared" si="11"/>
        <v>2040.8163265306123</v>
      </c>
      <c r="H67" s="120">
        <f t="shared" si="12"/>
        <v>2040.8163265306123</v>
      </c>
    </row>
    <row r="68" spans="1:8" ht="14.25" customHeight="1" x14ac:dyDescent="0.3">
      <c r="A68" s="270" t="s">
        <v>13</v>
      </c>
      <c r="B68" s="323" t="str">
        <f t="shared" si="9"/>
        <v>Garlic - ثوم مقشر</v>
      </c>
      <c r="C68" s="323" t="str">
        <f t="shared" si="9"/>
        <v>gm</v>
      </c>
      <c r="D68" s="323">
        <f t="shared" si="9"/>
        <v>35</v>
      </c>
      <c r="E68" s="281">
        <f t="shared" si="13"/>
        <v>10.204081632653061</v>
      </c>
      <c r="F68" s="127">
        <f t="shared" si="10"/>
        <v>1</v>
      </c>
      <c r="G68" s="119">
        <f t="shared" si="11"/>
        <v>357.14285714285711</v>
      </c>
      <c r="H68" s="120">
        <f t="shared" si="12"/>
        <v>357.14285714285711</v>
      </c>
    </row>
    <row r="69" spans="1:8" ht="14.25" customHeight="1" x14ac:dyDescent="0.3">
      <c r="A69" s="270" t="s">
        <v>97</v>
      </c>
      <c r="B69" s="323" t="str">
        <f t="shared" si="9"/>
        <v>Black Pepper Powder - فلفل أسود مطحون</v>
      </c>
      <c r="C69" s="323" t="str">
        <f t="shared" si="9"/>
        <v>gm</v>
      </c>
      <c r="D69" s="323">
        <f t="shared" si="9"/>
        <v>3</v>
      </c>
      <c r="E69" s="281">
        <f t="shared" si="13"/>
        <v>10.204081632653061</v>
      </c>
      <c r="F69" s="127">
        <f t="shared" si="10"/>
        <v>1</v>
      </c>
      <c r="G69" s="119">
        <f t="shared" si="11"/>
        <v>30.612244897959183</v>
      </c>
      <c r="H69" s="120">
        <f t="shared" si="12"/>
        <v>30.612244897959183</v>
      </c>
    </row>
    <row r="70" spans="1:8" ht="14.25" customHeight="1" x14ac:dyDescent="0.3">
      <c r="A70" s="270" t="s">
        <v>97</v>
      </c>
      <c r="B70" s="323" t="str">
        <f t="shared" si="9"/>
        <v>Cumin Powder - كمون مطحون</v>
      </c>
      <c r="C70" s="323" t="str">
        <f t="shared" si="9"/>
        <v>gm</v>
      </c>
      <c r="D70" s="323">
        <f t="shared" si="9"/>
        <v>5</v>
      </c>
      <c r="E70" s="281">
        <f t="shared" si="13"/>
        <v>10.204081632653061</v>
      </c>
      <c r="F70" s="127">
        <f t="shared" si="10"/>
        <v>0.75</v>
      </c>
      <c r="G70" s="119">
        <f t="shared" si="11"/>
        <v>51.020408163265301</v>
      </c>
      <c r="H70" s="120">
        <f t="shared" si="12"/>
        <v>38.265306122448976</v>
      </c>
    </row>
    <row r="71" spans="1:8" ht="14.25" customHeight="1" x14ac:dyDescent="0.3">
      <c r="A71" s="270" t="s">
        <v>97</v>
      </c>
      <c r="B71" s="323" t="str">
        <f t="shared" si="9"/>
        <v>Coriander Powder - كزبرة مطحونة</v>
      </c>
      <c r="C71" s="323" t="str">
        <f t="shared" si="9"/>
        <v>gm</v>
      </c>
      <c r="D71" s="323">
        <f t="shared" si="9"/>
        <v>5</v>
      </c>
      <c r="E71" s="281">
        <f t="shared" si="13"/>
        <v>10.204081632653061</v>
      </c>
      <c r="F71" s="127">
        <f t="shared" si="10"/>
        <v>0.75</v>
      </c>
      <c r="G71" s="119">
        <f t="shared" si="11"/>
        <v>51.020408163265301</v>
      </c>
      <c r="H71" s="120">
        <f t="shared" si="12"/>
        <v>38.265306122448976</v>
      </c>
    </row>
    <row r="72" spans="1:8" ht="14.25" customHeight="1" x14ac:dyDescent="0.3">
      <c r="A72" s="270" t="s">
        <v>97</v>
      </c>
      <c r="B72" s="323" t="str">
        <f t="shared" si="9"/>
        <v>Cinnamon Powder - قرفة مطحونة</v>
      </c>
      <c r="C72" s="323" t="str">
        <f t="shared" si="9"/>
        <v>gm</v>
      </c>
      <c r="D72" s="323">
        <f t="shared" si="9"/>
        <v>6</v>
      </c>
      <c r="E72" s="281">
        <f t="shared" si="13"/>
        <v>10.204081632653061</v>
      </c>
      <c r="F72" s="127">
        <f t="shared" si="10"/>
        <v>0.75</v>
      </c>
      <c r="G72" s="119">
        <f t="shared" si="11"/>
        <v>61.224489795918366</v>
      </c>
      <c r="H72" s="120">
        <f t="shared" si="12"/>
        <v>45.918367346938773</v>
      </c>
    </row>
    <row r="73" spans="1:8" ht="14.25" customHeight="1" x14ac:dyDescent="0.3">
      <c r="A73" s="270" t="s">
        <v>97</v>
      </c>
      <c r="B73" s="323" t="str">
        <f t="shared" si="9"/>
        <v>Salt - ملح</v>
      </c>
      <c r="C73" s="323" t="str">
        <f t="shared" si="9"/>
        <v>gm</v>
      </c>
      <c r="D73" s="323">
        <f t="shared" si="9"/>
        <v>11</v>
      </c>
      <c r="E73" s="281">
        <f t="shared" si="13"/>
        <v>10.204081632653061</v>
      </c>
      <c r="F73" s="127">
        <f t="shared" si="10"/>
        <v>0.75</v>
      </c>
      <c r="G73" s="119">
        <f t="shared" si="11"/>
        <v>112.24489795918367</v>
      </c>
      <c r="H73" s="120">
        <f t="shared" si="12"/>
        <v>84.183673469387756</v>
      </c>
    </row>
    <row r="74" spans="1:8" ht="14.25" customHeight="1" x14ac:dyDescent="0.3">
      <c r="A74" s="270" t="s">
        <v>196</v>
      </c>
      <c r="B74" s="323" t="str">
        <f t="shared" si="9"/>
        <v>Tomato Paste - صلصة طماطم</v>
      </c>
      <c r="C74" s="323" t="str">
        <f t="shared" si="9"/>
        <v>gm</v>
      </c>
      <c r="D74" s="323">
        <f t="shared" si="9"/>
        <v>300</v>
      </c>
      <c r="E74" s="281">
        <f t="shared" si="13"/>
        <v>10.204081632653061</v>
      </c>
      <c r="F74" s="127">
        <f t="shared" si="10"/>
        <v>1</v>
      </c>
      <c r="G74" s="119">
        <f t="shared" si="11"/>
        <v>3061.2244897959181</v>
      </c>
      <c r="H74" s="120">
        <f t="shared" si="12"/>
        <v>3061.2244897959181</v>
      </c>
    </row>
    <row r="75" spans="1:8" ht="14.25" customHeight="1" x14ac:dyDescent="0.3">
      <c r="A75" s="270" t="s">
        <v>210</v>
      </c>
      <c r="B75" s="323" t="str">
        <f t="shared" si="9"/>
        <v>Beef Stock - مرق لحم بقري</v>
      </c>
      <c r="C75" s="323" t="str">
        <f t="shared" si="9"/>
        <v>gm</v>
      </c>
      <c r="D75" s="323">
        <f t="shared" si="9"/>
        <v>500</v>
      </c>
      <c r="E75" s="281">
        <f t="shared" si="13"/>
        <v>10.204081632653061</v>
      </c>
      <c r="F75" s="127">
        <f t="shared" si="10"/>
        <v>1</v>
      </c>
      <c r="G75" s="119">
        <f t="shared" si="11"/>
        <v>5102.0408163265301</v>
      </c>
      <c r="H75" s="120">
        <f t="shared" si="12"/>
        <v>5102.0408163265301</v>
      </c>
    </row>
    <row r="76" spans="1:8" ht="14.25" customHeight="1" x14ac:dyDescent="0.3">
      <c r="A76" s="270" t="s">
        <v>158</v>
      </c>
      <c r="B76" s="323" t="str">
        <f t="shared" si="9"/>
        <v>Butter - زبدة</v>
      </c>
      <c r="C76" s="323" t="str">
        <f t="shared" si="9"/>
        <v>gm</v>
      </c>
      <c r="D76" s="323">
        <f t="shared" si="9"/>
        <v>15</v>
      </c>
      <c r="E76" s="399">
        <f t="shared" si="13"/>
        <v>10.204081632653061</v>
      </c>
      <c r="F76" s="127">
        <f t="shared" si="10"/>
        <v>1</v>
      </c>
      <c r="G76" s="119">
        <f t="shared" si="11"/>
        <v>153.0612244897959</v>
      </c>
      <c r="H76" s="120">
        <f t="shared" si="12"/>
        <v>153.0612244897959</v>
      </c>
    </row>
    <row r="77" spans="1:8" ht="14.25" customHeight="1" x14ac:dyDescent="0.3">
      <c r="A77" s="270" t="s">
        <v>97</v>
      </c>
      <c r="B77" s="323" t="str">
        <f t="shared" si="9"/>
        <v>Maggi Cubes - مكعبات ماجي</v>
      </c>
      <c r="C77" s="323" t="str">
        <f t="shared" si="9"/>
        <v>gm</v>
      </c>
      <c r="D77" s="323">
        <f t="shared" si="9"/>
        <v>10</v>
      </c>
      <c r="E77" s="399">
        <f t="shared" si="13"/>
        <v>10.204081632653061</v>
      </c>
      <c r="F77" s="127">
        <f t="shared" si="10"/>
        <v>0.75</v>
      </c>
      <c r="G77" s="119">
        <f t="shared" si="11"/>
        <v>102.0408163265306</v>
      </c>
      <c r="H77" s="120">
        <f t="shared" si="12"/>
        <v>76.530612244897952</v>
      </c>
    </row>
    <row r="78" spans="1:8" ht="14.25" customHeight="1" x14ac:dyDescent="0.3">
      <c r="A78" s="270" t="s">
        <v>192</v>
      </c>
      <c r="B78" s="323" t="str">
        <f t="shared" si="9"/>
        <v>Corn Starch - نشا ذرة</v>
      </c>
      <c r="C78" s="323" t="str">
        <f t="shared" si="9"/>
        <v>gm</v>
      </c>
      <c r="D78" s="323">
        <f t="shared" si="9"/>
        <v>20</v>
      </c>
      <c r="E78" s="281">
        <f t="shared" si="13"/>
        <v>10.204081632653061</v>
      </c>
      <c r="F78" s="127">
        <f t="shared" si="10"/>
        <v>0.75</v>
      </c>
      <c r="G78" s="119">
        <f t="shared" si="11"/>
        <v>204.08163265306121</v>
      </c>
      <c r="H78" s="120">
        <f t="shared" si="12"/>
        <v>153.0612244897959</v>
      </c>
    </row>
    <row r="79" spans="1:8" ht="14.25" customHeight="1" x14ac:dyDescent="0.3">
      <c r="A79" s="270" t="s">
        <v>192</v>
      </c>
      <c r="B79" s="323" t="str">
        <f t="shared" si="9"/>
        <v>Salt - ملح</v>
      </c>
      <c r="C79" s="323" t="str">
        <f t="shared" si="9"/>
        <v>gm</v>
      </c>
      <c r="D79" s="323">
        <f t="shared" si="9"/>
        <v>5</v>
      </c>
      <c r="E79" s="281">
        <f t="shared" si="13"/>
        <v>10.204081632653061</v>
      </c>
      <c r="F79" s="127">
        <f t="shared" si="10"/>
        <v>1</v>
      </c>
      <c r="G79" s="119">
        <f t="shared" si="11"/>
        <v>51.020408163265301</v>
      </c>
      <c r="H79" s="120">
        <f t="shared" si="12"/>
        <v>51.020408163265301</v>
      </c>
    </row>
    <row r="80" spans="1:8" ht="20.25" customHeight="1" x14ac:dyDescent="0.3">
      <c r="A80" s="211"/>
      <c r="B80" s="198" t="s">
        <v>299</v>
      </c>
      <c r="C80" s="200" t="s">
        <v>285</v>
      </c>
      <c r="D80" s="14"/>
      <c r="E80" s="200" t="s">
        <v>300</v>
      </c>
      <c r="F80" s="14"/>
      <c r="G80" s="890" t="s">
        <v>276</v>
      </c>
      <c r="H80" s="890" t="s">
        <v>733</v>
      </c>
    </row>
    <row r="81" spans="1:8" ht="22.25" customHeight="1" x14ac:dyDescent="0.4">
      <c r="A81" s="211"/>
      <c r="B81" s="199">
        <f>$J$53</f>
        <v>12195.38</v>
      </c>
      <c r="C81" s="199">
        <f>E81+G81</f>
        <v>10000.219999999999</v>
      </c>
      <c r="D81" s="930"/>
      <c r="E81" s="199">
        <f>$D$53*$S$44</f>
        <v>3658.6200000000003</v>
      </c>
      <c r="F81" s="934"/>
      <c r="G81" s="199">
        <f>$D$53*$T$44</f>
        <v>6341.5999999999995</v>
      </c>
      <c r="H81" s="199">
        <f>B81+E81</f>
        <v>15854</v>
      </c>
    </row>
    <row r="82" spans="1:8" ht="14.25" customHeight="1" x14ac:dyDescent="0.3">
      <c r="B82" s="100"/>
      <c r="E82" s="100"/>
      <c r="F82" s="100"/>
    </row>
    <row r="83" spans="1:8" ht="14.25" customHeight="1" x14ac:dyDescent="0.3">
      <c r="B83" s="100"/>
      <c r="E83" s="100"/>
      <c r="F83" s="100"/>
    </row>
    <row r="84" spans="1:8" ht="17.75" customHeight="1" x14ac:dyDescent="0.3">
      <c r="A84" s="938"/>
      <c r="B84" s="1382" t="str">
        <f>"  مختوم لحم  2 / " &amp; COUNTIF($C$53:$C$55, "&gt;0")</f>
        <v xml:space="preserve">  مختوم لحم  2 / 2</v>
      </c>
      <c r="C84" s="1383"/>
      <c r="D84" s="1383"/>
      <c r="E84" s="1383"/>
      <c r="F84" s="1383"/>
      <c r="G84" s="1383"/>
      <c r="H84" s="1383"/>
    </row>
    <row r="85" spans="1:8" ht="17.75" customHeight="1" x14ac:dyDescent="0.3">
      <c r="A85" s="938"/>
      <c r="B85" s="1452" t="str">
        <f>" Mkhtoum Lahm 2  / " &amp; COUNTIF($C$53:$C$55, "&gt;0")</f>
        <v xml:space="preserve"> Mkhtoum Lahm 2  / 2</v>
      </c>
      <c r="C85" s="1385"/>
      <c r="D85" s="1385"/>
      <c r="E85" s="1385"/>
      <c r="F85" s="1385"/>
      <c r="G85" s="1385"/>
      <c r="H85" s="1385"/>
    </row>
    <row r="86" spans="1:8" ht="44.75" customHeight="1" x14ac:dyDescent="0.3">
      <c r="A86" s="91"/>
      <c r="B86" s="91" t="s">
        <v>253</v>
      </c>
      <c r="C86" s="107" t="s">
        <v>254</v>
      </c>
      <c r="D86" s="91" t="s">
        <v>243</v>
      </c>
      <c r="E86" s="108" t="s">
        <v>246</v>
      </c>
      <c r="F86" s="108" t="s">
        <v>255</v>
      </c>
      <c r="G86" s="91" t="s">
        <v>256</v>
      </c>
      <c r="H86" s="109" t="s">
        <v>257</v>
      </c>
    </row>
    <row r="87" spans="1:8" ht="14.25" customHeight="1" x14ac:dyDescent="0.3">
      <c r="A87" s="270" t="s">
        <v>230</v>
      </c>
      <c r="B87" s="123" t="str">
        <f t="shared" ref="B87:D101" si="14">B5</f>
        <v>Indian Meat Alana  - لحم هندى ألانا</v>
      </c>
      <c r="C87" s="123" t="str">
        <f t="shared" si="14"/>
        <v>gm</v>
      </c>
      <c r="D87" s="123">
        <f t="shared" si="14"/>
        <v>2391.2509803921566</v>
      </c>
      <c r="E87" s="223">
        <f>H54</f>
        <v>1.9465164424813057</v>
      </c>
      <c r="F87" s="127">
        <f t="shared" ref="F87:F101" si="15">F5</f>
        <v>1</v>
      </c>
      <c r="G87" s="119">
        <f t="shared" ref="G87:G101" si="16">D87*E87</f>
        <v>4654.609351432875</v>
      </c>
      <c r="H87" s="120">
        <f t="shared" ref="H87:H101" si="17">G87*F87</f>
        <v>4654.609351432875</v>
      </c>
    </row>
    <row r="88" spans="1:8" ht="14.25" customHeight="1" x14ac:dyDescent="0.3">
      <c r="A88" s="270" t="s">
        <v>13</v>
      </c>
      <c r="B88" s="123" t="str">
        <f t="shared" si="14"/>
        <v>Onion - بصل</v>
      </c>
      <c r="C88" s="123" t="str">
        <f t="shared" si="14"/>
        <v>gm</v>
      </c>
      <c r="D88" s="123">
        <f t="shared" si="14"/>
        <v>300</v>
      </c>
      <c r="E88" s="223">
        <f t="shared" ref="E88:E101" si="18">$C$54</f>
        <v>1.986499215070646</v>
      </c>
      <c r="F88" s="127">
        <f t="shared" si="15"/>
        <v>1</v>
      </c>
      <c r="G88" s="119">
        <f t="shared" si="16"/>
        <v>595.94976452119374</v>
      </c>
      <c r="H88" s="120">
        <f t="shared" si="17"/>
        <v>595.94976452119374</v>
      </c>
    </row>
    <row r="89" spans="1:8" ht="14.25" customHeight="1" x14ac:dyDescent="0.3">
      <c r="A89" s="270" t="s">
        <v>13</v>
      </c>
      <c r="B89" s="123" t="str">
        <f t="shared" si="14"/>
        <v>Tomato - طماطم</v>
      </c>
      <c r="C89" s="123" t="str">
        <f t="shared" si="14"/>
        <v>gm</v>
      </c>
      <c r="D89" s="123">
        <f t="shared" si="14"/>
        <v>200</v>
      </c>
      <c r="E89" s="223">
        <f t="shared" si="18"/>
        <v>1.986499215070646</v>
      </c>
      <c r="F89" s="127">
        <f t="shared" si="15"/>
        <v>1</v>
      </c>
      <c r="G89" s="119">
        <f t="shared" si="16"/>
        <v>397.29984301412918</v>
      </c>
      <c r="H89" s="120">
        <f t="shared" si="17"/>
        <v>397.29984301412918</v>
      </c>
    </row>
    <row r="90" spans="1:8" ht="14.25" customHeight="1" x14ac:dyDescent="0.3">
      <c r="A90" s="270" t="s">
        <v>13</v>
      </c>
      <c r="B90" s="123" t="str">
        <f t="shared" si="14"/>
        <v>Garlic - ثوم مقشر</v>
      </c>
      <c r="C90" s="123" t="str">
        <f t="shared" si="14"/>
        <v>gm</v>
      </c>
      <c r="D90" s="123">
        <f t="shared" si="14"/>
        <v>35</v>
      </c>
      <c r="E90" s="223">
        <f t="shared" si="18"/>
        <v>1.986499215070646</v>
      </c>
      <c r="F90" s="127">
        <f t="shared" si="15"/>
        <v>1</v>
      </c>
      <c r="G90" s="119">
        <f t="shared" si="16"/>
        <v>69.527472527472611</v>
      </c>
      <c r="H90" s="120">
        <f t="shared" si="17"/>
        <v>69.527472527472611</v>
      </c>
    </row>
    <row r="91" spans="1:8" ht="14.25" customHeight="1" x14ac:dyDescent="0.3">
      <c r="A91" s="270" t="s">
        <v>97</v>
      </c>
      <c r="B91" s="123" t="str">
        <f t="shared" si="14"/>
        <v>Black Pepper Powder - فلفل أسود مطحون</v>
      </c>
      <c r="C91" s="123" t="str">
        <f t="shared" si="14"/>
        <v>gm</v>
      </c>
      <c r="D91" s="123">
        <f t="shared" si="14"/>
        <v>3</v>
      </c>
      <c r="E91" s="223">
        <f t="shared" si="18"/>
        <v>1.986499215070646</v>
      </c>
      <c r="F91" s="127">
        <f t="shared" si="15"/>
        <v>1</v>
      </c>
      <c r="G91" s="119">
        <f t="shared" si="16"/>
        <v>5.9594976452119379</v>
      </c>
      <c r="H91" s="120">
        <f t="shared" si="17"/>
        <v>5.9594976452119379</v>
      </c>
    </row>
    <row r="92" spans="1:8" ht="14.25" customHeight="1" x14ac:dyDescent="0.3">
      <c r="A92" s="270" t="s">
        <v>97</v>
      </c>
      <c r="B92" s="123" t="str">
        <f t="shared" si="14"/>
        <v>Cumin Powder - كمون مطحون</v>
      </c>
      <c r="C92" s="123" t="str">
        <f t="shared" si="14"/>
        <v>gm</v>
      </c>
      <c r="D92" s="123">
        <f t="shared" si="14"/>
        <v>5</v>
      </c>
      <c r="E92" s="223">
        <f t="shared" si="18"/>
        <v>1.986499215070646</v>
      </c>
      <c r="F92" s="127">
        <f t="shared" si="15"/>
        <v>0.75</v>
      </c>
      <c r="G92" s="119">
        <f t="shared" si="16"/>
        <v>9.9324960753532299</v>
      </c>
      <c r="H92" s="120">
        <f t="shared" si="17"/>
        <v>7.4493720565149228</v>
      </c>
    </row>
    <row r="93" spans="1:8" ht="14.25" customHeight="1" x14ac:dyDescent="0.3">
      <c r="A93" s="270" t="s">
        <v>97</v>
      </c>
      <c r="B93" s="123" t="str">
        <f t="shared" si="14"/>
        <v>Coriander Powder - كزبرة مطحونة</v>
      </c>
      <c r="C93" s="123" t="str">
        <f t="shared" si="14"/>
        <v>gm</v>
      </c>
      <c r="D93" s="123">
        <f t="shared" si="14"/>
        <v>5</v>
      </c>
      <c r="E93" s="223">
        <f t="shared" si="18"/>
        <v>1.986499215070646</v>
      </c>
      <c r="F93" s="127">
        <f t="shared" si="15"/>
        <v>0.75</v>
      </c>
      <c r="G93" s="119">
        <f t="shared" si="16"/>
        <v>9.9324960753532299</v>
      </c>
      <c r="H93" s="120">
        <f t="shared" si="17"/>
        <v>7.4493720565149228</v>
      </c>
    </row>
    <row r="94" spans="1:8" ht="14.25" customHeight="1" x14ac:dyDescent="0.3">
      <c r="A94" s="270" t="s">
        <v>97</v>
      </c>
      <c r="B94" s="123" t="str">
        <f t="shared" si="14"/>
        <v>Cinnamon Powder - قرفة مطحونة</v>
      </c>
      <c r="C94" s="123" t="str">
        <f t="shared" si="14"/>
        <v>gm</v>
      </c>
      <c r="D94" s="123">
        <f t="shared" si="14"/>
        <v>6</v>
      </c>
      <c r="E94" s="223">
        <f t="shared" si="18"/>
        <v>1.986499215070646</v>
      </c>
      <c r="F94" s="127">
        <f t="shared" si="15"/>
        <v>0.75</v>
      </c>
      <c r="G94" s="119">
        <f t="shared" si="16"/>
        <v>11.918995290423876</v>
      </c>
      <c r="H94" s="120">
        <f t="shared" si="17"/>
        <v>8.939246467817906</v>
      </c>
    </row>
    <row r="95" spans="1:8" ht="14.25" customHeight="1" x14ac:dyDescent="0.3">
      <c r="A95" s="270" t="s">
        <v>97</v>
      </c>
      <c r="B95" s="123" t="str">
        <f t="shared" si="14"/>
        <v>Salt - ملح</v>
      </c>
      <c r="C95" s="123" t="str">
        <f t="shared" si="14"/>
        <v>gm</v>
      </c>
      <c r="D95" s="123">
        <f t="shared" si="14"/>
        <v>11</v>
      </c>
      <c r="E95" s="223">
        <f t="shared" si="18"/>
        <v>1.986499215070646</v>
      </c>
      <c r="F95" s="127">
        <f t="shared" si="15"/>
        <v>0.75</v>
      </c>
      <c r="G95" s="119">
        <f t="shared" si="16"/>
        <v>21.851491365777107</v>
      </c>
      <c r="H95" s="120">
        <f t="shared" si="17"/>
        <v>16.388618524332831</v>
      </c>
    </row>
    <row r="96" spans="1:8" ht="14.25" customHeight="1" x14ac:dyDescent="0.3">
      <c r="A96" s="270" t="s">
        <v>196</v>
      </c>
      <c r="B96" s="123" t="str">
        <f t="shared" si="14"/>
        <v>Tomato Paste - صلصة طماطم</v>
      </c>
      <c r="C96" s="123" t="str">
        <f t="shared" si="14"/>
        <v>gm</v>
      </c>
      <c r="D96" s="123">
        <f t="shared" si="14"/>
        <v>300</v>
      </c>
      <c r="E96" s="223">
        <f t="shared" si="18"/>
        <v>1.986499215070646</v>
      </c>
      <c r="F96" s="127">
        <f t="shared" si="15"/>
        <v>1</v>
      </c>
      <c r="G96" s="119">
        <f t="shared" si="16"/>
        <v>595.94976452119374</v>
      </c>
      <c r="H96" s="120">
        <f t="shared" si="17"/>
        <v>595.94976452119374</v>
      </c>
    </row>
    <row r="97" spans="1:8" ht="14.25" customHeight="1" x14ac:dyDescent="0.3">
      <c r="A97" s="270" t="s">
        <v>210</v>
      </c>
      <c r="B97" s="123" t="str">
        <f t="shared" si="14"/>
        <v>Beef Stock - مرق لحم بقري</v>
      </c>
      <c r="C97" s="123" t="str">
        <f t="shared" si="14"/>
        <v>gm</v>
      </c>
      <c r="D97" s="123">
        <f t="shared" si="14"/>
        <v>500</v>
      </c>
      <c r="E97" s="223">
        <f t="shared" si="18"/>
        <v>1.986499215070646</v>
      </c>
      <c r="F97" s="127">
        <f t="shared" si="15"/>
        <v>1</v>
      </c>
      <c r="G97" s="119">
        <f t="shared" si="16"/>
        <v>993.24960753532298</v>
      </c>
      <c r="H97" s="120">
        <f t="shared" si="17"/>
        <v>993.24960753532298</v>
      </c>
    </row>
    <row r="98" spans="1:8" ht="14.25" customHeight="1" x14ac:dyDescent="0.3">
      <c r="A98" s="270" t="s">
        <v>158</v>
      </c>
      <c r="B98" s="123" t="str">
        <f t="shared" si="14"/>
        <v>Butter - زبدة</v>
      </c>
      <c r="C98" s="123" t="str">
        <f t="shared" si="14"/>
        <v>gm</v>
      </c>
      <c r="D98" s="123">
        <f t="shared" si="14"/>
        <v>15</v>
      </c>
      <c r="E98" s="223">
        <f t="shared" si="18"/>
        <v>1.986499215070646</v>
      </c>
      <c r="F98" s="127">
        <f t="shared" si="15"/>
        <v>1</v>
      </c>
      <c r="G98" s="119">
        <f t="shared" si="16"/>
        <v>29.797488226059691</v>
      </c>
      <c r="H98" s="120">
        <f t="shared" si="17"/>
        <v>29.797488226059691</v>
      </c>
    </row>
    <row r="99" spans="1:8" ht="14.25" customHeight="1" x14ac:dyDescent="0.3">
      <c r="A99" s="270" t="s">
        <v>97</v>
      </c>
      <c r="B99" s="123" t="str">
        <f t="shared" si="14"/>
        <v>Maggi Cubes - مكعبات ماجي</v>
      </c>
      <c r="C99" s="123" t="str">
        <f t="shared" si="14"/>
        <v>gm</v>
      </c>
      <c r="D99" s="123">
        <f t="shared" si="14"/>
        <v>10</v>
      </c>
      <c r="E99" s="223">
        <f t="shared" si="18"/>
        <v>1.986499215070646</v>
      </c>
      <c r="F99" s="127">
        <f t="shared" si="15"/>
        <v>0.75</v>
      </c>
      <c r="G99" s="119">
        <f t="shared" si="16"/>
        <v>19.86499215070646</v>
      </c>
      <c r="H99" s="120">
        <f t="shared" si="17"/>
        <v>14.898744113029846</v>
      </c>
    </row>
    <row r="100" spans="1:8" ht="14.25" customHeight="1" x14ac:dyDescent="0.3">
      <c r="A100" s="270" t="s">
        <v>192</v>
      </c>
      <c r="B100" s="123" t="str">
        <f t="shared" si="14"/>
        <v>Corn Starch - نشا ذرة</v>
      </c>
      <c r="C100" s="123" t="str">
        <f t="shared" si="14"/>
        <v>gm</v>
      </c>
      <c r="D100" s="123">
        <f t="shared" si="14"/>
        <v>20</v>
      </c>
      <c r="E100" s="223">
        <f t="shared" si="18"/>
        <v>1.986499215070646</v>
      </c>
      <c r="F100" s="127">
        <f t="shared" si="15"/>
        <v>0.75</v>
      </c>
      <c r="G100" s="119">
        <f t="shared" si="16"/>
        <v>39.729984301412919</v>
      </c>
      <c r="H100" s="120">
        <f t="shared" si="17"/>
        <v>29.797488226059691</v>
      </c>
    </row>
    <row r="101" spans="1:8" ht="14.25" customHeight="1" x14ac:dyDescent="0.3">
      <c r="A101" s="270" t="s">
        <v>192</v>
      </c>
      <c r="B101" s="123" t="str">
        <f t="shared" si="14"/>
        <v>Salt - ملح</v>
      </c>
      <c r="C101" s="123" t="str">
        <f t="shared" si="14"/>
        <v>gm</v>
      </c>
      <c r="D101" s="123">
        <f t="shared" si="14"/>
        <v>5</v>
      </c>
      <c r="E101" s="223">
        <f t="shared" si="18"/>
        <v>1.986499215070646</v>
      </c>
      <c r="F101" s="127">
        <f t="shared" si="15"/>
        <v>1</v>
      </c>
      <c r="G101" s="119">
        <f t="shared" si="16"/>
        <v>9.9324960753532299</v>
      </c>
      <c r="H101" s="120">
        <f t="shared" si="17"/>
        <v>9.9324960753532299</v>
      </c>
    </row>
    <row r="102" spans="1:8" ht="20.25" customHeight="1" x14ac:dyDescent="0.3">
      <c r="A102" s="211"/>
      <c r="B102" s="198" t="s">
        <v>299</v>
      </c>
      <c r="C102" s="200" t="s">
        <v>285</v>
      </c>
      <c r="D102" s="14"/>
      <c r="E102" s="200" t="s">
        <v>300</v>
      </c>
      <c r="F102" s="14"/>
      <c r="G102" s="890" t="s">
        <v>276</v>
      </c>
      <c r="H102" s="890" t="s">
        <v>733</v>
      </c>
    </row>
    <row r="103" spans="1:8" ht="20" x14ac:dyDescent="0.4">
      <c r="A103" s="211"/>
      <c r="B103" s="199">
        <f>$J$54</f>
        <v>2373.8507692307667</v>
      </c>
      <c r="C103" s="199">
        <f>E103+G103</f>
        <v>1946.8120596923102</v>
      </c>
      <c r="D103" s="930"/>
      <c r="E103" s="199">
        <f>$D$54*$S$44</f>
        <v>712.24888430769329</v>
      </c>
      <c r="F103" s="934"/>
      <c r="G103" s="199">
        <f>$D$54*$T$44</f>
        <v>1234.5631753846169</v>
      </c>
      <c r="H103" s="199">
        <f>B103+E103</f>
        <v>3086.0996535384602</v>
      </c>
    </row>
    <row r="105" spans="1:8" ht="17.75" customHeight="1" x14ac:dyDescent="0.3">
      <c r="A105" s="265"/>
      <c r="B105" s="1382" t="str">
        <f>"  مختوم لحم 3 / " &amp; COUNTIF($C$53:$C$55, "&gt;0")</f>
        <v xml:space="preserve">  مختوم لحم 3 / 2</v>
      </c>
      <c r="C105" s="1388"/>
      <c r="D105" s="1388"/>
      <c r="E105" s="1388"/>
      <c r="F105" s="1388"/>
      <c r="G105" s="1388"/>
      <c r="H105" s="1388"/>
    </row>
    <row r="106" spans="1:8" ht="17.75" customHeight="1" x14ac:dyDescent="0.3">
      <c r="A106" s="265"/>
      <c r="B106" s="1453" t="str">
        <f>" Mkhtoum Lahm 3  / " &amp; COUNTIF($C$53:$C$55, "&gt;0")</f>
        <v xml:space="preserve"> Mkhtoum Lahm 3  / 2</v>
      </c>
      <c r="C106" s="1410"/>
      <c r="D106" s="1410"/>
      <c r="E106" s="1410"/>
      <c r="F106" s="1410"/>
      <c r="G106" s="1410"/>
      <c r="H106" s="1410"/>
    </row>
    <row r="107" spans="1:8" ht="40.25" customHeight="1" x14ac:dyDescent="0.3">
      <c r="A107" s="91"/>
      <c r="B107" s="91" t="s">
        <v>253</v>
      </c>
      <c r="C107" s="107" t="s">
        <v>254</v>
      </c>
      <c r="D107" s="91" t="s">
        <v>243</v>
      </c>
      <c r="E107" s="108" t="s">
        <v>246</v>
      </c>
      <c r="F107" s="108" t="s">
        <v>255</v>
      </c>
      <c r="G107" s="91" t="s">
        <v>256</v>
      </c>
      <c r="H107" s="109" t="s">
        <v>257</v>
      </c>
    </row>
    <row r="108" spans="1:8" ht="14.25" customHeight="1" x14ac:dyDescent="0.3">
      <c r="A108" s="270" t="s">
        <v>230</v>
      </c>
      <c r="B108" s="123" t="str">
        <f t="shared" ref="B108:D122" si="19">B5</f>
        <v>Indian Meat Alana  - لحم هندى ألانا</v>
      </c>
      <c r="C108" s="123" t="str">
        <f t="shared" si="19"/>
        <v>gm</v>
      </c>
      <c r="D108" s="263">
        <f t="shared" si="19"/>
        <v>2391.2509803921566</v>
      </c>
      <c r="E108" s="223">
        <f>H55</f>
        <v>0</v>
      </c>
      <c r="F108" s="127">
        <f t="shared" ref="F108:F122" si="20">F5</f>
        <v>1</v>
      </c>
      <c r="G108" s="119">
        <f t="shared" ref="G108:G122" si="21">D108*E108</f>
        <v>0</v>
      </c>
      <c r="H108" s="120">
        <f t="shared" ref="H108:H122" si="22">G108*F108</f>
        <v>0</v>
      </c>
    </row>
    <row r="109" spans="1:8" ht="14.25" customHeight="1" x14ac:dyDescent="0.3">
      <c r="A109" s="270" t="s">
        <v>13</v>
      </c>
      <c r="B109" s="123" t="str">
        <f t="shared" si="19"/>
        <v>Onion - بصل</v>
      </c>
      <c r="C109" s="123" t="str">
        <f t="shared" si="19"/>
        <v>gm</v>
      </c>
      <c r="D109" s="123">
        <f t="shared" si="19"/>
        <v>300</v>
      </c>
      <c r="E109" s="223">
        <f t="shared" ref="E109:E122" si="23">$C$55</f>
        <v>0</v>
      </c>
      <c r="F109" s="127">
        <f t="shared" si="20"/>
        <v>1</v>
      </c>
      <c r="G109" s="119">
        <f t="shared" si="21"/>
        <v>0</v>
      </c>
      <c r="H109" s="120">
        <f t="shared" si="22"/>
        <v>0</v>
      </c>
    </row>
    <row r="110" spans="1:8" ht="14.25" customHeight="1" x14ac:dyDescent="0.3">
      <c r="A110" s="270" t="s">
        <v>13</v>
      </c>
      <c r="B110" s="123" t="str">
        <f t="shared" si="19"/>
        <v>Tomato - طماطم</v>
      </c>
      <c r="C110" s="123" t="str">
        <f t="shared" si="19"/>
        <v>gm</v>
      </c>
      <c r="D110" s="123">
        <f t="shared" si="19"/>
        <v>200</v>
      </c>
      <c r="E110" s="223">
        <f t="shared" si="23"/>
        <v>0</v>
      </c>
      <c r="F110" s="127">
        <f t="shared" si="20"/>
        <v>1</v>
      </c>
      <c r="G110" s="119">
        <f t="shared" si="21"/>
        <v>0</v>
      </c>
      <c r="H110" s="120">
        <f t="shared" si="22"/>
        <v>0</v>
      </c>
    </row>
    <row r="111" spans="1:8" ht="14.25" customHeight="1" x14ac:dyDescent="0.3">
      <c r="A111" s="270" t="s">
        <v>13</v>
      </c>
      <c r="B111" s="123" t="str">
        <f t="shared" si="19"/>
        <v>Garlic - ثوم مقشر</v>
      </c>
      <c r="C111" s="123" t="str">
        <f t="shared" si="19"/>
        <v>gm</v>
      </c>
      <c r="D111" s="123">
        <f t="shared" si="19"/>
        <v>35</v>
      </c>
      <c r="E111" s="223">
        <f t="shared" si="23"/>
        <v>0</v>
      </c>
      <c r="F111" s="127">
        <f t="shared" si="20"/>
        <v>1</v>
      </c>
      <c r="G111" s="119">
        <f t="shared" si="21"/>
        <v>0</v>
      </c>
      <c r="H111" s="120">
        <f t="shared" si="22"/>
        <v>0</v>
      </c>
    </row>
    <row r="112" spans="1:8" ht="14.25" customHeight="1" x14ac:dyDescent="0.3">
      <c r="A112" s="270" t="s">
        <v>97</v>
      </c>
      <c r="B112" s="123" t="str">
        <f t="shared" si="19"/>
        <v>Black Pepper Powder - فلفل أسود مطحون</v>
      </c>
      <c r="C112" s="123" t="str">
        <f t="shared" si="19"/>
        <v>gm</v>
      </c>
      <c r="D112" s="123">
        <f t="shared" si="19"/>
        <v>3</v>
      </c>
      <c r="E112" s="223">
        <f t="shared" si="23"/>
        <v>0</v>
      </c>
      <c r="F112" s="127">
        <f t="shared" si="20"/>
        <v>1</v>
      </c>
      <c r="G112" s="119">
        <f t="shared" si="21"/>
        <v>0</v>
      </c>
      <c r="H112" s="120">
        <f t="shared" si="22"/>
        <v>0</v>
      </c>
    </row>
    <row r="113" spans="1:10" ht="14.25" customHeight="1" x14ac:dyDescent="0.3">
      <c r="A113" s="270" t="s">
        <v>97</v>
      </c>
      <c r="B113" s="123" t="str">
        <f t="shared" si="19"/>
        <v>Cumin Powder - كمون مطحون</v>
      </c>
      <c r="C113" s="123" t="str">
        <f t="shared" si="19"/>
        <v>gm</v>
      </c>
      <c r="D113" s="123">
        <f t="shared" si="19"/>
        <v>5</v>
      </c>
      <c r="E113" s="223">
        <f t="shared" si="23"/>
        <v>0</v>
      </c>
      <c r="F113" s="127">
        <f t="shared" si="20"/>
        <v>0.75</v>
      </c>
      <c r="G113" s="119">
        <f t="shared" si="21"/>
        <v>0</v>
      </c>
      <c r="H113" s="120">
        <f t="shared" si="22"/>
        <v>0</v>
      </c>
    </row>
    <row r="114" spans="1:10" ht="14.25" customHeight="1" x14ac:dyDescent="0.3">
      <c r="A114" s="270" t="s">
        <v>97</v>
      </c>
      <c r="B114" s="123" t="str">
        <f t="shared" si="19"/>
        <v>Coriander Powder - كزبرة مطحونة</v>
      </c>
      <c r="C114" s="123" t="str">
        <f t="shared" si="19"/>
        <v>gm</v>
      </c>
      <c r="D114" s="123">
        <f t="shared" si="19"/>
        <v>5</v>
      </c>
      <c r="E114" s="223">
        <f t="shared" si="23"/>
        <v>0</v>
      </c>
      <c r="F114" s="127">
        <f t="shared" si="20"/>
        <v>0.75</v>
      </c>
      <c r="G114" s="119">
        <f t="shared" si="21"/>
        <v>0</v>
      </c>
      <c r="H114" s="120">
        <f t="shared" si="22"/>
        <v>0</v>
      </c>
    </row>
    <row r="115" spans="1:10" ht="14.25" customHeight="1" x14ac:dyDescent="0.3">
      <c r="A115" s="270" t="s">
        <v>97</v>
      </c>
      <c r="B115" s="123" t="str">
        <f t="shared" si="19"/>
        <v>Cinnamon Powder - قرفة مطحونة</v>
      </c>
      <c r="C115" s="123" t="str">
        <f t="shared" si="19"/>
        <v>gm</v>
      </c>
      <c r="D115" s="123">
        <f t="shared" si="19"/>
        <v>6</v>
      </c>
      <c r="E115" s="223">
        <f t="shared" si="23"/>
        <v>0</v>
      </c>
      <c r="F115" s="127">
        <f t="shared" si="20"/>
        <v>0.75</v>
      </c>
      <c r="G115" s="119">
        <f t="shared" si="21"/>
        <v>0</v>
      </c>
      <c r="H115" s="120">
        <f t="shared" si="22"/>
        <v>0</v>
      </c>
    </row>
    <row r="116" spans="1:10" ht="14.25" customHeight="1" x14ac:dyDescent="0.3">
      <c r="A116" s="270" t="s">
        <v>97</v>
      </c>
      <c r="B116" s="123" t="str">
        <f t="shared" si="19"/>
        <v>Salt - ملح</v>
      </c>
      <c r="C116" s="123" t="str">
        <f t="shared" si="19"/>
        <v>gm</v>
      </c>
      <c r="D116" s="123">
        <f t="shared" si="19"/>
        <v>11</v>
      </c>
      <c r="E116" s="223">
        <f t="shared" si="23"/>
        <v>0</v>
      </c>
      <c r="F116" s="127">
        <f t="shared" si="20"/>
        <v>0.75</v>
      </c>
      <c r="G116" s="119">
        <f t="shared" si="21"/>
        <v>0</v>
      </c>
      <c r="H116" s="120">
        <f t="shared" si="22"/>
        <v>0</v>
      </c>
    </row>
    <row r="117" spans="1:10" ht="14.25" customHeight="1" x14ac:dyDescent="0.3">
      <c r="A117" s="270" t="s">
        <v>196</v>
      </c>
      <c r="B117" s="123" t="str">
        <f t="shared" si="19"/>
        <v>Tomato Paste - صلصة طماطم</v>
      </c>
      <c r="C117" s="123" t="str">
        <f t="shared" si="19"/>
        <v>gm</v>
      </c>
      <c r="D117" s="123">
        <f t="shared" si="19"/>
        <v>300</v>
      </c>
      <c r="E117" s="223">
        <f t="shared" si="23"/>
        <v>0</v>
      </c>
      <c r="F117" s="127">
        <f t="shared" si="20"/>
        <v>1</v>
      </c>
      <c r="G117" s="119">
        <f t="shared" si="21"/>
        <v>0</v>
      </c>
      <c r="H117" s="120">
        <f t="shared" si="22"/>
        <v>0</v>
      </c>
    </row>
    <row r="118" spans="1:10" ht="14.25" customHeight="1" x14ac:dyDescent="0.3">
      <c r="A118" s="270" t="s">
        <v>210</v>
      </c>
      <c r="B118" s="123" t="str">
        <f t="shared" si="19"/>
        <v>Beef Stock - مرق لحم بقري</v>
      </c>
      <c r="C118" s="123" t="str">
        <f t="shared" si="19"/>
        <v>gm</v>
      </c>
      <c r="D118" s="123">
        <f t="shared" si="19"/>
        <v>500</v>
      </c>
      <c r="E118" s="223">
        <f t="shared" si="23"/>
        <v>0</v>
      </c>
      <c r="F118" s="127">
        <f t="shared" si="20"/>
        <v>1</v>
      </c>
      <c r="G118" s="119">
        <f t="shared" si="21"/>
        <v>0</v>
      </c>
      <c r="H118" s="120">
        <f t="shared" si="22"/>
        <v>0</v>
      </c>
    </row>
    <row r="119" spans="1:10" ht="14.25" customHeight="1" x14ac:dyDescent="0.3">
      <c r="A119" s="270" t="s">
        <v>158</v>
      </c>
      <c r="B119" s="123" t="str">
        <f t="shared" si="19"/>
        <v>Butter - زبدة</v>
      </c>
      <c r="C119" s="123" t="str">
        <f t="shared" si="19"/>
        <v>gm</v>
      </c>
      <c r="D119" s="123">
        <f t="shared" si="19"/>
        <v>15</v>
      </c>
      <c r="E119" s="223">
        <f t="shared" si="23"/>
        <v>0</v>
      </c>
      <c r="F119" s="127">
        <f t="shared" si="20"/>
        <v>1</v>
      </c>
      <c r="G119" s="119">
        <f t="shared" si="21"/>
        <v>0</v>
      </c>
      <c r="H119" s="120">
        <f t="shared" si="22"/>
        <v>0</v>
      </c>
    </row>
    <row r="120" spans="1:10" ht="20.25" customHeight="1" x14ac:dyDescent="0.4">
      <c r="A120" s="270" t="s">
        <v>97</v>
      </c>
      <c r="B120" s="123" t="str">
        <f t="shared" si="19"/>
        <v>Maggi Cubes - مكعبات ماجي</v>
      </c>
      <c r="C120" s="123" t="str">
        <f t="shared" si="19"/>
        <v>gm</v>
      </c>
      <c r="D120" s="123">
        <f t="shared" si="19"/>
        <v>10</v>
      </c>
      <c r="E120" s="223">
        <f t="shared" si="23"/>
        <v>0</v>
      </c>
      <c r="F120" s="127">
        <f t="shared" si="20"/>
        <v>0.75</v>
      </c>
      <c r="G120" s="119">
        <f t="shared" si="21"/>
        <v>0</v>
      </c>
      <c r="H120" s="120">
        <f t="shared" si="22"/>
        <v>0</v>
      </c>
      <c r="I120" s="204"/>
      <c r="J120" s="203"/>
    </row>
    <row r="121" spans="1:10" ht="14.25" customHeight="1" x14ac:dyDescent="0.3">
      <c r="A121" s="270" t="s">
        <v>192</v>
      </c>
      <c r="B121" s="123" t="str">
        <f t="shared" si="19"/>
        <v>Corn Starch - نشا ذرة</v>
      </c>
      <c r="C121" s="123" t="str">
        <f t="shared" si="19"/>
        <v>gm</v>
      </c>
      <c r="D121" s="123">
        <f t="shared" si="19"/>
        <v>20</v>
      </c>
      <c r="E121" s="223">
        <f t="shared" si="23"/>
        <v>0</v>
      </c>
      <c r="F121" s="127">
        <f t="shared" si="20"/>
        <v>0.75</v>
      </c>
      <c r="G121" s="119">
        <f t="shared" si="21"/>
        <v>0</v>
      </c>
      <c r="H121" s="120">
        <f t="shared" si="22"/>
        <v>0</v>
      </c>
    </row>
    <row r="122" spans="1:10" ht="14.25" customHeight="1" x14ac:dyDescent="0.3">
      <c r="A122" s="270" t="s">
        <v>192</v>
      </c>
      <c r="B122" s="123" t="str">
        <f t="shared" si="19"/>
        <v>Salt - ملح</v>
      </c>
      <c r="C122" s="123" t="str">
        <f t="shared" si="19"/>
        <v>gm</v>
      </c>
      <c r="D122" s="123">
        <f t="shared" si="19"/>
        <v>5</v>
      </c>
      <c r="E122" s="223">
        <f t="shared" si="23"/>
        <v>0</v>
      </c>
      <c r="F122" s="127">
        <f t="shared" si="20"/>
        <v>1</v>
      </c>
      <c r="G122" s="119">
        <f t="shared" si="21"/>
        <v>0</v>
      </c>
      <c r="H122" s="120">
        <f t="shared" si="22"/>
        <v>0</v>
      </c>
    </row>
    <row r="123" spans="1:10" ht="20.25" customHeight="1" x14ac:dyDescent="0.3">
      <c r="A123" s="79"/>
      <c r="B123" s="198" t="s">
        <v>299</v>
      </c>
      <c r="C123" s="200" t="s">
        <v>285</v>
      </c>
      <c r="D123" s="14"/>
      <c r="E123" s="200" t="s">
        <v>300</v>
      </c>
      <c r="F123" s="14"/>
      <c r="G123" s="890" t="s">
        <v>276</v>
      </c>
      <c r="H123" s="890" t="s">
        <v>733</v>
      </c>
    </row>
    <row r="124" spans="1:10" ht="20" x14ac:dyDescent="0.4">
      <c r="A124" s="79"/>
      <c r="B124" s="199">
        <f>$J$55</f>
        <v>0</v>
      </c>
      <c r="C124" s="199">
        <f>E124+G124</f>
        <v>0</v>
      </c>
      <c r="D124" s="945"/>
      <c r="E124" s="199">
        <f>$D$55*$S$44</f>
        <v>0</v>
      </c>
      <c r="F124" s="945"/>
      <c r="G124" s="199">
        <f>$D$55*$T$44</f>
        <v>0</v>
      </c>
      <c r="H124" s="199">
        <f>B124+E124</f>
        <v>0</v>
      </c>
    </row>
  </sheetData>
  <mergeCells count="10">
    <mergeCell ref="R25:U25"/>
    <mergeCell ref="B62:H62"/>
    <mergeCell ref="B2:K3"/>
    <mergeCell ref="B63:H63"/>
    <mergeCell ref="B35:F35"/>
    <mergeCell ref="B85:H85"/>
    <mergeCell ref="B84:H84"/>
    <mergeCell ref="B105:H105"/>
    <mergeCell ref="B106:H106"/>
    <mergeCell ref="R26:U26"/>
  </mergeCells>
  <printOptions horizontalCentered="1"/>
  <pageMargins left="0.5" right="0.5" top="1" bottom="0.5" header="0.3" footer="0.511811023622047"/>
  <pageSetup paperSize="9" scale="36"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2E75B6"/>
    <pageSetUpPr fitToPage="1"/>
  </sheetPr>
  <dimension ref="A1:AT82"/>
  <sheetViews>
    <sheetView topLeftCell="A10" zoomScaleNormal="100" workbookViewId="0">
      <selection activeCell="D53" sqref="D53"/>
    </sheetView>
  </sheetViews>
  <sheetFormatPr defaultColWidth="12.5" defaultRowHeight="14" x14ac:dyDescent="0.3"/>
  <cols>
    <col min="1" max="1" width="12.5" style="79" customWidth="1"/>
    <col min="2" max="2" width="29.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4" style="14" customWidth="1"/>
    <col min="15" max="17" width="12.5" style="14" customWidth="1"/>
    <col min="18" max="18" width="30.5" style="14" customWidth="1"/>
    <col min="19" max="19" width="12.5" style="14" customWidth="1"/>
    <col min="20" max="26" width="12.5" style="14"/>
    <col min="27" max="27" width="12.9140625" style="14" customWidth="1"/>
    <col min="28" max="28" width="11.75" style="14" bestFit="1" customWidth="1"/>
    <col min="29" max="29" width="14.08203125" style="14" customWidth="1"/>
    <col min="30" max="30" width="13.1640625" style="14" bestFit="1" customWidth="1"/>
    <col min="31" max="31" width="11.5" style="14" bestFit="1" customWidth="1"/>
    <col min="32" max="32" width="11" style="14" bestFit="1" customWidth="1"/>
    <col min="33" max="34" width="3" style="14" customWidth="1"/>
    <col min="35" max="35" width="12.5" style="14"/>
    <col min="36" max="36" width="33.25" style="14" customWidth="1"/>
    <col min="37" max="37" width="12.5" style="14"/>
    <col min="38" max="38" width="17.5" style="14" customWidth="1"/>
    <col min="39" max="41" width="12.5" style="14"/>
    <col min="42" max="42" width="17.83203125" style="14" customWidth="1"/>
    <col min="43" max="16384" width="12.5" style="14"/>
  </cols>
  <sheetData>
    <row r="1" spans="1:46" ht="35.25" customHeight="1" x14ac:dyDescent="0.3">
      <c r="B1" s="80" t="s">
        <v>243</v>
      </c>
      <c r="C1" s="81">
        <v>1000</v>
      </c>
      <c r="D1" s="82" t="s">
        <v>244</v>
      </c>
      <c r="E1" s="117">
        <f>T32</f>
        <v>6992.3076923076997</v>
      </c>
      <c r="F1" s="80" t="s">
        <v>245</v>
      </c>
      <c r="G1" s="81">
        <f>E1/C1</f>
        <v>6.9923076923076994</v>
      </c>
      <c r="H1" s="80" t="s">
        <v>246</v>
      </c>
      <c r="I1" s="85">
        <f>(G1/K1)</f>
        <v>7.1350078492935713</v>
      </c>
      <c r="J1" s="86" t="s">
        <v>247</v>
      </c>
      <c r="K1" s="400">
        <v>0.98</v>
      </c>
      <c r="L1" s="100"/>
      <c r="M1" s="89"/>
      <c r="N1" s="90"/>
      <c r="O1" s="91" t="s">
        <v>248</v>
      </c>
      <c r="P1" s="92" t="s">
        <v>249</v>
      </c>
      <c r="Q1" s="93" t="s">
        <v>250</v>
      </c>
      <c r="R1" s="92">
        <v>0.59</v>
      </c>
      <c r="Y1" s="91" t="s">
        <v>479</v>
      </c>
      <c r="Z1" s="847">
        <v>29300</v>
      </c>
      <c r="AA1" s="91" t="s">
        <v>600</v>
      </c>
      <c r="AB1" s="847">
        <v>1000</v>
      </c>
      <c r="AC1" s="91" t="s">
        <v>587</v>
      </c>
      <c r="AD1" s="847">
        <v>200</v>
      </c>
      <c r="AE1" s="250"/>
      <c r="AF1" s="252"/>
      <c r="AG1" s="92"/>
      <c r="AI1" s="79"/>
      <c r="AJ1" s="110" t="s">
        <v>262</v>
      </c>
      <c r="AK1" s="94">
        <v>10000</v>
      </c>
      <c r="AL1" s="628" t="s">
        <v>520</v>
      </c>
      <c r="AM1" s="629">
        <f>$S$32</f>
        <v>23307.692307692301</v>
      </c>
      <c r="AN1" s="94" t="s">
        <v>251</v>
      </c>
      <c r="AO1" s="96">
        <f>($S$32/$R$1)/$AK$1</f>
        <v>3.9504563233376788</v>
      </c>
      <c r="AP1" s="95"/>
    </row>
    <row r="2" spans="1:46" ht="12.75" customHeight="1" x14ac:dyDescent="0.3">
      <c r="A2" s="97"/>
      <c r="B2" s="98"/>
      <c r="C2" s="98"/>
      <c r="D2" s="98"/>
      <c r="E2" s="98"/>
      <c r="F2" s="1408" t="s">
        <v>54</v>
      </c>
      <c r="G2" s="1429"/>
      <c r="H2" s="98"/>
      <c r="I2" s="98"/>
      <c r="J2" s="98"/>
      <c r="K2" s="292"/>
      <c r="L2" s="292"/>
      <c r="O2" s="100"/>
      <c r="P2" s="100"/>
      <c r="Q2" s="100"/>
      <c r="R2" s="100"/>
      <c r="AC2" s="99"/>
      <c r="AD2" s="99"/>
      <c r="AE2" s="1391"/>
      <c r="AF2" s="1389"/>
      <c r="AG2" s="1389"/>
      <c r="AI2" s="79"/>
      <c r="AJ2" s="101"/>
      <c r="AK2" s="1386" t="s">
        <v>380</v>
      </c>
      <c r="AL2" s="1386"/>
      <c r="AM2" s="1386"/>
      <c r="AN2" s="102"/>
      <c r="AO2" s="101"/>
      <c r="AP2" s="101"/>
    </row>
    <row r="3" spans="1:46" ht="12.75" customHeight="1" x14ac:dyDescent="0.3">
      <c r="A3" s="97"/>
      <c r="B3" s="103"/>
      <c r="C3" s="103"/>
      <c r="D3" s="103"/>
      <c r="E3" s="103"/>
      <c r="F3" s="1388"/>
      <c r="G3" s="1388"/>
      <c r="H3" s="103"/>
      <c r="I3" s="103"/>
      <c r="J3" s="103"/>
      <c r="K3" s="292"/>
      <c r="L3" s="292"/>
      <c r="O3" s="100"/>
      <c r="P3" s="100"/>
      <c r="Q3" s="100"/>
      <c r="R3" s="100"/>
      <c r="AC3" s="99"/>
      <c r="AD3" s="99"/>
      <c r="AE3" s="1389"/>
      <c r="AF3" s="1389"/>
      <c r="AG3" s="1389"/>
      <c r="AI3" s="79"/>
      <c r="AJ3" s="104"/>
      <c r="AK3" s="104"/>
      <c r="AL3" s="105"/>
      <c r="AM3" s="105"/>
      <c r="AN3" s="105"/>
      <c r="AO3" s="104"/>
      <c r="AP3" s="104"/>
    </row>
    <row r="4" spans="1:46" ht="69" customHeight="1" x14ac:dyDescent="0.3">
      <c r="A4" s="91" t="s">
        <v>1</v>
      </c>
      <c r="B4" s="91" t="s">
        <v>253</v>
      </c>
      <c r="C4" s="107" t="s">
        <v>254</v>
      </c>
      <c r="D4" s="91" t="s">
        <v>243</v>
      </c>
      <c r="E4" s="108" t="s">
        <v>246</v>
      </c>
      <c r="F4" s="108" t="s">
        <v>255</v>
      </c>
      <c r="G4" s="91" t="s">
        <v>256</v>
      </c>
      <c r="H4" s="109" t="s">
        <v>257</v>
      </c>
      <c r="I4" s="91" t="s">
        <v>258</v>
      </c>
      <c r="J4" s="91" t="s">
        <v>259</v>
      </c>
      <c r="K4" s="91" t="s">
        <v>260</v>
      </c>
      <c r="L4" s="91" t="s">
        <v>261</v>
      </c>
      <c r="O4" s="100"/>
      <c r="P4" s="100"/>
      <c r="AA4" s="251"/>
      <c r="AB4" s="253"/>
      <c r="AC4" s="251"/>
      <c r="AD4" s="251"/>
      <c r="AE4" s="251"/>
      <c r="AI4" s="79"/>
      <c r="AJ4" s="110" t="s">
        <v>253</v>
      </c>
      <c r="AK4" s="111" t="s">
        <v>254</v>
      </c>
      <c r="AL4" s="110" t="s">
        <v>262</v>
      </c>
      <c r="AM4" s="110" t="s">
        <v>246</v>
      </c>
      <c r="AN4" s="110" t="s">
        <v>255</v>
      </c>
      <c r="AO4" s="110" t="s">
        <v>256</v>
      </c>
      <c r="AP4" s="112" t="s">
        <v>257</v>
      </c>
      <c r="AQ4" s="91" t="s">
        <v>258</v>
      </c>
      <c r="AR4" s="91" t="s">
        <v>259</v>
      </c>
      <c r="AS4" s="91" t="s">
        <v>260</v>
      </c>
      <c r="AT4" s="91" t="s">
        <v>261</v>
      </c>
    </row>
    <row r="5" spans="1:46" ht="14.25" customHeight="1" x14ac:dyDescent="0.3">
      <c r="A5" s="266" t="s">
        <v>230</v>
      </c>
      <c r="B5" s="309" t="s">
        <v>229</v>
      </c>
      <c r="C5" s="115" t="s">
        <v>14</v>
      </c>
      <c r="D5" s="121">
        <f>I51/10</f>
        <v>5649.8305084745762</v>
      </c>
      <c r="E5" s="197">
        <f>H52</f>
        <v>6.9921678489507126</v>
      </c>
      <c r="F5" s="127">
        <v>1</v>
      </c>
      <c r="G5" s="119">
        <f t="shared" ref="G5:G17" si="0">D5*E5</f>
        <v>39504.563233376786</v>
      </c>
      <c r="H5" s="120">
        <f t="shared" ref="H5:H17" si="1">G5*F5</f>
        <v>39504.563233376786</v>
      </c>
      <c r="I5" s="81">
        <f>VLOOKUP(B5,All_Ingredients!$A$1:$F$151,6,FALSE())</f>
        <v>0.86</v>
      </c>
      <c r="J5" s="119">
        <f>VLOOKUP(B5,All_Ingredients!$A$1:$J$151,10,FALSE())</f>
        <v>17.100000000000001</v>
      </c>
      <c r="K5" s="122">
        <f t="shared" ref="K5" si="2">(H5/I5)/1000</f>
        <v>45.935538643461385</v>
      </c>
      <c r="L5" s="122">
        <f t="shared" ref="L5" si="3">K5*J5</f>
        <v>785.49771080318976</v>
      </c>
      <c r="O5" s="100"/>
      <c r="P5" s="100"/>
      <c r="AA5" s="92"/>
      <c r="AB5" s="133"/>
      <c r="AC5" s="254"/>
      <c r="AD5" s="135"/>
      <c r="AE5" s="136"/>
      <c r="AI5" s="79"/>
      <c r="AJ5" s="123" t="s">
        <v>229</v>
      </c>
      <c r="AK5" s="124" t="s">
        <v>238</v>
      </c>
      <c r="AL5" s="116">
        <v>10</v>
      </c>
      <c r="AM5" s="197">
        <f t="shared" ref="AM5:AM13" si="4">$AO$1</f>
        <v>3.9504563233376788</v>
      </c>
      <c r="AN5" s="127">
        <v>1</v>
      </c>
      <c r="AO5" s="121">
        <f t="shared" ref="AO5:AO13" si="5">AL5*AM5</f>
        <v>39.504563233376786</v>
      </c>
      <c r="AP5" s="120">
        <f t="shared" ref="AP5:AP13" si="6">AO5*AN5</f>
        <v>39.504563233376786</v>
      </c>
      <c r="AQ5" s="295"/>
      <c r="AR5" s="1171"/>
      <c r="AS5" s="175"/>
      <c r="AT5" s="1172"/>
    </row>
    <row r="6" spans="1:46" ht="14.25" customHeight="1" x14ac:dyDescent="0.3">
      <c r="A6" s="128" t="s">
        <v>196</v>
      </c>
      <c r="B6" s="401" t="s">
        <v>195</v>
      </c>
      <c r="C6" s="124" t="s">
        <v>165</v>
      </c>
      <c r="D6" s="125">
        <v>400</v>
      </c>
      <c r="E6" s="197">
        <f>$I$1</f>
        <v>7.1350078492935713</v>
      </c>
      <c r="F6" s="127">
        <v>0.95</v>
      </c>
      <c r="G6" s="119">
        <f t="shared" si="0"/>
        <v>2854.0031397174284</v>
      </c>
      <c r="H6" s="120">
        <f t="shared" si="1"/>
        <v>2711.3029827315568</v>
      </c>
      <c r="I6" s="81">
        <f>VLOOKUP(B6,All_Ingredients!$A$1:$F$151,6,FALSE())</f>
        <v>1</v>
      </c>
      <c r="J6" s="119">
        <f>VLOOKUP(B6,All_Ingredients!$A$1:$J$151,10,FALSE())</f>
        <v>17.480211081794195</v>
      </c>
      <c r="K6" s="122">
        <f t="shared" ref="K6:K17" si="7">(H6/I6)/1000</f>
        <v>2.7113029827315569</v>
      </c>
      <c r="L6" s="122">
        <f t="shared" ref="L6:L17" si="8">K6*J6</f>
        <v>47.394148444845818</v>
      </c>
      <c r="AI6" s="79" t="s">
        <v>57</v>
      </c>
      <c r="AJ6" s="323" t="s">
        <v>56</v>
      </c>
      <c r="AK6" s="334" t="s">
        <v>14</v>
      </c>
      <c r="AL6" s="116">
        <v>100</v>
      </c>
      <c r="AM6" s="197">
        <f t="shared" si="4"/>
        <v>3.9504563233376788</v>
      </c>
      <c r="AN6" s="127">
        <v>1</v>
      </c>
      <c r="AO6" s="121">
        <f t="shared" si="5"/>
        <v>395.04563233376786</v>
      </c>
      <c r="AP6" s="120">
        <f t="shared" si="6"/>
        <v>395.04563233376786</v>
      </c>
      <c r="AQ6" s="1172">
        <f>VLOOKUP(AJ6,Marination_Ordering!$A:$J,6,FALSE)</f>
        <v>0.87</v>
      </c>
      <c r="AR6" s="1172">
        <f>VLOOKUP(AJ6,Marination_Ordering!$A:$J,10,FALSE)</f>
        <v>3.2</v>
      </c>
      <c r="AS6" s="175">
        <f>AP6/AQ6</f>
        <v>454.07543946410101</v>
      </c>
      <c r="AT6" s="1172">
        <f>AR6*(AS6/1000)</f>
        <v>1.4530414062851233</v>
      </c>
    </row>
    <row r="7" spans="1:46" ht="14.25" customHeight="1" x14ac:dyDescent="0.3">
      <c r="A7" s="128" t="s">
        <v>196</v>
      </c>
      <c r="B7" s="401" t="s">
        <v>198</v>
      </c>
      <c r="C7" s="124" t="s">
        <v>165</v>
      </c>
      <c r="D7" s="125">
        <v>35</v>
      </c>
      <c r="E7" s="197">
        <f t="shared" ref="E7:E20" si="9">$I$1</f>
        <v>7.1350078492935713</v>
      </c>
      <c r="F7" s="127">
        <v>0.95</v>
      </c>
      <c r="G7" s="119">
        <f t="shared" si="0"/>
        <v>249.725274725275</v>
      </c>
      <c r="H7" s="120">
        <f t="shared" si="1"/>
        <v>237.23901098901123</v>
      </c>
      <c r="I7" s="81">
        <f>VLOOKUP(B7,All_Ingredients!$A$1:$F$151,6,FALSE())</f>
        <v>1</v>
      </c>
      <c r="J7" s="119">
        <f>VLOOKUP(B7,All_Ingredients!$A$1:$J$151,10,FALSE())</f>
        <v>58.685446009389672</v>
      </c>
      <c r="K7" s="122">
        <f t="shared" si="7"/>
        <v>0.23723901098901123</v>
      </c>
      <c r="L7" s="122">
        <f t="shared" si="8"/>
        <v>13.922477170716622</v>
      </c>
      <c r="AI7" s="79" t="s">
        <v>13</v>
      </c>
      <c r="AJ7" s="323" t="s">
        <v>792</v>
      </c>
      <c r="AK7" s="334" t="s">
        <v>14</v>
      </c>
      <c r="AL7" s="116">
        <v>200</v>
      </c>
      <c r="AM7" s="197">
        <f t="shared" si="4"/>
        <v>3.9504563233376788</v>
      </c>
      <c r="AN7" s="127">
        <v>1</v>
      </c>
      <c r="AO7" s="121">
        <f t="shared" si="5"/>
        <v>790.09126466753571</v>
      </c>
      <c r="AP7" s="120">
        <f t="shared" si="6"/>
        <v>790.09126466753571</v>
      </c>
      <c r="AQ7" s="1172">
        <f>VLOOKUP(AJ7,Marination_Ordering!$A:$J,6,FALSE)</f>
        <v>1</v>
      </c>
      <c r="AR7" s="1172">
        <f>VLOOKUP(AJ7,Marination_Ordering!$A:$J,10,FALSE)</f>
        <v>10.5</v>
      </c>
      <c r="AS7" s="175">
        <f t="shared" ref="AS7:AS9" si="10">AP7/AQ7</f>
        <v>790.09126466753571</v>
      </c>
      <c r="AT7" s="1172">
        <f t="shared" ref="AT7:AT9" si="11">AR7*(AS7/1000)</f>
        <v>8.2959582790091257</v>
      </c>
    </row>
    <row r="8" spans="1:46" ht="14.25" customHeight="1" x14ac:dyDescent="0.3">
      <c r="A8" s="128" t="s">
        <v>97</v>
      </c>
      <c r="B8" s="401" t="s">
        <v>114</v>
      </c>
      <c r="C8" s="124" t="s">
        <v>14</v>
      </c>
      <c r="D8" s="125">
        <v>10</v>
      </c>
      <c r="E8" s="197">
        <f t="shared" si="9"/>
        <v>7.1350078492935713</v>
      </c>
      <c r="F8" s="127">
        <v>1</v>
      </c>
      <c r="G8" s="119">
        <f t="shared" si="0"/>
        <v>71.350078492935708</v>
      </c>
      <c r="H8" s="120">
        <f t="shared" si="1"/>
        <v>71.350078492935708</v>
      </c>
      <c r="I8" s="81">
        <f>VLOOKUP(B8,All_Ingredients!$A$1:$F$151,6,FALSE())</f>
        <v>1</v>
      </c>
      <c r="J8" s="119">
        <f>VLOOKUP(B8,All_Ingredients!$A$1:$J$151,10,FALSE())</f>
        <v>64.243759177679877</v>
      </c>
      <c r="K8" s="122">
        <f t="shared" si="7"/>
        <v>7.1350078492935703E-2</v>
      </c>
      <c r="L8" s="122">
        <f t="shared" si="8"/>
        <v>4.5837972600087173</v>
      </c>
      <c r="AI8" s="79" t="s">
        <v>210</v>
      </c>
      <c r="AJ8" s="323" t="s">
        <v>219</v>
      </c>
      <c r="AK8" s="334" t="s">
        <v>165</v>
      </c>
      <c r="AL8" s="116">
        <v>350</v>
      </c>
      <c r="AM8" s="197">
        <f t="shared" si="4"/>
        <v>3.9504563233376788</v>
      </c>
      <c r="AN8" s="127">
        <v>1</v>
      </c>
      <c r="AO8" s="121">
        <f t="shared" si="5"/>
        <v>1382.6597131681876</v>
      </c>
      <c r="AP8" s="120">
        <f t="shared" si="6"/>
        <v>1382.6597131681876</v>
      </c>
      <c r="AQ8" s="1172">
        <f>VLOOKUP(AJ8,Marination_Ordering!$A:$J,6,FALSE)</f>
        <v>1</v>
      </c>
      <c r="AR8" s="1172">
        <f>VLOOKUP(AJ8,Marination_Ordering!$A:$J,10,FALSE)</f>
        <v>5</v>
      </c>
      <c r="AS8" s="175">
        <f t="shared" si="10"/>
        <v>1382.6597131681876</v>
      </c>
      <c r="AT8" s="1172">
        <f t="shared" si="11"/>
        <v>6.9132985658409387</v>
      </c>
    </row>
    <row r="9" spans="1:46" ht="14.25" customHeight="1" x14ac:dyDescent="0.3">
      <c r="A9" s="128" t="s">
        <v>97</v>
      </c>
      <c r="B9" s="401" t="s">
        <v>154</v>
      </c>
      <c r="C9" s="124" t="s">
        <v>14</v>
      </c>
      <c r="D9" s="125">
        <v>10</v>
      </c>
      <c r="E9" s="197">
        <f t="shared" si="9"/>
        <v>7.1350078492935713</v>
      </c>
      <c r="F9" s="127">
        <v>1</v>
      </c>
      <c r="G9" s="119">
        <f t="shared" si="0"/>
        <v>71.350078492935708</v>
      </c>
      <c r="H9" s="120">
        <f t="shared" si="1"/>
        <v>71.350078492935708</v>
      </c>
      <c r="I9" s="81">
        <f>VLOOKUP(B9,All_Ingredients!$A$1:$F$151,6,FALSE())</f>
        <v>1</v>
      </c>
      <c r="J9" s="119">
        <f>VLOOKUP(B9,All_Ingredients!$A$1:$J$151,10,FALSE())</f>
        <v>10</v>
      </c>
      <c r="K9" s="122">
        <f t="shared" si="7"/>
        <v>7.1350078492935703E-2</v>
      </c>
      <c r="L9" s="122">
        <f t="shared" si="8"/>
        <v>0.71350078492935709</v>
      </c>
      <c r="AI9" s="79" t="s">
        <v>210</v>
      </c>
      <c r="AJ9" s="323" t="s">
        <v>215</v>
      </c>
      <c r="AK9" s="124" t="s">
        <v>165</v>
      </c>
      <c r="AL9" s="223">
        <v>50</v>
      </c>
      <c r="AM9" s="197">
        <f t="shared" si="4"/>
        <v>3.9504563233376788</v>
      </c>
      <c r="AN9" s="127">
        <v>1</v>
      </c>
      <c r="AO9" s="121">
        <f t="shared" si="5"/>
        <v>197.52281616688393</v>
      </c>
      <c r="AP9" s="120">
        <f t="shared" si="6"/>
        <v>197.52281616688393</v>
      </c>
      <c r="AQ9" s="1172">
        <f>VLOOKUP(AJ9,Marination_Ordering!$A:$J,6,FALSE)</f>
        <v>1</v>
      </c>
      <c r="AR9" s="1172">
        <f>VLOOKUP(AJ9,Marination_Ordering!$A:$J,10,FALSE)</f>
        <v>2.1621621621621623</v>
      </c>
      <c r="AS9" s="175">
        <f t="shared" si="10"/>
        <v>197.52281616688393</v>
      </c>
      <c r="AT9" s="1172">
        <f t="shared" si="11"/>
        <v>0.42707635927974907</v>
      </c>
    </row>
    <row r="10" spans="1:46" ht="14.25" customHeight="1" x14ac:dyDescent="0.3">
      <c r="A10" s="128" t="s">
        <v>97</v>
      </c>
      <c r="B10" s="401" t="s">
        <v>108</v>
      </c>
      <c r="C10" s="124" t="s">
        <v>14</v>
      </c>
      <c r="D10" s="125">
        <v>10</v>
      </c>
      <c r="E10" s="197">
        <f t="shared" si="9"/>
        <v>7.1350078492935713</v>
      </c>
      <c r="F10" s="127">
        <v>0.75</v>
      </c>
      <c r="G10" s="119">
        <f t="shared" si="0"/>
        <v>71.350078492935708</v>
      </c>
      <c r="H10" s="120">
        <f t="shared" si="1"/>
        <v>53.512558869701778</v>
      </c>
      <c r="I10" s="81">
        <f>VLOOKUP(B10,All_Ingredients!$A$1:$F$151,6,FALSE())</f>
        <v>1</v>
      </c>
      <c r="J10" s="119">
        <f>VLOOKUP(B10,All_Ingredients!$A$1:$J$151,10,FALSE())</f>
        <v>15</v>
      </c>
      <c r="K10" s="122">
        <f t="shared" si="7"/>
        <v>5.3512558869701778E-2</v>
      </c>
      <c r="L10" s="122">
        <f t="shared" si="8"/>
        <v>0.8026883830455267</v>
      </c>
      <c r="AI10" s="79" t="s">
        <v>97</v>
      </c>
      <c r="AJ10" s="323" t="s">
        <v>96</v>
      </c>
      <c r="AK10" s="334" t="s">
        <v>14</v>
      </c>
      <c r="AL10" s="116">
        <v>2</v>
      </c>
      <c r="AM10" s="197">
        <f t="shared" si="4"/>
        <v>3.9504563233376788</v>
      </c>
      <c r="AN10" s="127">
        <v>1</v>
      </c>
      <c r="AO10" s="121">
        <f t="shared" si="5"/>
        <v>7.9009126466753576</v>
      </c>
      <c r="AP10" s="120">
        <f t="shared" si="6"/>
        <v>7.9009126466753576</v>
      </c>
      <c r="AQ10" s="1172">
        <f>VLOOKUP(AJ10,Marination_Ordering!$A:$J,6,FALSE)</f>
        <v>1</v>
      </c>
      <c r="AR10" s="1172">
        <f>VLOOKUP(AJ10,Marination_Ordering!$A:$J,10,FALSE)</f>
        <v>0.74</v>
      </c>
      <c r="AS10" s="175">
        <f t="shared" ref="AS10:AS13" si="12">AP10/AQ10</f>
        <v>7.9009126466753576</v>
      </c>
      <c r="AT10" s="1172">
        <f t="shared" ref="AT10:AT13" si="13">AR10*(AS10/1000)</f>
        <v>5.8466753585397638E-3</v>
      </c>
    </row>
    <row r="11" spans="1:46" ht="14.25" customHeight="1" x14ac:dyDescent="0.3">
      <c r="A11" s="128" t="s">
        <v>97</v>
      </c>
      <c r="B11" s="401" t="s">
        <v>102</v>
      </c>
      <c r="C11" s="124" t="s">
        <v>14</v>
      </c>
      <c r="D11" s="125">
        <v>6</v>
      </c>
      <c r="E11" s="197">
        <f t="shared" si="9"/>
        <v>7.1350078492935713</v>
      </c>
      <c r="F11" s="127">
        <v>1</v>
      </c>
      <c r="G11" s="119">
        <f t="shared" si="0"/>
        <v>42.810047095761426</v>
      </c>
      <c r="H11" s="120">
        <f t="shared" si="1"/>
        <v>42.810047095761426</v>
      </c>
      <c r="I11" s="81">
        <f>VLOOKUP(B11,All_Ingredients!$A$1:$F$151,6,FALSE())</f>
        <v>1</v>
      </c>
      <c r="J11" s="119">
        <f>VLOOKUP(B11,All_Ingredients!$A$1:$J$151,10,FALSE())</f>
        <v>31</v>
      </c>
      <c r="K11" s="122">
        <f t="shared" si="7"/>
        <v>4.2810047095761423E-2</v>
      </c>
      <c r="L11" s="122">
        <f t="shared" si="8"/>
        <v>1.327111459968604</v>
      </c>
      <c r="AI11" s="79" t="s">
        <v>97</v>
      </c>
      <c r="AJ11" s="323" t="s">
        <v>102</v>
      </c>
      <c r="AK11" s="334" t="s">
        <v>14</v>
      </c>
      <c r="AL11" s="116">
        <v>2</v>
      </c>
      <c r="AM11" s="197">
        <f t="shared" si="4"/>
        <v>3.9504563233376788</v>
      </c>
      <c r="AN11" s="127">
        <v>1</v>
      </c>
      <c r="AO11" s="121">
        <f t="shared" si="5"/>
        <v>7.9009126466753576</v>
      </c>
      <c r="AP11" s="120">
        <f t="shared" si="6"/>
        <v>7.9009126466753576</v>
      </c>
      <c r="AQ11" s="1172">
        <f>VLOOKUP(AJ11,Marination_Ordering!$A:$J,6,FALSE)</f>
        <v>1</v>
      </c>
      <c r="AR11" s="1172">
        <f>VLOOKUP(AJ11,Marination_Ordering!$A:$J,10,FALSE)</f>
        <v>31</v>
      </c>
      <c r="AS11" s="175">
        <f t="shared" si="12"/>
        <v>7.9009126466753576</v>
      </c>
      <c r="AT11" s="1172">
        <f t="shared" si="13"/>
        <v>0.24492829204693606</v>
      </c>
    </row>
    <row r="12" spans="1:46" ht="14.25" customHeight="1" x14ac:dyDescent="0.3">
      <c r="A12" s="128" t="s">
        <v>97</v>
      </c>
      <c r="B12" s="81" t="s">
        <v>96</v>
      </c>
      <c r="C12" s="124" t="s">
        <v>14</v>
      </c>
      <c r="D12" s="125">
        <v>11</v>
      </c>
      <c r="E12" s="197">
        <f t="shared" si="9"/>
        <v>7.1350078492935713</v>
      </c>
      <c r="F12" s="127">
        <v>0.75</v>
      </c>
      <c r="G12" s="119">
        <f t="shared" si="0"/>
        <v>78.48508634222928</v>
      </c>
      <c r="H12" s="120">
        <f t="shared" si="1"/>
        <v>58.863814756671957</v>
      </c>
      <c r="I12" s="81">
        <f>VLOOKUP(B12,All_Ingredients!$A$1:$F$151,6,FALSE())</f>
        <v>1</v>
      </c>
      <c r="J12" s="119">
        <f>VLOOKUP(B12,All_Ingredients!$A$1:$J$151,10,FALSE())</f>
        <v>0.74</v>
      </c>
      <c r="K12" s="122">
        <f t="shared" si="7"/>
        <v>5.8863814756671955E-2</v>
      </c>
      <c r="L12" s="122">
        <f t="shared" si="8"/>
        <v>4.3559222919937246E-2</v>
      </c>
      <c r="AI12" s="79" t="s">
        <v>97</v>
      </c>
      <c r="AJ12" s="323" t="s">
        <v>114</v>
      </c>
      <c r="AK12" s="334" t="s">
        <v>14</v>
      </c>
      <c r="AL12" s="116">
        <v>7</v>
      </c>
      <c r="AM12" s="197">
        <f t="shared" si="4"/>
        <v>3.9504563233376788</v>
      </c>
      <c r="AN12" s="127">
        <v>1</v>
      </c>
      <c r="AO12" s="121">
        <f t="shared" si="5"/>
        <v>27.653194263363751</v>
      </c>
      <c r="AP12" s="120">
        <f t="shared" si="6"/>
        <v>27.653194263363751</v>
      </c>
      <c r="AQ12" s="1172">
        <f>VLOOKUP(AJ12,Marination_Ordering!$A:$J,6,FALSE)</f>
        <v>1</v>
      </c>
      <c r="AR12" s="1172">
        <f>VLOOKUP(AJ12,Marination_Ordering!$A:$J,10,FALSE)</f>
        <v>64.243759177679877</v>
      </c>
      <c r="AS12" s="175">
        <f t="shared" si="12"/>
        <v>27.653194263363751</v>
      </c>
      <c r="AT12" s="1172">
        <f t="shared" si="13"/>
        <v>1.7765451527491394</v>
      </c>
    </row>
    <row r="13" spans="1:46" ht="14.25" customHeight="1" x14ac:dyDescent="0.3">
      <c r="A13" s="128" t="s">
        <v>210</v>
      </c>
      <c r="B13" s="81" t="s">
        <v>219</v>
      </c>
      <c r="C13" s="124" t="s">
        <v>165</v>
      </c>
      <c r="D13" s="125">
        <v>60</v>
      </c>
      <c r="E13" s="197">
        <f t="shared" si="9"/>
        <v>7.1350078492935713</v>
      </c>
      <c r="F13" s="127">
        <v>1</v>
      </c>
      <c r="G13" s="119">
        <f t="shared" si="0"/>
        <v>428.10047095761428</v>
      </c>
      <c r="H13" s="120">
        <f t="shared" si="1"/>
        <v>428.10047095761428</v>
      </c>
      <c r="I13" s="81">
        <f>VLOOKUP(B13,All_Ingredients!$A$1:$F$151,6,FALSE())</f>
        <v>1</v>
      </c>
      <c r="J13" s="119">
        <f>VLOOKUP(B13,All_Ingredients!$A$1:$J$151,10,FALSE())</f>
        <v>5</v>
      </c>
      <c r="K13" s="122">
        <f t="shared" si="7"/>
        <v>0.42810047095761428</v>
      </c>
      <c r="L13" s="122">
        <f t="shared" si="8"/>
        <v>2.1405023547880715</v>
      </c>
      <c r="AI13" s="79" t="s">
        <v>196</v>
      </c>
      <c r="AJ13" s="323" t="s">
        <v>195</v>
      </c>
      <c r="AK13" s="334" t="s">
        <v>165</v>
      </c>
      <c r="AL13" s="125">
        <v>3</v>
      </c>
      <c r="AM13" s="197">
        <f t="shared" si="4"/>
        <v>3.9504563233376788</v>
      </c>
      <c r="AN13" s="127">
        <v>1</v>
      </c>
      <c r="AO13" s="121">
        <f t="shared" si="5"/>
        <v>11.851368970013036</v>
      </c>
      <c r="AP13" s="120">
        <f t="shared" si="6"/>
        <v>11.851368970013036</v>
      </c>
      <c r="AQ13" s="1172">
        <f>VLOOKUP(AJ13,Marination_Ordering!$A:$J,6,FALSE)</f>
        <v>1</v>
      </c>
      <c r="AR13" s="1172">
        <f>VLOOKUP(AJ13,Marination_Ordering!$A:$J,10,FALSE)</f>
        <v>17.480211081794195</v>
      </c>
      <c r="AS13" s="175">
        <f t="shared" si="12"/>
        <v>11.851368970013036</v>
      </c>
      <c r="AT13" s="1172">
        <f t="shared" si="13"/>
        <v>0.20716443120405373</v>
      </c>
    </row>
    <row r="14" spans="1:46" ht="14.25" customHeight="1" x14ac:dyDescent="0.3">
      <c r="A14" s="128" t="s">
        <v>186</v>
      </c>
      <c r="B14" s="81" t="s">
        <v>189</v>
      </c>
      <c r="C14" s="124" t="s">
        <v>14</v>
      </c>
      <c r="D14" s="125">
        <v>35</v>
      </c>
      <c r="E14" s="197">
        <f t="shared" si="9"/>
        <v>7.1350078492935713</v>
      </c>
      <c r="F14" s="127">
        <v>1</v>
      </c>
      <c r="G14" s="119">
        <f t="shared" si="0"/>
        <v>249.725274725275</v>
      </c>
      <c r="H14" s="120">
        <f t="shared" si="1"/>
        <v>249.725274725275</v>
      </c>
      <c r="I14" s="81">
        <f>VLOOKUP(B14,All_Ingredients!$A$1:$F$151,6,FALSE())</f>
        <v>1</v>
      </c>
      <c r="J14" s="119">
        <f>VLOOKUP(B14,All_Ingredients!$A$1:$J$151,10,FALSE())</f>
        <v>17</v>
      </c>
      <c r="K14" s="122">
        <f t="shared" si="7"/>
        <v>0.249725274725275</v>
      </c>
      <c r="L14" s="122">
        <f t="shared" si="8"/>
        <v>4.2453296703296752</v>
      </c>
    </row>
    <row r="15" spans="1:46" ht="14.25" customHeight="1" x14ac:dyDescent="0.3">
      <c r="A15" s="128" t="s">
        <v>210</v>
      </c>
      <c r="B15" s="81" t="s">
        <v>209</v>
      </c>
      <c r="C15" s="124" t="s">
        <v>14</v>
      </c>
      <c r="D15" s="125">
        <v>500</v>
      </c>
      <c r="E15" s="197">
        <f t="shared" si="9"/>
        <v>7.1350078492935713</v>
      </c>
      <c r="F15" s="127">
        <v>1</v>
      </c>
      <c r="G15" s="119">
        <f t="shared" si="0"/>
        <v>3567.5039246467859</v>
      </c>
      <c r="H15" s="120">
        <f t="shared" si="1"/>
        <v>3567.5039246467859</v>
      </c>
      <c r="I15" s="81">
        <f>VLOOKUP(B15,All_Ingredients!$A$1:$F$151,6,FALSE())</f>
        <v>1</v>
      </c>
      <c r="J15" s="119">
        <f>VLOOKUP(B15,All_Ingredients!$A$1:$J$151,10,FALSE())</f>
        <v>0</v>
      </c>
      <c r="K15" s="122">
        <f t="shared" si="7"/>
        <v>3.5675039246467857</v>
      </c>
      <c r="L15" s="122">
        <f t="shared" si="8"/>
        <v>0</v>
      </c>
    </row>
    <row r="16" spans="1:46" ht="14.25" customHeight="1" x14ac:dyDescent="0.3">
      <c r="A16" s="128" t="s">
        <v>192</v>
      </c>
      <c r="B16" s="81" t="s">
        <v>193</v>
      </c>
      <c r="C16" s="124" t="s">
        <v>14</v>
      </c>
      <c r="D16" s="125">
        <v>40</v>
      </c>
      <c r="E16" s="197">
        <f t="shared" si="9"/>
        <v>7.1350078492935713</v>
      </c>
      <c r="F16" s="127">
        <v>1</v>
      </c>
      <c r="G16" s="119">
        <f t="shared" si="0"/>
        <v>285.40031397174283</v>
      </c>
      <c r="H16" s="120">
        <f t="shared" si="1"/>
        <v>285.40031397174283</v>
      </c>
      <c r="I16" s="81">
        <f>VLOOKUP(B16,All_Ingredients!$A$1:$F$151,6,FALSE())</f>
        <v>0.9</v>
      </c>
      <c r="J16" s="119">
        <f>VLOOKUP(B16,All_Ingredients!$A$1:$J$151,10,FALSE())</f>
        <v>2.3199999999999998</v>
      </c>
      <c r="K16" s="122">
        <f t="shared" si="7"/>
        <v>0.31711145996860313</v>
      </c>
      <c r="L16" s="122">
        <f t="shared" si="8"/>
        <v>0.73569858712715919</v>
      </c>
    </row>
    <row r="17" spans="1:31" ht="14.25" customHeight="1" x14ac:dyDescent="0.35">
      <c r="A17" s="128" t="s">
        <v>196</v>
      </c>
      <c r="B17" s="81" t="s">
        <v>204</v>
      </c>
      <c r="C17" s="1010" t="s">
        <v>165</v>
      </c>
      <c r="D17" s="125">
        <v>40</v>
      </c>
      <c r="E17" s="197">
        <f t="shared" si="9"/>
        <v>7.1350078492935713</v>
      </c>
      <c r="F17" s="127">
        <v>1</v>
      </c>
      <c r="G17" s="119">
        <f t="shared" si="0"/>
        <v>285.40031397174283</v>
      </c>
      <c r="H17" s="120">
        <f t="shared" si="1"/>
        <v>285.40031397174283</v>
      </c>
      <c r="I17" s="81">
        <f>VLOOKUP(B17,All_Ingredients!$A$1:$F$151,6,FALSE())</f>
        <v>1</v>
      </c>
      <c r="J17" s="119">
        <f>VLOOKUP(B17,All_Ingredients!$A$1:$J$151,10,FALSE())</f>
        <v>3.25</v>
      </c>
      <c r="K17" s="122">
        <f t="shared" si="7"/>
        <v>0.28540031397174281</v>
      </c>
      <c r="L17" s="122">
        <f t="shared" si="8"/>
        <v>0.92755102040816417</v>
      </c>
    </row>
    <row r="18" spans="1:31" x14ac:dyDescent="0.3">
      <c r="B18" s="630" t="s">
        <v>28</v>
      </c>
      <c r="C18" s="631" t="s">
        <v>14</v>
      </c>
      <c r="D18" s="632">
        <v>140</v>
      </c>
      <c r="E18" s="633">
        <f t="shared" si="9"/>
        <v>7.1350078492935713</v>
      </c>
      <c r="F18" s="634">
        <v>1</v>
      </c>
      <c r="G18" s="635">
        <f>D18*E18</f>
        <v>998.9010989011</v>
      </c>
      <c r="H18" s="636">
        <f>G18*F18</f>
        <v>998.9010989011</v>
      </c>
    </row>
    <row r="19" spans="1:31" ht="14.25" customHeight="1" x14ac:dyDescent="0.3">
      <c r="B19" s="630" t="s">
        <v>30</v>
      </c>
      <c r="C19" s="631" t="s">
        <v>14</v>
      </c>
      <c r="D19" s="632">
        <v>140</v>
      </c>
      <c r="E19" s="633">
        <f t="shared" si="9"/>
        <v>7.1350078492935713</v>
      </c>
      <c r="F19" s="634">
        <v>1</v>
      </c>
      <c r="G19" s="635">
        <f>D19*E19</f>
        <v>998.9010989011</v>
      </c>
      <c r="H19" s="636">
        <f>G19*F19</f>
        <v>998.9010989011</v>
      </c>
      <c r="L19" s="297"/>
      <c r="R19" s="402" t="s">
        <v>378</v>
      </c>
    </row>
    <row r="20" spans="1:31" ht="14.25" customHeight="1" x14ac:dyDescent="0.3">
      <c r="B20" s="630" t="s">
        <v>32</v>
      </c>
      <c r="C20" s="631" t="s">
        <v>14</v>
      </c>
      <c r="D20" s="632">
        <v>140</v>
      </c>
      <c r="E20" s="633">
        <f t="shared" si="9"/>
        <v>7.1350078492935713</v>
      </c>
      <c r="F20" s="634">
        <v>1</v>
      </c>
      <c r="G20" s="635">
        <f>D20*E20</f>
        <v>998.9010989011</v>
      </c>
      <c r="H20" s="636">
        <f>G20*F20</f>
        <v>998.9010989011</v>
      </c>
      <c r="L20" s="297"/>
      <c r="R20" s="402" t="s">
        <v>379</v>
      </c>
    </row>
    <row r="21" spans="1:31" ht="14.25" customHeight="1" x14ac:dyDescent="0.3">
      <c r="L21" s="297"/>
    </row>
    <row r="22" spans="1:31" ht="14.25" customHeight="1" x14ac:dyDescent="0.3">
      <c r="L22" s="297"/>
    </row>
    <row r="23" spans="1:31" ht="14.25" customHeight="1" x14ac:dyDescent="0.3">
      <c r="L23" s="297"/>
    </row>
    <row r="24" spans="1:31" ht="14.25" customHeight="1" x14ac:dyDescent="0.3">
      <c r="L24" s="297"/>
      <c r="Z24" s="1234"/>
    </row>
    <row r="25" spans="1:31" ht="18.75" customHeight="1" x14ac:dyDescent="0.35">
      <c r="L25" s="297"/>
      <c r="R25" s="1411" t="s">
        <v>380</v>
      </c>
      <c r="S25" s="1388"/>
      <c r="T25" s="1388"/>
      <c r="U25" s="1388"/>
      <c r="V25" s="1151"/>
      <c r="Z25" s="141" t="s">
        <v>264</v>
      </c>
      <c r="AB25" s="142">
        <v>29000</v>
      </c>
      <c r="AC25" s="141" t="s">
        <v>261</v>
      </c>
      <c r="AD25" s="143">
        <f>(AB25*AE30)+(AA30*(AB28/R1))</f>
        <v>842.94327114870123</v>
      </c>
    </row>
    <row r="26" spans="1:31" ht="14.25" customHeight="1" x14ac:dyDescent="0.3">
      <c r="L26" s="297"/>
      <c r="R26" s="1423" t="s">
        <v>309</v>
      </c>
      <c r="S26" s="1388"/>
      <c r="T26" s="1388"/>
      <c r="U26" s="1388"/>
      <c r="V26" s="1151"/>
    </row>
    <row r="27" spans="1:31" ht="14.25" customHeight="1" thickBot="1" x14ac:dyDescent="0.35">
      <c r="L27" s="297"/>
      <c r="R27" s="145" t="s">
        <v>266</v>
      </c>
      <c r="S27" s="146" t="s">
        <v>267</v>
      </c>
      <c r="T27" s="146" t="s">
        <v>268</v>
      </c>
      <c r="U27" s="146" t="s">
        <v>274</v>
      </c>
      <c r="V27" s="146" t="s">
        <v>839</v>
      </c>
      <c r="W27" s="146" t="s">
        <v>848</v>
      </c>
      <c r="Z27" s="141" t="s">
        <v>270</v>
      </c>
      <c r="AA27" s="1185" t="s">
        <v>324</v>
      </c>
      <c r="AB27" s="147" t="s">
        <v>271</v>
      </c>
      <c r="AC27" s="147" t="s">
        <v>272</v>
      </c>
      <c r="AD27" s="1186" t="s">
        <v>848</v>
      </c>
      <c r="AE27" s="147" t="s">
        <v>274</v>
      </c>
    </row>
    <row r="28" spans="1:31" ht="14.25" customHeight="1" thickBot="1" x14ac:dyDescent="0.35">
      <c r="R28" s="148" t="s">
        <v>275</v>
      </c>
      <c r="S28" s="149">
        <f>U28*S40</f>
        <v>22538.461538461532</v>
      </c>
      <c r="T28" s="149">
        <f>U28*U40</f>
        <v>6761.5384615384683</v>
      </c>
      <c r="U28" s="150">
        <f>$Z$1</f>
        <v>29300</v>
      </c>
      <c r="V28" s="149">
        <f>SUM(AP5:AP13)</f>
        <v>2860.130378096479</v>
      </c>
      <c r="W28" s="149">
        <f>SUM(I37:I38)</f>
        <v>0</v>
      </c>
      <c r="Z28" s="151"/>
      <c r="AA28" s="1188"/>
      <c r="AB28" s="1200">
        <f>AB25*$S$40</f>
        <v>22307.692307692301</v>
      </c>
      <c r="AC28" s="1200">
        <f>AB25*$U$40</f>
        <v>6692.3076923076987</v>
      </c>
      <c r="AD28" s="1188"/>
      <c r="AE28" s="154">
        <f>SUM(AB28:AC28)</f>
        <v>29000</v>
      </c>
    </row>
    <row r="29" spans="1:31" ht="14.25" customHeight="1" thickBot="1" x14ac:dyDescent="0.35">
      <c r="R29" s="148" t="s">
        <v>276</v>
      </c>
      <c r="S29" s="155"/>
      <c r="T29" s="149"/>
      <c r="U29" s="149">
        <f>T29</f>
        <v>0</v>
      </c>
      <c r="V29" s="149"/>
      <c r="W29" s="149"/>
      <c r="Z29" s="151"/>
      <c r="AA29" s="1192"/>
      <c r="AB29" s="156">
        <f>AB28/$AE$28</f>
        <v>0.76923076923076905</v>
      </c>
      <c r="AC29" s="156">
        <f>AC28/$AE$28</f>
        <v>0.230769230769231</v>
      </c>
      <c r="AD29" s="1192"/>
      <c r="AE29" s="156">
        <f>AE28/$AE$28</f>
        <v>1</v>
      </c>
    </row>
    <row r="30" spans="1:31" ht="14.25" customHeight="1" thickBot="1" x14ac:dyDescent="0.35">
      <c r="R30" s="148" t="s">
        <v>277</v>
      </c>
      <c r="S30" s="1228">
        <f>U30*S40</f>
        <v>769.23076923076906</v>
      </c>
      <c r="T30" s="1228">
        <f>U30*U40</f>
        <v>230.769230769231</v>
      </c>
      <c r="U30" s="150">
        <f>$AB$1</f>
        <v>1000</v>
      </c>
      <c r="V30" s="1143"/>
      <c r="W30" s="1143"/>
      <c r="Z30" s="141" t="s">
        <v>278</v>
      </c>
      <c r="AA30" s="1196">
        <f>V35/(S32/R1)</f>
        <v>4.8915511475512729E-4</v>
      </c>
      <c r="AB30" s="157">
        <f>S35/(S32)</f>
        <v>3.3701221915648415E-2</v>
      </c>
      <c r="AC30" s="158">
        <f>T35/T32</f>
        <v>1.0856045912022359E-2</v>
      </c>
      <c r="AD30" s="1194">
        <f>W35/(U32)</f>
        <v>0</v>
      </c>
      <c r="AE30" s="1302">
        <f>SUMPRODUCT(AB30:AC30,AB29:AC29)+AD30</f>
        <v>2.8429258222503938E-2</v>
      </c>
    </row>
    <row r="31" spans="1:31" ht="14.25" customHeight="1" thickBot="1" x14ac:dyDescent="0.35">
      <c r="R31" s="148" t="s">
        <v>279</v>
      </c>
      <c r="S31" s="155"/>
      <c r="T31" s="149"/>
      <c r="U31" s="149"/>
      <c r="V31" s="149"/>
      <c r="W31" s="149"/>
    </row>
    <row r="32" spans="1:31" ht="14.25" customHeight="1" thickBot="1" x14ac:dyDescent="0.35">
      <c r="R32" s="160" t="s">
        <v>269</v>
      </c>
      <c r="S32" s="149">
        <f>SUM(S28:S30)</f>
        <v>23307.692307692301</v>
      </c>
      <c r="T32" s="149">
        <f>SUM(T28:T30)</f>
        <v>6992.3076923076997</v>
      </c>
      <c r="U32" s="149">
        <f>SUM(U28:U30)</f>
        <v>30300</v>
      </c>
      <c r="V32" s="149"/>
      <c r="W32" s="149">
        <f>SUM(W28:W30)</f>
        <v>0</v>
      </c>
    </row>
    <row r="33" spans="2:23" ht="14.25" customHeight="1" thickBot="1" x14ac:dyDescent="0.35">
      <c r="B33" s="100"/>
      <c r="E33" s="100"/>
      <c r="F33" s="100"/>
      <c r="R33" s="161" t="s">
        <v>280</v>
      </c>
      <c r="S33" s="155"/>
      <c r="T33" s="155"/>
      <c r="U33" s="155"/>
      <c r="V33" s="155"/>
      <c r="W33" s="155"/>
    </row>
    <row r="34" spans="2:23" ht="14.25" customHeight="1" thickBot="1" x14ac:dyDescent="0.35">
      <c r="B34" s="100"/>
      <c r="E34" s="100"/>
      <c r="F34" s="100"/>
      <c r="R34" s="162" t="s">
        <v>281</v>
      </c>
      <c r="S34" s="155"/>
      <c r="T34" s="149"/>
      <c r="U34" s="155"/>
      <c r="V34" s="155"/>
      <c r="W34" s="155"/>
    </row>
    <row r="35" spans="2:23" ht="14.25" customHeight="1" thickBot="1" x14ac:dyDescent="0.35">
      <c r="B35" s="100"/>
      <c r="E35" s="100"/>
      <c r="F35" s="100"/>
      <c r="R35" s="163" t="s">
        <v>261</v>
      </c>
      <c r="S35" s="1144">
        <f>$L$5</f>
        <v>785.49771080318976</v>
      </c>
      <c r="T35" s="1144">
        <f>SUM(L6:L16)</f>
        <v>75.908813338679494</v>
      </c>
      <c r="U35" s="1203">
        <f>S35+T35+V35</f>
        <v>880.73038330364284</v>
      </c>
      <c r="V35" s="1144">
        <f>SUM(AT6:AT13)</f>
        <v>19.323859161773605</v>
      </c>
      <c r="W35" s="1203">
        <f>SUM(M37:M38)</f>
        <v>0</v>
      </c>
    </row>
    <row r="36" spans="2:23" ht="14.25" customHeight="1" x14ac:dyDescent="0.3">
      <c r="B36" s="100"/>
      <c r="E36" s="100"/>
      <c r="F36" s="100"/>
    </row>
    <row r="37" spans="2:23" ht="18" customHeight="1" x14ac:dyDescent="0.3"/>
    <row r="40" spans="2:23" ht="20.25" customHeight="1" x14ac:dyDescent="0.3">
      <c r="R40" s="165" t="s">
        <v>282</v>
      </c>
      <c r="S40" s="166">
        <v>0.76923076923076905</v>
      </c>
      <c r="T40" s="165" t="s">
        <v>283</v>
      </c>
      <c r="U40" s="167">
        <v>0.230769230769231</v>
      </c>
      <c r="V40" s="168">
        <f>S40+U40</f>
        <v>1</v>
      </c>
    </row>
    <row r="41" spans="2:23" ht="14.25" customHeight="1" x14ac:dyDescent="0.3">
      <c r="U41" s="169"/>
    </row>
    <row r="42" spans="2:23" ht="14" customHeight="1" x14ac:dyDescent="0.3"/>
    <row r="43" spans="2:23" ht="14" customHeight="1" x14ac:dyDescent="0.3">
      <c r="Q43" s="170" t="s">
        <v>284</v>
      </c>
      <c r="R43" s="170" t="s">
        <v>285</v>
      </c>
      <c r="S43" s="170" t="s">
        <v>286</v>
      </c>
      <c r="T43" s="170" t="s">
        <v>287</v>
      </c>
      <c r="U43" s="170" t="s">
        <v>288</v>
      </c>
      <c r="V43" s="170" t="s">
        <v>289</v>
      </c>
      <c r="W43" s="258" t="s">
        <v>290</v>
      </c>
    </row>
    <row r="44" spans="2:23" ht="14.25" customHeight="1" x14ac:dyDescent="0.3">
      <c r="Q44" s="172">
        <v>43334</v>
      </c>
      <c r="R44" s="173">
        <f>D51</f>
        <v>10000</v>
      </c>
      <c r="S44" s="174">
        <v>1</v>
      </c>
      <c r="T44" s="174">
        <v>0</v>
      </c>
      <c r="U44" s="242">
        <f>R44*S44</f>
        <v>10000</v>
      </c>
      <c r="V44" s="176">
        <f>R44*T44</f>
        <v>0</v>
      </c>
      <c r="W44" s="260">
        <f>Q44-U44</f>
        <v>33334</v>
      </c>
    </row>
    <row r="46" spans="2:23" ht="14.25" customHeight="1" x14ac:dyDescent="0.3"/>
    <row r="47" spans="2:23" ht="14.25" customHeight="1" x14ac:dyDescent="0.3"/>
    <row r="48" spans="2:23" ht="14.25" customHeight="1" x14ac:dyDescent="0.3"/>
    <row r="49" spans="1:10" ht="14.25" customHeight="1" x14ac:dyDescent="0.3"/>
    <row r="50" spans="1:10" ht="14.25" customHeight="1" x14ac:dyDescent="0.3">
      <c r="B50" s="276"/>
      <c r="C50" s="145" t="s">
        <v>245</v>
      </c>
      <c r="D50" s="145" t="s">
        <v>291</v>
      </c>
      <c r="E50" s="398"/>
      <c r="F50" s="100"/>
      <c r="G50" s="145" t="s">
        <v>292</v>
      </c>
      <c r="H50" s="145" t="s">
        <v>245</v>
      </c>
      <c r="I50" s="145" t="s">
        <v>293</v>
      </c>
      <c r="J50" s="145" t="s">
        <v>294</v>
      </c>
    </row>
    <row r="51" spans="1:10" ht="14.25" customHeight="1" x14ac:dyDescent="0.3">
      <c r="B51" s="180" t="s">
        <v>295</v>
      </c>
      <c r="C51" s="181">
        <f>10/$K$1</f>
        <v>10.204081632653061</v>
      </c>
      <c r="D51" s="182">
        <f>$C$1*10</f>
        <v>10000</v>
      </c>
      <c r="E51" s="183"/>
      <c r="F51" s="100"/>
      <c r="G51" s="180" t="s">
        <v>295</v>
      </c>
      <c r="H51" s="277">
        <f>I51/$D$5</f>
        <v>10</v>
      </c>
      <c r="I51" s="181">
        <f>J51/$R$1</f>
        <v>56498.305084745763</v>
      </c>
      <c r="J51" s="181">
        <f>$W$44</f>
        <v>33334</v>
      </c>
    </row>
    <row r="52" spans="1:10" x14ac:dyDescent="0.3">
      <c r="B52" s="231" t="s">
        <v>274</v>
      </c>
      <c r="C52" s="232">
        <f>$I$1</f>
        <v>7.1350078492935713</v>
      </c>
      <c r="D52" s="233">
        <f>$E$1</f>
        <v>6992.3076923076997</v>
      </c>
      <c r="E52" s="100"/>
      <c r="F52" s="100"/>
      <c r="G52" s="148" t="s">
        <v>274</v>
      </c>
      <c r="H52" s="210">
        <f>I52/$D$5</f>
        <v>6.9921678489507126</v>
      </c>
      <c r="I52" s="176">
        <f>J52/$R$1</f>
        <v>39504.563233376786</v>
      </c>
      <c r="J52" s="184">
        <f>$S$32</f>
        <v>23307.692307692301</v>
      </c>
    </row>
    <row r="53" spans="1:10" x14ac:dyDescent="0.3">
      <c r="B53" s="231" t="s">
        <v>296</v>
      </c>
      <c r="C53" s="234">
        <f>MIN(C52, C51)</f>
        <v>7.1350078492935713</v>
      </c>
      <c r="D53" s="233">
        <f>(C53*$K$1)*$C$1</f>
        <v>6992.3076923076997</v>
      </c>
      <c r="E53" s="100"/>
      <c r="F53" s="100"/>
      <c r="G53" s="148" t="s">
        <v>296</v>
      </c>
      <c r="H53" s="187">
        <f>MIN(H52,H51)</f>
        <v>6.9921678489507126</v>
      </c>
      <c r="I53" s="176">
        <f>J53/$R$1</f>
        <v>39504.563233376786</v>
      </c>
      <c r="J53" s="176">
        <f>MIN(J52,J51)</f>
        <v>23307.692307692301</v>
      </c>
    </row>
    <row r="54" spans="1:10" x14ac:dyDescent="0.3">
      <c r="B54" s="231" t="s">
        <v>297</v>
      </c>
      <c r="C54" s="234">
        <f>MIN(MAX(C52-C53,0),C51)</f>
        <v>0</v>
      </c>
      <c r="D54" s="233">
        <f>(C54*$K$1)*$C$1</f>
        <v>0</v>
      </c>
      <c r="E54" s="100"/>
      <c r="F54" s="100"/>
      <c r="G54" s="148" t="s">
        <v>297</v>
      </c>
      <c r="H54" s="187">
        <f>MIN(MAX(H52-H53),H51)</f>
        <v>0</v>
      </c>
      <c r="I54" s="176">
        <f>J54/$R$1</f>
        <v>0</v>
      </c>
      <c r="J54" s="176">
        <f>MIN(MAX(J52-J53),J51)</f>
        <v>0</v>
      </c>
    </row>
    <row r="55" spans="1:10" x14ac:dyDescent="0.3">
      <c r="B55" s="231" t="s">
        <v>298</v>
      </c>
      <c r="C55" s="234">
        <f>MIN(MAX(C52-C53-C54,0),C51)</f>
        <v>0</v>
      </c>
      <c r="D55" s="233">
        <f>(C55*$K$1)*$C$1</f>
        <v>0</v>
      </c>
      <c r="E55" s="100"/>
      <c r="F55" s="100"/>
      <c r="G55" s="145" t="s">
        <v>298</v>
      </c>
      <c r="H55" s="187">
        <f>MIN(MAX(H52-H53-H54),H51)</f>
        <v>0</v>
      </c>
      <c r="I55" s="176">
        <f>J55/$R$1</f>
        <v>0</v>
      </c>
      <c r="J55" s="176">
        <f>MIN(MAX(J52-J53-J54),J51)</f>
        <v>0</v>
      </c>
    </row>
    <row r="62" spans="1:10" ht="17.75" customHeight="1" x14ac:dyDescent="0.3">
      <c r="A62" s="937"/>
      <c r="B62" s="1382" t="str">
        <f>"  اسياخ دجاج الباربكيو  1 / " &amp; COUNTIF($C$53:$C$55, "&gt;0")</f>
        <v xml:space="preserve">  اسياخ دجاج الباربكيو  1 / 1</v>
      </c>
      <c r="C62" s="1383"/>
      <c r="D62" s="1383"/>
      <c r="E62" s="1383"/>
      <c r="F62" s="1383"/>
      <c r="G62" s="1383"/>
      <c r="H62" s="1383"/>
    </row>
    <row r="63" spans="1:10" ht="18" customHeight="1" x14ac:dyDescent="0.3">
      <c r="A63" s="937"/>
      <c r="B63" s="1452" t="str">
        <f>" BBQ Chicken Skewers 1  / " &amp; COUNTIF($C$53:$C$55, "&gt;0")</f>
        <v xml:space="preserve"> BBQ Chicken Skewers 1  / 1</v>
      </c>
      <c r="C63" s="1385"/>
      <c r="D63" s="1385"/>
      <c r="E63" s="1385"/>
      <c r="F63" s="1385"/>
      <c r="G63" s="1385"/>
      <c r="H63" s="1385"/>
    </row>
    <row r="64" spans="1:10" ht="45" customHeight="1" x14ac:dyDescent="0.25">
      <c r="A64" s="91"/>
      <c r="B64" s="91" t="s">
        <v>253</v>
      </c>
      <c r="C64" s="107" t="s">
        <v>254</v>
      </c>
      <c r="D64" s="91" t="s">
        <v>243</v>
      </c>
      <c r="E64" s="108" t="s">
        <v>246</v>
      </c>
      <c r="F64" s="108" t="s">
        <v>255</v>
      </c>
      <c r="G64" s="91" t="s">
        <v>256</v>
      </c>
      <c r="H64" s="109" t="s">
        <v>257</v>
      </c>
    </row>
    <row r="65" spans="1:10" ht="14.25" customHeight="1" x14ac:dyDescent="0.3">
      <c r="A65" s="128" t="s">
        <v>230</v>
      </c>
      <c r="B65" s="81" t="str">
        <f t="shared" ref="B65:D77" si="14">B5</f>
        <v>Chicken - دجاج</v>
      </c>
      <c r="C65" s="81" t="str">
        <f t="shared" si="14"/>
        <v>gm</v>
      </c>
      <c r="D65" s="119">
        <f>D5</f>
        <v>5649.8305084745762</v>
      </c>
      <c r="E65" s="126">
        <f>H53</f>
        <v>6.9921678489507126</v>
      </c>
      <c r="F65" s="127">
        <f t="shared" ref="F65:F77" si="15">F5</f>
        <v>1</v>
      </c>
      <c r="G65" s="119">
        <f t="shared" ref="G65:G77" si="16">D65*E65</f>
        <v>39504.563233376786</v>
      </c>
      <c r="H65" s="120">
        <f t="shared" ref="H65:H77" si="17">G65*F65</f>
        <v>39504.563233376786</v>
      </c>
    </row>
    <row r="66" spans="1:10" ht="14.25" customHeight="1" x14ac:dyDescent="0.3">
      <c r="A66" s="128" t="s">
        <v>196</v>
      </c>
      <c r="B66" s="81" t="str">
        <f t="shared" si="14"/>
        <v>BBQ Sauce - صوص باربيكيو</v>
      </c>
      <c r="C66" s="81" t="str">
        <f t="shared" si="14"/>
        <v>ml</v>
      </c>
      <c r="D66" s="81">
        <f t="shared" si="14"/>
        <v>400</v>
      </c>
      <c r="E66" s="126">
        <f t="shared" ref="E66:E80" si="18">$C$53</f>
        <v>7.1350078492935713</v>
      </c>
      <c r="F66" s="127">
        <f t="shared" si="15"/>
        <v>0.95</v>
      </c>
      <c r="G66" s="119">
        <f t="shared" si="16"/>
        <v>2854.0031397174284</v>
      </c>
      <c r="H66" s="120">
        <f t="shared" si="17"/>
        <v>2711.3029827315568</v>
      </c>
    </row>
    <row r="67" spans="1:10" ht="14.25" customHeight="1" x14ac:dyDescent="0.3">
      <c r="A67" s="128" t="s">
        <v>196</v>
      </c>
      <c r="B67" s="81" t="str">
        <f t="shared" si="14"/>
        <v>Sriracha Sauce - صوص سريراتشا</v>
      </c>
      <c r="C67" s="81" t="str">
        <f t="shared" si="14"/>
        <v>ml</v>
      </c>
      <c r="D67" s="81">
        <f t="shared" si="14"/>
        <v>35</v>
      </c>
      <c r="E67" s="126">
        <f t="shared" si="18"/>
        <v>7.1350078492935713</v>
      </c>
      <c r="F67" s="127">
        <f t="shared" si="15"/>
        <v>0.95</v>
      </c>
      <c r="G67" s="119">
        <f t="shared" si="16"/>
        <v>249.725274725275</v>
      </c>
      <c r="H67" s="120">
        <f t="shared" si="17"/>
        <v>237.23901098901123</v>
      </c>
    </row>
    <row r="68" spans="1:10" ht="14.25" customHeight="1" x14ac:dyDescent="0.3">
      <c r="A68" s="128" t="s">
        <v>97</v>
      </c>
      <c r="B68" s="81" t="str">
        <f t="shared" si="14"/>
        <v>Paprika Powder - بابريكا مطحون</v>
      </c>
      <c r="C68" s="81" t="str">
        <f t="shared" si="14"/>
        <v>gm</v>
      </c>
      <c r="D68" s="81">
        <f t="shared" si="14"/>
        <v>10</v>
      </c>
      <c r="E68" s="126">
        <f t="shared" si="18"/>
        <v>7.1350078492935713</v>
      </c>
      <c r="F68" s="127">
        <f t="shared" si="15"/>
        <v>1</v>
      </c>
      <c r="G68" s="119">
        <f t="shared" si="16"/>
        <v>71.350078492935708</v>
      </c>
      <c r="H68" s="120">
        <f t="shared" si="17"/>
        <v>71.350078492935708</v>
      </c>
    </row>
    <row r="69" spans="1:10" ht="14.25" customHeight="1" x14ac:dyDescent="0.3">
      <c r="A69" s="128" t="s">
        <v>97</v>
      </c>
      <c r="B69" s="81" t="str">
        <f t="shared" si="14"/>
        <v>Garlic Powder - ثوم بودرة</v>
      </c>
      <c r="C69" s="81" t="str">
        <f t="shared" si="14"/>
        <v>gm</v>
      </c>
      <c r="D69" s="81">
        <f t="shared" si="14"/>
        <v>10</v>
      </c>
      <c r="E69" s="126">
        <f t="shared" si="18"/>
        <v>7.1350078492935713</v>
      </c>
      <c r="F69" s="127">
        <f t="shared" si="15"/>
        <v>1</v>
      </c>
      <c r="G69" s="119">
        <f t="shared" si="16"/>
        <v>71.350078492935708</v>
      </c>
      <c r="H69" s="120">
        <f t="shared" si="17"/>
        <v>71.350078492935708</v>
      </c>
    </row>
    <row r="70" spans="1:10" ht="14.25" customHeight="1" x14ac:dyDescent="0.3">
      <c r="A70" s="128" t="s">
        <v>97</v>
      </c>
      <c r="B70" s="81" t="str">
        <f t="shared" si="14"/>
        <v>Cumin Powder - كمون مطحون</v>
      </c>
      <c r="C70" s="81" t="str">
        <f t="shared" si="14"/>
        <v>gm</v>
      </c>
      <c r="D70" s="81">
        <f t="shared" si="14"/>
        <v>10</v>
      </c>
      <c r="E70" s="126">
        <f t="shared" si="18"/>
        <v>7.1350078492935713</v>
      </c>
      <c r="F70" s="127">
        <f t="shared" si="15"/>
        <v>0.75</v>
      </c>
      <c r="G70" s="119">
        <f t="shared" si="16"/>
        <v>71.350078492935708</v>
      </c>
      <c r="H70" s="120">
        <f t="shared" si="17"/>
        <v>53.512558869701778</v>
      </c>
    </row>
    <row r="71" spans="1:10" ht="14.25" customHeight="1" x14ac:dyDescent="0.3">
      <c r="A71" s="128" t="s">
        <v>97</v>
      </c>
      <c r="B71" s="81" t="str">
        <f t="shared" si="14"/>
        <v>Black Pepper Powder - فلفل أسود مطحون</v>
      </c>
      <c r="C71" s="81" t="str">
        <f t="shared" si="14"/>
        <v>gm</v>
      </c>
      <c r="D71" s="81">
        <f t="shared" si="14"/>
        <v>6</v>
      </c>
      <c r="E71" s="126">
        <f t="shared" si="18"/>
        <v>7.1350078492935713</v>
      </c>
      <c r="F71" s="127">
        <f t="shared" si="15"/>
        <v>1</v>
      </c>
      <c r="G71" s="119">
        <f t="shared" si="16"/>
        <v>42.810047095761426</v>
      </c>
      <c r="H71" s="120">
        <f t="shared" si="17"/>
        <v>42.810047095761426</v>
      </c>
    </row>
    <row r="72" spans="1:10" ht="14.25" customHeight="1" x14ac:dyDescent="0.3">
      <c r="A72" s="128" t="s">
        <v>97</v>
      </c>
      <c r="B72" s="81" t="str">
        <f t="shared" si="14"/>
        <v>Salt - ملح</v>
      </c>
      <c r="C72" s="81" t="str">
        <f t="shared" si="14"/>
        <v>gm</v>
      </c>
      <c r="D72" s="81">
        <f t="shared" si="14"/>
        <v>11</v>
      </c>
      <c r="E72" s="126">
        <f t="shared" si="18"/>
        <v>7.1350078492935713</v>
      </c>
      <c r="F72" s="127">
        <f t="shared" si="15"/>
        <v>0.75</v>
      </c>
      <c r="G72" s="119">
        <f t="shared" si="16"/>
        <v>78.48508634222928</v>
      </c>
      <c r="H72" s="120">
        <f t="shared" si="17"/>
        <v>58.863814756671957</v>
      </c>
    </row>
    <row r="73" spans="1:10" ht="14.25" customHeight="1" x14ac:dyDescent="0.3">
      <c r="A73" s="128" t="s">
        <v>210</v>
      </c>
      <c r="B73" s="81" t="str">
        <f t="shared" si="14"/>
        <v>Lemon Juice - عصير ليمون</v>
      </c>
      <c r="C73" s="81" t="str">
        <f t="shared" si="14"/>
        <v>ml</v>
      </c>
      <c r="D73" s="81">
        <f t="shared" si="14"/>
        <v>60</v>
      </c>
      <c r="E73" s="126">
        <f t="shared" si="18"/>
        <v>7.1350078492935713</v>
      </c>
      <c r="F73" s="127">
        <f t="shared" si="15"/>
        <v>1</v>
      </c>
      <c r="G73" s="119">
        <f t="shared" si="16"/>
        <v>428.10047095761428</v>
      </c>
      <c r="H73" s="120">
        <f t="shared" si="17"/>
        <v>428.10047095761428</v>
      </c>
    </row>
    <row r="74" spans="1:10" ht="14.25" customHeight="1" x14ac:dyDescent="0.3">
      <c r="A74" s="128" t="s">
        <v>186</v>
      </c>
      <c r="B74" s="81" t="str">
        <f t="shared" si="14"/>
        <v>Honey - عسل</v>
      </c>
      <c r="C74" s="81" t="str">
        <f t="shared" si="14"/>
        <v>gm</v>
      </c>
      <c r="D74" s="81">
        <f t="shared" si="14"/>
        <v>35</v>
      </c>
      <c r="E74" s="126">
        <f t="shared" si="18"/>
        <v>7.1350078492935713</v>
      </c>
      <c r="F74" s="127">
        <f t="shared" si="15"/>
        <v>1</v>
      </c>
      <c r="G74" s="119">
        <f t="shared" si="16"/>
        <v>249.725274725275</v>
      </c>
      <c r="H74" s="120">
        <f t="shared" si="17"/>
        <v>249.725274725275</v>
      </c>
    </row>
    <row r="75" spans="1:10" ht="14.25" customHeight="1" x14ac:dyDescent="0.3">
      <c r="A75" s="128" t="s">
        <v>210</v>
      </c>
      <c r="B75" s="81" t="str">
        <f t="shared" si="14"/>
        <v>Water - ماء</v>
      </c>
      <c r="C75" s="81" t="str">
        <f t="shared" si="14"/>
        <v>gm</v>
      </c>
      <c r="D75" s="81">
        <f t="shared" si="14"/>
        <v>500</v>
      </c>
      <c r="E75" s="126">
        <f t="shared" si="18"/>
        <v>7.1350078492935713</v>
      </c>
      <c r="F75" s="127">
        <f t="shared" si="15"/>
        <v>1</v>
      </c>
      <c r="G75" s="119">
        <f t="shared" si="16"/>
        <v>3567.5039246467859</v>
      </c>
      <c r="H75" s="120">
        <f t="shared" si="17"/>
        <v>3567.5039246467859</v>
      </c>
    </row>
    <row r="76" spans="1:10" ht="14.25" customHeight="1" x14ac:dyDescent="0.3">
      <c r="A76" s="128" t="s">
        <v>192</v>
      </c>
      <c r="B76" s="81" t="str">
        <f t="shared" si="14"/>
        <v>Corn Starch - نشا ذرة</v>
      </c>
      <c r="C76" s="81" t="str">
        <f t="shared" si="14"/>
        <v>gm</v>
      </c>
      <c r="D76" s="81">
        <f t="shared" si="14"/>
        <v>40</v>
      </c>
      <c r="E76" s="126">
        <f t="shared" si="18"/>
        <v>7.1350078492935713</v>
      </c>
      <c r="F76" s="127">
        <f t="shared" si="15"/>
        <v>1</v>
      </c>
      <c r="G76" s="119">
        <f t="shared" si="16"/>
        <v>285.40031397174283</v>
      </c>
      <c r="H76" s="120">
        <f t="shared" si="17"/>
        <v>285.40031397174283</v>
      </c>
    </row>
    <row r="77" spans="1:10" ht="14.25" customHeight="1" x14ac:dyDescent="0.3">
      <c r="A77" s="128" t="s">
        <v>196</v>
      </c>
      <c r="B77" s="81" t="str">
        <f t="shared" si="14"/>
        <v>Tomato Ketchup - كاتشب طماطم</v>
      </c>
      <c r="C77" s="81" t="str">
        <f t="shared" si="14"/>
        <v>ml</v>
      </c>
      <c r="D77" s="81">
        <f t="shared" si="14"/>
        <v>40</v>
      </c>
      <c r="E77" s="126">
        <f t="shared" si="18"/>
        <v>7.1350078492935713</v>
      </c>
      <c r="F77" s="127">
        <f t="shared" si="15"/>
        <v>1</v>
      </c>
      <c r="G77" s="119">
        <f t="shared" si="16"/>
        <v>285.40031397174283</v>
      </c>
      <c r="H77" s="120">
        <f t="shared" si="17"/>
        <v>285.40031397174283</v>
      </c>
    </row>
    <row r="78" spans="1:10" ht="20.25" customHeight="1" x14ac:dyDescent="0.4">
      <c r="A78" s="900"/>
      <c r="B78" s="784" t="str">
        <f t="shared" ref="B78:D80" si="19">B18</f>
        <v xml:space="preserve">Red Bell Pepper - فلفل أحمر </v>
      </c>
      <c r="C78" s="784" t="str">
        <f t="shared" si="19"/>
        <v>gm</v>
      </c>
      <c r="D78" s="784">
        <f t="shared" si="19"/>
        <v>140</v>
      </c>
      <c r="E78" s="785">
        <f t="shared" si="18"/>
        <v>7.1350078492935713</v>
      </c>
      <c r="F78" s="786">
        <f>F18</f>
        <v>1</v>
      </c>
      <c r="G78" s="635">
        <f>D78*E78</f>
        <v>998.9010989011</v>
      </c>
      <c r="H78" s="636">
        <f>G78*F78</f>
        <v>998.9010989011</v>
      </c>
      <c r="I78" s="204"/>
      <c r="J78" s="203"/>
    </row>
    <row r="79" spans="1:10" x14ac:dyDescent="0.3">
      <c r="B79" s="784" t="str">
        <f t="shared" si="19"/>
        <v xml:space="preserve">Yellow Bell Pepper - فلفل أصفر </v>
      </c>
      <c r="C79" s="784" t="str">
        <f t="shared" si="19"/>
        <v>gm</v>
      </c>
      <c r="D79" s="784">
        <f t="shared" si="19"/>
        <v>140</v>
      </c>
      <c r="E79" s="785">
        <f t="shared" si="18"/>
        <v>7.1350078492935713</v>
      </c>
      <c r="F79" s="786">
        <f>F19</f>
        <v>1</v>
      </c>
      <c r="G79" s="635">
        <f>D79*E79</f>
        <v>998.9010989011</v>
      </c>
      <c r="H79" s="636">
        <f>G79*F79</f>
        <v>998.9010989011</v>
      </c>
    </row>
    <row r="80" spans="1:10" x14ac:dyDescent="0.3">
      <c r="B80" s="784" t="str">
        <f t="shared" si="19"/>
        <v>Green Bell Pepper - فلفل أخضر رومى</v>
      </c>
      <c r="C80" s="784" t="str">
        <f t="shared" si="19"/>
        <v>gm</v>
      </c>
      <c r="D80" s="784">
        <f t="shared" si="19"/>
        <v>140</v>
      </c>
      <c r="E80" s="785">
        <f t="shared" si="18"/>
        <v>7.1350078492935713</v>
      </c>
      <c r="F80" s="786">
        <f>F20</f>
        <v>1</v>
      </c>
      <c r="G80" s="635">
        <f>D80*E80</f>
        <v>998.9010989011</v>
      </c>
      <c r="H80" s="636">
        <f>G80*F80</f>
        <v>998.9010989011</v>
      </c>
    </row>
    <row r="81" spans="1:8" ht="18" x14ac:dyDescent="0.3">
      <c r="A81" s="211"/>
      <c r="B81" s="198" t="s">
        <v>299</v>
      </c>
      <c r="C81" s="200" t="s">
        <v>285</v>
      </c>
      <c r="E81" s="200" t="s">
        <v>300</v>
      </c>
      <c r="G81" s="890" t="s">
        <v>276</v>
      </c>
      <c r="H81" s="890" t="s">
        <v>733</v>
      </c>
    </row>
    <row r="82" spans="1:8" ht="20" x14ac:dyDescent="0.4">
      <c r="A82" s="211"/>
      <c r="B82" s="199">
        <f>$J$53</f>
        <v>23307.692307692301</v>
      </c>
      <c r="C82" s="199">
        <f>E82+G82</f>
        <v>6992.3076923076997</v>
      </c>
      <c r="D82" s="930"/>
      <c r="E82" s="199">
        <f>$D$53*$S$44</f>
        <v>6992.3076923076997</v>
      </c>
      <c r="F82" s="934"/>
      <c r="G82" s="199">
        <f>$D$53*$T$44</f>
        <v>0</v>
      </c>
      <c r="H82" s="199">
        <f>B82+E82</f>
        <v>30300</v>
      </c>
    </row>
  </sheetData>
  <mergeCells count="7">
    <mergeCell ref="AK2:AM2"/>
    <mergeCell ref="B63:H63"/>
    <mergeCell ref="AE2:AG3"/>
    <mergeCell ref="F2:G3"/>
    <mergeCell ref="R26:U26"/>
    <mergeCell ref="B62:H62"/>
    <mergeCell ref="R25:U25"/>
  </mergeCells>
  <printOptions horizontalCentered="1"/>
  <pageMargins left="0.4" right="0.4" top="1" bottom="0.5" header="0.3" footer="0.511811023622047"/>
  <pageSetup paperSize="9" scale="48"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8" tint="-0.249977111117893"/>
    <pageSetUpPr fitToPage="1"/>
  </sheetPr>
  <dimension ref="A1:AT971"/>
  <sheetViews>
    <sheetView topLeftCell="R1" zoomScale="70" zoomScaleNormal="70" workbookViewId="0">
      <selection activeCell="AC25" sqref="AC25"/>
    </sheetView>
  </sheetViews>
  <sheetFormatPr defaultColWidth="12.5" defaultRowHeight="12.5" x14ac:dyDescent="0.25"/>
  <cols>
    <col min="1" max="1" width="12.5" style="14" customWidth="1"/>
    <col min="2" max="2" width="38.33203125" style="14" customWidth="1"/>
    <col min="3" max="3" width="24"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3.75" style="14" customWidth="1"/>
    <col min="15" max="15" width="16.75" style="14" customWidth="1"/>
    <col min="16" max="18" width="12.5" style="14" customWidth="1"/>
    <col min="19" max="19" width="15.9140625" style="14" customWidth="1"/>
    <col min="20" max="26" width="12.5" style="14" customWidth="1"/>
    <col min="27" max="27" width="11.08203125" style="14" bestFit="1" customWidth="1"/>
    <col min="28" max="28" width="11.9140625" style="14" bestFit="1" customWidth="1"/>
    <col min="29" max="29" width="13.33203125" style="14" bestFit="1" customWidth="1"/>
    <col min="30" max="30" width="12.33203125" style="14" bestFit="1" customWidth="1"/>
    <col min="31" max="31" width="8.4140625" style="14" customWidth="1"/>
    <col min="32" max="32" width="7.58203125" style="14" customWidth="1"/>
    <col min="33" max="35" width="2.83203125" style="14" customWidth="1"/>
    <col min="36" max="36" width="38.33203125" style="14" customWidth="1"/>
    <col min="37" max="37" width="12.5" style="14" customWidth="1"/>
    <col min="38" max="41" width="12.5" style="14"/>
    <col min="42" max="42" width="18.33203125" style="14" customWidth="1"/>
    <col min="43" max="16384" width="12.5" style="14"/>
  </cols>
  <sheetData>
    <row r="1" spans="1:46" ht="28.5" customHeight="1" x14ac:dyDescent="0.3">
      <c r="B1" s="80" t="s">
        <v>343</v>
      </c>
      <c r="C1" s="81">
        <v>1</v>
      </c>
      <c r="D1" s="82" t="s">
        <v>244</v>
      </c>
      <c r="E1" s="117">
        <f>U32</f>
        <v>275</v>
      </c>
      <c r="F1" s="80" t="s">
        <v>245</v>
      </c>
      <c r="G1" s="117">
        <f>E1/C1</f>
        <v>275</v>
      </c>
      <c r="H1" s="80" t="s">
        <v>246</v>
      </c>
      <c r="I1" s="117"/>
      <c r="J1" s="326" t="s">
        <v>247</v>
      </c>
      <c r="K1" s="327">
        <v>1</v>
      </c>
      <c r="L1" s="100"/>
      <c r="M1" s="100"/>
      <c r="N1" s="100"/>
      <c r="O1" s="91" t="s">
        <v>248</v>
      </c>
      <c r="P1" s="92" t="s">
        <v>249</v>
      </c>
      <c r="Q1" s="93" t="s">
        <v>250</v>
      </c>
      <c r="R1" s="92">
        <v>0.75</v>
      </c>
      <c r="S1" s="93" t="s">
        <v>345</v>
      </c>
      <c r="T1" s="328">
        <v>90</v>
      </c>
      <c r="U1" s="100"/>
      <c r="V1" s="100"/>
      <c r="Y1" s="91" t="s">
        <v>479</v>
      </c>
      <c r="Z1" s="847">
        <v>270</v>
      </c>
      <c r="AA1" s="91" t="s">
        <v>600</v>
      </c>
      <c r="AB1" s="847">
        <v>5</v>
      </c>
      <c r="AC1" s="91" t="s">
        <v>587</v>
      </c>
      <c r="AD1" s="847">
        <v>270</v>
      </c>
      <c r="AE1" s="91" t="s">
        <v>578</v>
      </c>
      <c r="AF1" s="847">
        <f>Z1+AB1</f>
        <v>275</v>
      </c>
      <c r="AJ1" s="94" t="s">
        <v>262</v>
      </c>
      <c r="AK1" s="94">
        <v>10000</v>
      </c>
      <c r="AL1" s="628" t="s">
        <v>522</v>
      </c>
      <c r="AM1" s="629">
        <f>$S$32*100</f>
        <v>27500</v>
      </c>
      <c r="AN1" s="94" t="s">
        <v>251</v>
      </c>
      <c r="AO1" s="329">
        <f>((S32*T1)/$R$1)/$AK$1</f>
        <v>3.3</v>
      </c>
      <c r="AP1" s="95"/>
    </row>
    <row r="2" spans="1:46" ht="12.75" customHeight="1" x14ac:dyDescent="0.25">
      <c r="A2" s="330"/>
      <c r="B2" s="1415" t="s">
        <v>55</v>
      </c>
      <c r="C2" s="1415"/>
      <c r="D2" s="1415"/>
      <c r="E2" s="1415"/>
      <c r="F2" s="1415"/>
      <c r="G2" s="1415"/>
      <c r="H2" s="1415"/>
      <c r="I2" s="648"/>
      <c r="J2" s="648"/>
      <c r="K2" s="648"/>
      <c r="L2" s="293"/>
      <c r="M2" s="100"/>
      <c r="N2" s="100"/>
      <c r="O2" s="100"/>
      <c r="P2" s="100"/>
      <c r="Q2" s="100"/>
      <c r="R2" s="100"/>
      <c r="S2" s="100"/>
      <c r="T2" s="100"/>
      <c r="U2" s="100"/>
      <c r="AJ2" s="101"/>
      <c r="AK2" s="101"/>
      <c r="AL2" s="1386" t="s">
        <v>383</v>
      </c>
      <c r="AM2" s="1386"/>
      <c r="AN2" s="102"/>
      <c r="AO2" s="101"/>
      <c r="AP2" s="101"/>
    </row>
    <row r="3" spans="1:46" ht="12.75" customHeight="1" x14ac:dyDescent="0.3">
      <c r="A3" s="330"/>
      <c r="B3" s="1387"/>
      <c r="C3" s="1387"/>
      <c r="D3" s="1387"/>
      <c r="E3" s="1387"/>
      <c r="F3" s="1387"/>
      <c r="G3" s="1387"/>
      <c r="H3" s="1387"/>
      <c r="I3" s="649"/>
      <c r="J3" s="649"/>
      <c r="K3" s="649"/>
      <c r="L3" s="293"/>
      <c r="M3" s="100"/>
      <c r="N3" s="100"/>
      <c r="O3" s="100"/>
      <c r="P3" s="100"/>
      <c r="Q3" s="100"/>
      <c r="R3" s="100"/>
      <c r="S3" s="100"/>
      <c r="T3" s="100"/>
      <c r="U3" s="100"/>
      <c r="AJ3" s="104"/>
      <c r="AK3" s="104"/>
      <c r="AL3" s="1454"/>
      <c r="AM3" s="1454"/>
      <c r="AN3" s="105"/>
      <c r="AO3" s="104"/>
      <c r="AP3" s="104"/>
    </row>
    <row r="4" spans="1:46" ht="68.75" customHeight="1" x14ac:dyDescent="0.25">
      <c r="A4" s="91" t="s">
        <v>1</v>
      </c>
      <c r="B4" s="91" t="s">
        <v>253</v>
      </c>
      <c r="C4" s="107" t="s">
        <v>254</v>
      </c>
      <c r="D4" s="91" t="s">
        <v>243</v>
      </c>
      <c r="E4" s="108" t="s">
        <v>246</v>
      </c>
      <c r="F4" s="108" t="s">
        <v>255</v>
      </c>
      <c r="G4" s="91" t="s">
        <v>256</v>
      </c>
      <c r="H4" s="331" t="s">
        <v>347</v>
      </c>
      <c r="I4" s="91" t="s">
        <v>258</v>
      </c>
      <c r="J4" s="91" t="s">
        <v>259</v>
      </c>
      <c r="K4" s="91" t="s">
        <v>260</v>
      </c>
      <c r="L4" s="91" t="s">
        <v>261</v>
      </c>
      <c r="M4" s="371"/>
      <c r="N4" s="100"/>
      <c r="O4" s="100"/>
      <c r="P4" s="100"/>
      <c r="Q4" s="100"/>
      <c r="R4" s="100"/>
      <c r="S4" s="100"/>
      <c r="AJ4" s="110" t="s">
        <v>253</v>
      </c>
      <c r="AK4" s="111" t="s">
        <v>254</v>
      </c>
      <c r="AL4" s="110" t="s">
        <v>262</v>
      </c>
      <c r="AM4" s="110" t="s">
        <v>246</v>
      </c>
      <c r="AN4" s="110" t="s">
        <v>255</v>
      </c>
      <c r="AO4" s="110" t="s">
        <v>256</v>
      </c>
      <c r="AP4" s="112" t="s">
        <v>257</v>
      </c>
      <c r="AQ4" s="91" t="s">
        <v>258</v>
      </c>
      <c r="AR4" s="91" t="s">
        <v>259</v>
      </c>
      <c r="AS4" s="91" t="s">
        <v>260</v>
      </c>
      <c r="AT4" s="91" t="s">
        <v>261</v>
      </c>
    </row>
    <row r="5" spans="1:46" ht="14.25" customHeight="1" x14ac:dyDescent="0.25">
      <c r="A5" s="403" t="s">
        <v>230</v>
      </c>
      <c r="B5" s="323" t="s">
        <v>525</v>
      </c>
      <c r="C5" s="115" t="s">
        <v>15</v>
      </c>
      <c r="D5" s="268">
        <f>T1/R1</f>
        <v>120</v>
      </c>
      <c r="E5" s="116">
        <f>G1</f>
        <v>275</v>
      </c>
      <c r="F5" s="127">
        <v>1</v>
      </c>
      <c r="G5" s="119">
        <f>D5*E5</f>
        <v>33000</v>
      </c>
      <c r="H5" s="120">
        <f>G5*F5</f>
        <v>33000</v>
      </c>
      <c r="I5" s="81">
        <f>VLOOKUP(B5,All_Ingredients!$A$1:$F$151,6,FALSE())</f>
        <v>0.97</v>
      </c>
      <c r="J5" s="119">
        <f>VLOOKUP(B5,All_Ingredients!$A$1:$J$151,10,FALSE())</f>
        <v>37.82</v>
      </c>
      <c r="K5" s="122">
        <f>(H5/I5)/1000</f>
        <v>34.020618556701031</v>
      </c>
      <c r="L5" s="122">
        <f>K5*J5</f>
        <v>1286.659793814433</v>
      </c>
      <c r="M5" s="131"/>
      <c r="AJ5" s="323" t="s">
        <v>525</v>
      </c>
      <c r="AK5" s="124" t="s">
        <v>238</v>
      </c>
      <c r="AL5" s="116">
        <v>10</v>
      </c>
      <c r="AM5" s="197">
        <f t="shared" ref="AM5:AM17" si="0">$AO$1</f>
        <v>3.3</v>
      </c>
      <c r="AN5" s="127">
        <v>1</v>
      </c>
      <c r="AO5" s="121">
        <f t="shared" ref="AO5:AO17" si="1">AL5*AM5</f>
        <v>33</v>
      </c>
      <c r="AP5" s="120">
        <f t="shared" ref="AP5:AP17" si="2">AO5*AN5</f>
        <v>33</v>
      </c>
      <c r="AQ5" s="295"/>
      <c r="AR5" s="1171"/>
      <c r="AS5" s="175"/>
      <c r="AT5" s="1172"/>
    </row>
    <row r="6" spans="1:46" ht="14.25" customHeight="1" x14ac:dyDescent="0.25">
      <c r="A6" s="404"/>
      <c r="B6" s="323" t="s">
        <v>381</v>
      </c>
      <c r="C6" s="115" t="s">
        <v>14</v>
      </c>
      <c r="D6" s="116">
        <v>11</v>
      </c>
      <c r="E6" s="116">
        <f>$G$1</f>
        <v>275</v>
      </c>
      <c r="F6" s="127">
        <v>1</v>
      </c>
      <c r="G6" s="119">
        <f>D6*E6</f>
        <v>3025</v>
      </c>
      <c r="H6" s="120">
        <f>G6*F6</f>
        <v>3025</v>
      </c>
      <c r="I6" s="81">
        <f>VLOOKUP(B6,All_Ingredients!$A$1:$F$151,6,FALSE())</f>
        <v>0.56999999999999995</v>
      </c>
      <c r="J6" s="119">
        <f>VLOOKUP(B6,All_Ingredients!$A$1:$J$151,10,FALSE())</f>
        <v>8.5</v>
      </c>
      <c r="K6" s="122">
        <f>(H6/I6)/1000</f>
        <v>5.3070175438596499</v>
      </c>
      <c r="L6" s="122">
        <f>K6*J6</f>
        <v>45.109649122807021</v>
      </c>
      <c r="M6" s="131"/>
      <c r="AJ6" s="323" t="s">
        <v>790</v>
      </c>
      <c r="AK6" s="124" t="s">
        <v>14</v>
      </c>
      <c r="AL6" s="116">
        <v>100</v>
      </c>
      <c r="AM6" s="197">
        <f t="shared" si="0"/>
        <v>3.3</v>
      </c>
      <c r="AN6" s="127">
        <v>1</v>
      </c>
      <c r="AO6" s="121">
        <f t="shared" si="1"/>
        <v>330</v>
      </c>
      <c r="AP6" s="120">
        <f t="shared" si="2"/>
        <v>330</v>
      </c>
      <c r="AQ6" s="1172">
        <f>VLOOKUP(AJ6,Marination_Ordering!$A:$J,6,FALSE)</f>
        <v>1</v>
      </c>
      <c r="AR6" s="1172">
        <f>VLOOKUP(AJ6,Marination_Ordering!$A:$J,10,FALSE)</f>
        <v>43.333333333333336</v>
      </c>
      <c r="AS6" s="175">
        <f>AP6/AQ6</f>
        <v>330</v>
      </c>
      <c r="AT6" s="1172">
        <f>AR6*(AS6/1000)</f>
        <v>14.3</v>
      </c>
    </row>
    <row r="7" spans="1:46" ht="14.25" customHeight="1" x14ac:dyDescent="0.25">
      <c r="B7" s="323" t="s">
        <v>866</v>
      </c>
      <c r="C7" s="124" t="s">
        <v>241</v>
      </c>
      <c r="D7" s="116">
        <v>1</v>
      </c>
      <c r="E7" s="116">
        <f>$Z$1+$AB$1</f>
        <v>275</v>
      </c>
      <c r="F7" s="127">
        <v>1</v>
      </c>
      <c r="G7" s="121">
        <f>D7*($Z$1+$AB$1)</f>
        <v>275</v>
      </c>
      <c r="H7" s="120">
        <f>G7*F7</f>
        <v>275</v>
      </c>
      <c r="I7" s="81">
        <f>VLOOKUP(B7,All_Ingredients!$A$1:$F$151,6,FALSE())</f>
        <v>1</v>
      </c>
      <c r="J7" s="119">
        <f>VLOOKUP(B7,All_Ingredients!$A$1:$J$151,10,FALSE())</f>
        <v>2</v>
      </c>
      <c r="K7" s="175">
        <f>H7*I7</f>
        <v>275</v>
      </c>
      <c r="L7" s="122">
        <f>K7*J7</f>
        <v>550</v>
      </c>
      <c r="M7" s="131"/>
      <c r="AJ7" s="323" t="s">
        <v>108</v>
      </c>
      <c r="AK7" s="124" t="s">
        <v>14</v>
      </c>
      <c r="AL7" s="116">
        <v>25</v>
      </c>
      <c r="AM7" s="197">
        <f t="shared" si="0"/>
        <v>3.3</v>
      </c>
      <c r="AN7" s="127">
        <v>1</v>
      </c>
      <c r="AO7" s="121">
        <f t="shared" si="1"/>
        <v>82.5</v>
      </c>
      <c r="AP7" s="120">
        <f t="shared" si="2"/>
        <v>82.5</v>
      </c>
      <c r="AQ7" s="1172">
        <f>VLOOKUP(AJ7,Marination_Ordering!$A:$J,6,FALSE)</f>
        <v>1</v>
      </c>
      <c r="AR7" s="1172">
        <f>VLOOKUP(AJ7,Marination_Ordering!$A:$J,10,FALSE)</f>
        <v>15</v>
      </c>
      <c r="AS7" s="175">
        <f t="shared" ref="AS7:AS8" si="3">AP7/AQ7</f>
        <v>82.5</v>
      </c>
      <c r="AT7" s="1172">
        <f t="shared" ref="AT7:AT8" si="4">AR7*(AS7/1000)</f>
        <v>1.2375</v>
      </c>
    </row>
    <row r="8" spans="1:46" ht="14.25" customHeight="1" x14ac:dyDescent="0.25">
      <c r="M8" s="131"/>
      <c r="AJ8" s="323" t="s">
        <v>110</v>
      </c>
      <c r="AK8" s="124" t="s">
        <v>14</v>
      </c>
      <c r="AL8" s="116">
        <v>50</v>
      </c>
      <c r="AM8" s="197">
        <f t="shared" si="0"/>
        <v>3.3</v>
      </c>
      <c r="AN8" s="127">
        <v>1</v>
      </c>
      <c r="AO8" s="121">
        <f t="shared" si="1"/>
        <v>165</v>
      </c>
      <c r="AP8" s="120">
        <f t="shared" si="2"/>
        <v>165</v>
      </c>
      <c r="AQ8" s="1172">
        <f>VLOOKUP(AJ8,Marination_Ordering!$A:$J,6,FALSE)</f>
        <v>1</v>
      </c>
      <c r="AR8" s="1172">
        <f>VLOOKUP(AJ8,Marination_Ordering!$A:$J,10,FALSE)</f>
        <v>8</v>
      </c>
      <c r="AS8" s="175">
        <f t="shared" si="3"/>
        <v>165</v>
      </c>
      <c r="AT8" s="1172">
        <f t="shared" si="4"/>
        <v>1.32</v>
      </c>
    </row>
    <row r="9" spans="1:46" ht="14.25" customHeight="1" x14ac:dyDescent="0.25">
      <c r="M9" s="131"/>
      <c r="AJ9" s="323" t="s">
        <v>102</v>
      </c>
      <c r="AK9" s="124" t="s">
        <v>14</v>
      </c>
      <c r="AL9" s="116">
        <v>25</v>
      </c>
      <c r="AM9" s="197">
        <f t="shared" si="0"/>
        <v>3.3</v>
      </c>
      <c r="AN9" s="127">
        <v>1</v>
      </c>
      <c r="AO9" s="121">
        <f t="shared" si="1"/>
        <v>82.5</v>
      </c>
      <c r="AP9" s="120">
        <f t="shared" si="2"/>
        <v>82.5</v>
      </c>
      <c r="AQ9" s="1172">
        <f>VLOOKUP(AJ9,Marination_Ordering!$A:$J,6,FALSE)</f>
        <v>1</v>
      </c>
      <c r="AR9" s="1172">
        <f>VLOOKUP(AJ9,Marination_Ordering!$A:$J,10,FALSE)</f>
        <v>31</v>
      </c>
      <c r="AS9" s="175">
        <f t="shared" ref="AS9:AS17" si="5">AP9/AQ9</f>
        <v>82.5</v>
      </c>
      <c r="AT9" s="1172">
        <f t="shared" ref="AT9:AT17" si="6">AR9*(AS9/1000)</f>
        <v>2.5575000000000001</v>
      </c>
    </row>
    <row r="10" spans="1:46" ht="14.25" customHeight="1" x14ac:dyDescent="0.25">
      <c r="B10" s="349"/>
      <c r="C10" s="349"/>
      <c r="D10" s="333"/>
      <c r="E10" s="333"/>
      <c r="F10" s="136"/>
      <c r="G10" s="137"/>
      <c r="H10" s="138"/>
      <c r="I10" s="92"/>
      <c r="J10" s="137"/>
      <c r="K10" s="131"/>
      <c r="L10" s="131"/>
      <c r="M10" s="131"/>
      <c r="AJ10" s="323" t="s">
        <v>524</v>
      </c>
      <c r="AK10" s="124" t="s">
        <v>14</v>
      </c>
      <c r="AL10" s="116">
        <v>200</v>
      </c>
      <c r="AM10" s="197">
        <f t="shared" si="0"/>
        <v>3.3</v>
      </c>
      <c r="AN10" s="127">
        <v>1</v>
      </c>
      <c r="AO10" s="121">
        <f t="shared" si="1"/>
        <v>660</v>
      </c>
      <c r="AP10" s="120">
        <f t="shared" si="2"/>
        <v>660</v>
      </c>
      <c r="AQ10" s="1172">
        <f>VLOOKUP(AJ10,Marination_Ordering!$A:$J,6,FALSE)</f>
        <v>1</v>
      </c>
      <c r="AR10" s="1172">
        <f>VLOOKUP(AJ10,Marination_Ordering!$A:$J,10,FALSE)</f>
        <v>35.310734463276837</v>
      </c>
      <c r="AS10" s="175">
        <f t="shared" si="5"/>
        <v>660</v>
      </c>
      <c r="AT10" s="1172">
        <f t="shared" si="6"/>
        <v>23.305084745762713</v>
      </c>
    </row>
    <row r="11" spans="1:46" ht="14.25" customHeight="1" x14ac:dyDescent="0.25">
      <c r="B11" s="349"/>
      <c r="C11" s="349"/>
      <c r="D11" s="333"/>
      <c r="E11" s="333"/>
      <c r="F11" s="136"/>
      <c r="G11" s="137"/>
      <c r="H11" s="138"/>
      <c r="I11" s="92"/>
      <c r="J11" s="137"/>
      <c r="K11" s="131"/>
      <c r="L11" s="131"/>
      <c r="M11" s="131"/>
      <c r="AJ11" s="323" t="s">
        <v>208</v>
      </c>
      <c r="AK11" s="124" t="s">
        <v>14</v>
      </c>
      <c r="AL11" s="116">
        <v>400</v>
      </c>
      <c r="AM11" s="197">
        <f t="shared" si="0"/>
        <v>3.3</v>
      </c>
      <c r="AN11" s="127">
        <v>1</v>
      </c>
      <c r="AO11" s="121">
        <f t="shared" si="1"/>
        <v>1320</v>
      </c>
      <c r="AP11" s="120">
        <f t="shared" si="2"/>
        <v>1320</v>
      </c>
      <c r="AQ11" s="1172">
        <f>VLOOKUP(AJ11,Marination_Ordering!$A:$J,6,FALSE)</f>
        <v>1</v>
      </c>
      <c r="AR11" s="1172">
        <f>VLOOKUP(AJ11,Marination_Ordering!$A:$J,10,FALSE)</f>
        <v>11.243386243386244</v>
      </c>
      <c r="AS11" s="175">
        <f t="shared" si="5"/>
        <v>1320</v>
      </c>
      <c r="AT11" s="1172">
        <f t="shared" si="6"/>
        <v>14.841269841269842</v>
      </c>
    </row>
    <row r="12" spans="1:46" ht="14.25" customHeight="1" x14ac:dyDescent="0.25">
      <c r="B12" s="349"/>
      <c r="C12" s="349"/>
      <c r="D12" s="333"/>
      <c r="E12" s="333"/>
      <c r="F12" s="136"/>
      <c r="G12" s="137"/>
      <c r="H12" s="138"/>
      <c r="I12" s="92"/>
      <c r="J12" s="137"/>
      <c r="K12" s="131"/>
      <c r="L12" s="131"/>
      <c r="M12" s="131"/>
      <c r="AJ12" s="323" t="s">
        <v>240</v>
      </c>
      <c r="AK12" s="124" t="s">
        <v>382</v>
      </c>
      <c r="AL12" s="116">
        <v>5</v>
      </c>
      <c r="AM12" s="197">
        <f t="shared" si="0"/>
        <v>3.3</v>
      </c>
      <c r="AN12" s="127">
        <v>1</v>
      </c>
      <c r="AO12" s="121">
        <f t="shared" si="1"/>
        <v>16.5</v>
      </c>
      <c r="AP12" s="120">
        <f t="shared" si="2"/>
        <v>16.5</v>
      </c>
      <c r="AQ12" s="1172">
        <f>VLOOKUP(AJ12,Marination_Ordering!$A:$J,6,FALSE)</f>
        <v>1</v>
      </c>
      <c r="AR12" s="1172">
        <f>VLOOKUP(AJ12,Marination_Ordering!$A:$J,10,FALSE)</f>
        <v>0.43333333333333335</v>
      </c>
      <c r="AS12" s="175">
        <f t="shared" si="5"/>
        <v>16.5</v>
      </c>
      <c r="AT12" s="1172">
        <f t="shared" si="6"/>
        <v>7.150000000000001E-3</v>
      </c>
    </row>
    <row r="13" spans="1:46" ht="14.25" customHeight="1" x14ac:dyDescent="0.25">
      <c r="B13" s="349"/>
      <c r="C13" s="349"/>
      <c r="D13" s="333"/>
      <c r="E13" s="333"/>
      <c r="F13" s="136"/>
      <c r="G13" s="137"/>
      <c r="H13" s="138"/>
      <c r="I13" s="92"/>
      <c r="J13" s="137"/>
      <c r="K13" s="131"/>
      <c r="L13" s="131"/>
      <c r="M13" s="131"/>
      <c r="AJ13" s="323" t="s">
        <v>96</v>
      </c>
      <c r="AK13" s="124" t="s">
        <v>14</v>
      </c>
      <c r="AL13" s="116">
        <v>25</v>
      </c>
      <c r="AM13" s="197">
        <f t="shared" si="0"/>
        <v>3.3</v>
      </c>
      <c r="AN13" s="127">
        <v>1</v>
      </c>
      <c r="AO13" s="121">
        <f t="shared" si="1"/>
        <v>82.5</v>
      </c>
      <c r="AP13" s="120">
        <f t="shared" si="2"/>
        <v>82.5</v>
      </c>
      <c r="AQ13" s="1172">
        <f>VLOOKUP(AJ13,Marination_Ordering!$A:$J,6,FALSE)</f>
        <v>1</v>
      </c>
      <c r="AR13" s="1172">
        <f>VLOOKUP(AJ13,Marination_Ordering!$A:$J,10,FALSE)</f>
        <v>0.74</v>
      </c>
      <c r="AS13" s="175">
        <f t="shared" si="5"/>
        <v>82.5</v>
      </c>
      <c r="AT13" s="1172">
        <f t="shared" si="6"/>
        <v>6.105E-2</v>
      </c>
    </row>
    <row r="14" spans="1:46" ht="14.25" customHeight="1" x14ac:dyDescent="0.25">
      <c r="B14" s="349"/>
      <c r="C14" s="349"/>
      <c r="D14" s="333"/>
      <c r="E14" s="333"/>
      <c r="F14" s="136"/>
      <c r="G14" s="137"/>
      <c r="H14" s="138"/>
      <c r="I14" s="92"/>
      <c r="J14" s="137"/>
      <c r="K14" s="131"/>
      <c r="L14" s="131"/>
      <c r="M14" s="131"/>
      <c r="AJ14" s="323" t="s">
        <v>66</v>
      </c>
      <c r="AK14" s="124" t="s">
        <v>14</v>
      </c>
      <c r="AL14" s="116">
        <v>20</v>
      </c>
      <c r="AM14" s="197">
        <f t="shared" si="0"/>
        <v>3.3</v>
      </c>
      <c r="AN14" s="127">
        <v>1</v>
      </c>
      <c r="AO14" s="121">
        <f t="shared" si="1"/>
        <v>66</v>
      </c>
      <c r="AP14" s="120">
        <f t="shared" si="2"/>
        <v>66</v>
      </c>
      <c r="AQ14" s="1172">
        <f>VLOOKUP(AJ14,Marination_Ordering!$A:$J,6,FALSE)</f>
        <v>0.65</v>
      </c>
      <c r="AR14" s="1172">
        <f>VLOOKUP(AJ14,Marination_Ordering!$A:$J,10,FALSE)</f>
        <v>3.5</v>
      </c>
      <c r="AS14" s="175">
        <f t="shared" si="5"/>
        <v>101.53846153846153</v>
      </c>
      <c r="AT14" s="1172">
        <f t="shared" si="6"/>
        <v>0.35538461538461535</v>
      </c>
    </row>
    <row r="15" spans="1:46" ht="14.25" customHeight="1" x14ac:dyDescent="0.25">
      <c r="B15" s="349"/>
      <c r="C15" s="349"/>
      <c r="D15" s="333"/>
      <c r="E15" s="333"/>
      <c r="F15" s="136"/>
      <c r="G15" s="137"/>
      <c r="H15" s="138"/>
      <c r="I15" s="92"/>
      <c r="J15" s="137"/>
      <c r="K15" s="131"/>
      <c r="L15" s="131"/>
      <c r="M15" s="131"/>
      <c r="AJ15" s="323" t="s">
        <v>194</v>
      </c>
      <c r="AK15" s="124" t="s">
        <v>14</v>
      </c>
      <c r="AL15" s="116">
        <v>100</v>
      </c>
      <c r="AM15" s="197">
        <f t="shared" si="0"/>
        <v>3.3</v>
      </c>
      <c r="AN15" s="127">
        <v>1</v>
      </c>
      <c r="AO15" s="121">
        <f t="shared" si="1"/>
        <v>330</v>
      </c>
      <c r="AP15" s="120">
        <f t="shared" si="2"/>
        <v>330</v>
      </c>
      <c r="AQ15" s="1172">
        <f>VLOOKUP(AJ15,Marination_Ordering!$A:$J,6,FALSE)</f>
        <v>1</v>
      </c>
      <c r="AR15" s="1172">
        <f>VLOOKUP(AJ15,Marination_Ordering!$A:$J,10,FALSE)</f>
        <v>8.5</v>
      </c>
      <c r="AS15" s="175">
        <f t="shared" si="5"/>
        <v>330</v>
      </c>
      <c r="AT15" s="1172">
        <f t="shared" si="6"/>
        <v>2.8050000000000002</v>
      </c>
    </row>
    <row r="16" spans="1:46" ht="14.25" customHeight="1" x14ac:dyDescent="0.25">
      <c r="B16" s="349"/>
      <c r="C16" s="349"/>
      <c r="D16" s="333"/>
      <c r="E16" s="333"/>
      <c r="F16" s="136"/>
      <c r="G16" s="137"/>
      <c r="H16" s="138"/>
      <c r="I16" s="92"/>
      <c r="J16" s="137"/>
      <c r="K16" s="131"/>
      <c r="L16" s="131"/>
      <c r="M16" s="131"/>
      <c r="AJ16" s="323" t="s">
        <v>792</v>
      </c>
      <c r="AK16" s="124" t="s">
        <v>14</v>
      </c>
      <c r="AL16" s="116">
        <v>200</v>
      </c>
      <c r="AM16" s="197">
        <f t="shared" si="0"/>
        <v>3.3</v>
      </c>
      <c r="AN16" s="127">
        <v>1</v>
      </c>
      <c r="AO16" s="121">
        <f t="shared" si="1"/>
        <v>660</v>
      </c>
      <c r="AP16" s="120">
        <f t="shared" si="2"/>
        <v>660</v>
      </c>
      <c r="AQ16" s="1172">
        <f>VLOOKUP(AJ16,Marination_Ordering!$A:$J,6,FALSE)</f>
        <v>1</v>
      </c>
      <c r="AR16" s="1172">
        <f>VLOOKUP(AJ16,Marination_Ordering!$A:$J,10,FALSE)</f>
        <v>10.5</v>
      </c>
      <c r="AS16" s="175">
        <f t="shared" si="5"/>
        <v>660</v>
      </c>
      <c r="AT16" s="1172">
        <f t="shared" si="6"/>
        <v>6.9300000000000006</v>
      </c>
    </row>
    <row r="17" spans="2:46" ht="14.25" customHeight="1" x14ac:dyDescent="0.25">
      <c r="B17" s="405"/>
      <c r="C17" s="405"/>
      <c r="D17" s="333"/>
      <c r="E17" s="333"/>
      <c r="F17" s="136"/>
      <c r="G17" s="137"/>
      <c r="H17" s="138"/>
      <c r="I17" s="92"/>
      <c r="J17" s="137"/>
      <c r="K17" s="131"/>
      <c r="L17" s="131"/>
      <c r="M17" s="131"/>
      <c r="AJ17" s="323" t="s">
        <v>149</v>
      </c>
      <c r="AK17" s="124" t="s">
        <v>14</v>
      </c>
      <c r="AL17" s="116">
        <v>25</v>
      </c>
      <c r="AM17" s="197">
        <f t="shared" si="0"/>
        <v>3.3</v>
      </c>
      <c r="AN17" s="127">
        <v>1</v>
      </c>
      <c r="AO17" s="121">
        <f t="shared" si="1"/>
        <v>82.5</v>
      </c>
      <c r="AP17" s="120">
        <f t="shared" si="2"/>
        <v>82.5</v>
      </c>
      <c r="AQ17" s="1172">
        <f>VLOOKUP(AJ17,Marination_Ordering!$A:$J,6,FALSE)</f>
        <v>1</v>
      </c>
      <c r="AR17" s="1172">
        <f>VLOOKUP(AJ17,Marination_Ordering!$A:$J,10,FALSE)</f>
        <v>18</v>
      </c>
      <c r="AS17" s="175">
        <f t="shared" si="5"/>
        <v>82.5</v>
      </c>
      <c r="AT17" s="1172">
        <f t="shared" si="6"/>
        <v>1.4850000000000001</v>
      </c>
    </row>
    <row r="18" spans="2:46" ht="14.25" customHeight="1" x14ac:dyDescent="0.25">
      <c r="B18" s="349"/>
      <c r="C18" s="349"/>
      <c r="D18" s="333"/>
      <c r="E18" s="333"/>
      <c r="F18" s="136"/>
      <c r="G18" s="137"/>
      <c r="H18" s="138"/>
      <c r="I18" s="92"/>
      <c r="J18" s="137"/>
      <c r="K18" s="131"/>
      <c r="L18" s="131"/>
      <c r="M18" s="137"/>
      <c r="N18" s="131"/>
      <c r="O18" s="131"/>
    </row>
    <row r="19" spans="2:46" ht="14.25" customHeight="1" x14ac:dyDescent="0.3">
      <c r="B19" s="11"/>
      <c r="C19" s="11"/>
      <c r="D19" s="337"/>
      <c r="E19" s="100"/>
      <c r="F19" s="100"/>
      <c r="K19" s="139"/>
      <c r="L19" s="92"/>
      <c r="M19" s="137"/>
      <c r="N19" s="131"/>
      <c r="O19" s="131"/>
    </row>
    <row r="20" spans="2:46" ht="14.25" customHeight="1" x14ac:dyDescent="0.3">
      <c r="B20" s="11"/>
      <c r="C20" s="336"/>
      <c r="D20" s="337"/>
      <c r="E20" s="100"/>
      <c r="F20" s="100"/>
      <c r="K20" s="139"/>
      <c r="L20" s="92"/>
      <c r="M20" s="137"/>
      <c r="N20" s="131"/>
      <c r="O20" s="131"/>
    </row>
    <row r="21" spans="2:46" ht="12.75" customHeight="1" x14ac:dyDescent="0.3">
      <c r="B21" s="11"/>
      <c r="C21" s="336"/>
      <c r="D21" s="337"/>
      <c r="E21" s="100"/>
      <c r="F21" s="100"/>
      <c r="K21" s="139"/>
      <c r="L21" s="92"/>
      <c r="M21" s="137"/>
      <c r="N21" s="131"/>
      <c r="O21" s="131"/>
    </row>
    <row r="22" spans="2:46" ht="12.75" customHeight="1" x14ac:dyDescent="0.25">
      <c r="B22" s="100"/>
      <c r="E22" s="100"/>
      <c r="F22" s="100"/>
      <c r="K22" s="139"/>
      <c r="L22" s="92"/>
      <c r="M22" s="137"/>
      <c r="N22" s="131"/>
      <c r="O22" s="131"/>
    </row>
    <row r="23" spans="2:46" ht="12.75" customHeight="1" x14ac:dyDescent="0.25">
      <c r="B23" s="100"/>
      <c r="E23" s="100"/>
      <c r="F23" s="100"/>
      <c r="K23" s="139"/>
      <c r="L23" s="92"/>
    </row>
    <row r="24" spans="2:46" ht="12.75" customHeight="1" x14ac:dyDescent="0.25">
      <c r="Z24" s="1234"/>
    </row>
    <row r="25" spans="2:46" ht="12.75" customHeight="1" x14ac:dyDescent="0.3">
      <c r="R25" s="1430" t="s">
        <v>383</v>
      </c>
      <c r="S25" s="1388"/>
      <c r="T25" s="1388"/>
      <c r="U25" s="1388"/>
      <c r="V25" s="1151"/>
      <c r="Z25" s="141" t="s">
        <v>264</v>
      </c>
      <c r="AA25" s="142">
        <v>274</v>
      </c>
      <c r="AB25" s="141" t="s">
        <v>261</v>
      </c>
      <c r="AC25" s="143">
        <f>AE30*AA25</f>
        <v>1932.3466375332753</v>
      </c>
    </row>
    <row r="26" spans="2:46" ht="12.75" customHeight="1" x14ac:dyDescent="0.25">
      <c r="R26" s="1416" t="s">
        <v>303</v>
      </c>
      <c r="S26" s="1389"/>
      <c r="T26" s="1389"/>
      <c r="U26" s="1389"/>
      <c r="V26" s="1151"/>
    </row>
    <row r="27" spans="2:46" ht="14" customHeight="1" thickBot="1" x14ac:dyDescent="0.35">
      <c r="R27" s="145" t="s">
        <v>266</v>
      </c>
      <c r="S27" s="145" t="s">
        <v>310</v>
      </c>
      <c r="T27" s="145" t="s">
        <v>268</v>
      </c>
      <c r="U27" s="145" t="s">
        <v>274</v>
      </c>
      <c r="V27" s="146" t="s">
        <v>839</v>
      </c>
      <c r="W27" s="146" t="s">
        <v>870</v>
      </c>
      <c r="X27" s="146" t="s">
        <v>869</v>
      </c>
      <c r="Z27" s="141" t="s">
        <v>270</v>
      </c>
      <c r="AA27" s="147" t="s">
        <v>839</v>
      </c>
      <c r="AB27" s="147" t="s">
        <v>271</v>
      </c>
      <c r="AC27" s="147" t="s">
        <v>852</v>
      </c>
      <c r="AD27" s="147" t="s">
        <v>849</v>
      </c>
      <c r="AE27" s="147" t="s">
        <v>274</v>
      </c>
    </row>
    <row r="28" spans="2:46" ht="14" customHeight="1" thickBot="1" x14ac:dyDescent="0.35">
      <c r="M28" s="338"/>
      <c r="R28" s="145" t="s">
        <v>275</v>
      </c>
      <c r="S28" s="1303">
        <f>$Z$1</f>
        <v>270</v>
      </c>
      <c r="T28" s="339"/>
      <c r="U28" s="339">
        <f>S28</f>
        <v>270</v>
      </c>
      <c r="V28" s="149">
        <f>SUM(AP5:AP13)</f>
        <v>2772</v>
      </c>
      <c r="W28" s="149">
        <f>SUM(L6)</f>
        <v>45.109649122807021</v>
      </c>
      <c r="X28" s="149">
        <f>K13</f>
        <v>0</v>
      </c>
      <c r="Z28" s="151"/>
      <c r="AA28" s="1205"/>
      <c r="AB28" s="152">
        <f>AA25*$S$40</f>
        <v>274</v>
      </c>
      <c r="AC28" s="1205"/>
      <c r="AD28" s="1205"/>
      <c r="AE28" s="154">
        <f>SUM(AB28:AB28)</f>
        <v>274</v>
      </c>
    </row>
    <row r="29" spans="2:46" ht="14" customHeight="1" thickBot="1" x14ac:dyDescent="0.35">
      <c r="R29" s="145" t="s">
        <v>276</v>
      </c>
      <c r="S29" s="294"/>
      <c r="T29" s="339"/>
      <c r="U29" s="339">
        <f>T29</f>
        <v>0</v>
      </c>
      <c r="V29" s="149"/>
      <c r="W29" s="149"/>
      <c r="X29" s="149"/>
      <c r="Z29" s="151"/>
      <c r="AA29" s="1205"/>
      <c r="AB29" s="156">
        <f>AB28/$AE$28</f>
        <v>1</v>
      </c>
      <c r="AC29" s="1205"/>
      <c r="AD29" s="1205"/>
      <c r="AE29" s="156">
        <f>AE28/$AE$28</f>
        <v>1</v>
      </c>
    </row>
    <row r="30" spans="2:46" ht="14" customHeight="1" thickBot="1" x14ac:dyDescent="0.35">
      <c r="R30" s="145" t="s">
        <v>277</v>
      </c>
      <c r="S30" s="1304">
        <f>$AB$1</f>
        <v>5</v>
      </c>
      <c r="T30" s="339"/>
      <c r="U30" s="339"/>
      <c r="V30" s="1143"/>
      <c r="W30" s="1143"/>
      <c r="X30" s="1143"/>
      <c r="Z30" s="141" t="s">
        <v>278</v>
      </c>
      <c r="AA30" s="1145">
        <f>V35/$AF$1</f>
        <v>0.20956201668011842</v>
      </c>
      <c r="AB30" s="157">
        <f>S35/(AF1)</f>
        <v>4.678762886597938</v>
      </c>
      <c r="AC30" s="1145">
        <f>W35/AF1</f>
        <v>0.16403508771929826</v>
      </c>
      <c r="AD30" s="1145">
        <f>X35/$AF$1</f>
        <v>2</v>
      </c>
      <c r="AE30" s="1202">
        <f>AB30+AD30+AC30+AA30</f>
        <v>7.0523599909973553</v>
      </c>
    </row>
    <row r="31" spans="2:46" ht="14" customHeight="1" thickBot="1" x14ac:dyDescent="0.35">
      <c r="R31" s="145" t="s">
        <v>279</v>
      </c>
      <c r="S31" s="294" t="s">
        <v>322</v>
      </c>
      <c r="T31" s="339"/>
      <c r="U31" s="339"/>
      <c r="V31" s="149"/>
      <c r="W31" s="149"/>
      <c r="X31" s="149"/>
    </row>
    <row r="32" spans="2:46" ht="14" customHeight="1" thickBot="1" x14ac:dyDescent="0.35">
      <c r="R32" s="146" t="s">
        <v>269</v>
      </c>
      <c r="S32" s="1281">
        <f>S28+S30</f>
        <v>275</v>
      </c>
      <c r="T32" s="340">
        <f>SUM(T28:T30)</f>
        <v>0</v>
      </c>
      <c r="U32" s="340">
        <f>T32+S32</f>
        <v>275</v>
      </c>
      <c r="V32" s="149"/>
      <c r="W32" s="149"/>
      <c r="X32" s="149"/>
    </row>
    <row r="33" spans="2:24" ht="14" customHeight="1" thickBot="1" x14ac:dyDescent="0.35">
      <c r="R33" s="341" t="s">
        <v>266</v>
      </c>
      <c r="S33" s="342"/>
      <c r="T33" s="342">
        <f>F40+F59</f>
        <v>0</v>
      </c>
      <c r="U33" s="343"/>
      <c r="V33" s="155"/>
      <c r="W33" s="155"/>
      <c r="X33" s="155"/>
    </row>
    <row r="34" spans="2:24" ht="14" customHeight="1" thickBot="1" x14ac:dyDescent="0.35">
      <c r="R34" s="178" t="s">
        <v>281</v>
      </c>
      <c r="S34" s="344"/>
      <c r="T34" s="345">
        <f>T33-(T28+T29)</f>
        <v>0</v>
      </c>
      <c r="U34" s="344"/>
      <c r="V34" s="155"/>
      <c r="W34" s="155"/>
      <c r="X34" s="155"/>
    </row>
    <row r="35" spans="2:24" ht="12.75" customHeight="1" thickBot="1" x14ac:dyDescent="0.35">
      <c r="R35" s="163" t="s">
        <v>261</v>
      </c>
      <c r="S35" s="1144">
        <f>L5</f>
        <v>1286.659793814433</v>
      </c>
      <c r="T35" s="1144">
        <f>SUM(O6:O19)</f>
        <v>0</v>
      </c>
      <c r="U35" s="1203">
        <f>S35+T35+V35+W35+X35</f>
        <v>1939.3989975242725</v>
      </c>
      <c r="V35" s="1144">
        <f>SUM(AT6:AT13)</f>
        <v>57.629554587032565</v>
      </c>
      <c r="W35" s="1144">
        <f>L6</f>
        <v>45.109649122807021</v>
      </c>
      <c r="X35" s="1144">
        <f>L7</f>
        <v>550</v>
      </c>
    </row>
    <row r="36" spans="2:24" ht="12.75" customHeight="1" x14ac:dyDescent="0.25"/>
    <row r="37" spans="2:24" ht="12.75" customHeight="1" x14ac:dyDescent="0.25"/>
    <row r="38" spans="2:24" ht="12.75" customHeight="1" x14ac:dyDescent="0.25"/>
    <row r="39" spans="2:24" ht="12.75" customHeight="1" x14ac:dyDescent="0.25">
      <c r="B39" s="100"/>
      <c r="E39" s="100"/>
      <c r="F39" s="100"/>
    </row>
    <row r="40" spans="2:24" ht="46.5" customHeight="1" x14ac:dyDescent="0.3">
      <c r="B40" s="100"/>
      <c r="C40" s="100"/>
      <c r="D40" s="346"/>
      <c r="E40" s="100"/>
      <c r="F40" s="100"/>
      <c r="G40" s="100"/>
      <c r="H40" s="100"/>
      <c r="I40" s="100"/>
      <c r="J40" s="100"/>
      <c r="R40" s="165" t="s">
        <v>282</v>
      </c>
      <c r="S40" s="166">
        <v>1</v>
      </c>
      <c r="T40" s="165" t="s">
        <v>283</v>
      </c>
      <c r="U40" s="167">
        <v>0</v>
      </c>
      <c r="V40" s="168">
        <f>S40+U40</f>
        <v>1</v>
      </c>
    </row>
    <row r="41" spans="2:24" ht="17.75" customHeight="1" x14ac:dyDescent="0.25">
      <c r="B41" s="100"/>
      <c r="C41" s="100"/>
      <c r="D41" s="100"/>
      <c r="E41" s="100"/>
      <c r="F41" s="100"/>
      <c r="G41" s="100"/>
      <c r="H41" s="100"/>
      <c r="I41" s="100"/>
      <c r="J41" s="100"/>
      <c r="U41" s="169"/>
    </row>
    <row r="42" spans="2:24" ht="17.75" customHeight="1" x14ac:dyDescent="0.25">
      <c r="B42" s="1455"/>
      <c r="C42" s="1389"/>
      <c r="D42" s="1389"/>
      <c r="E42" s="1389"/>
      <c r="F42" s="1389"/>
      <c r="G42" s="1389"/>
      <c r="H42" s="1389"/>
      <c r="I42" s="1389"/>
      <c r="J42" s="1389"/>
    </row>
    <row r="43" spans="2:24" ht="12.75" customHeight="1" x14ac:dyDescent="0.3">
      <c r="B43" s="1428"/>
      <c r="C43" s="1389"/>
      <c r="D43" s="1389"/>
      <c r="E43" s="1389"/>
      <c r="F43" s="1389"/>
      <c r="G43" s="1389"/>
      <c r="H43" s="1389"/>
      <c r="I43" s="1389"/>
      <c r="J43" s="1389"/>
      <c r="Q43" s="170" t="s">
        <v>284</v>
      </c>
      <c r="R43" s="170" t="s">
        <v>285</v>
      </c>
      <c r="S43" s="170" t="s">
        <v>286</v>
      </c>
      <c r="T43" s="170" t="s">
        <v>287</v>
      </c>
      <c r="U43" s="170" t="s">
        <v>288</v>
      </c>
      <c r="V43" s="170" t="s">
        <v>289</v>
      </c>
      <c r="W43" s="170" t="s">
        <v>290</v>
      </c>
    </row>
    <row r="44" spans="2:24" ht="14" customHeight="1" x14ac:dyDescent="0.3">
      <c r="B44" s="347"/>
      <c r="C44" s="348"/>
      <c r="D44" s="347"/>
      <c r="E44" s="347"/>
      <c r="F44" s="347"/>
      <c r="G44" s="347"/>
      <c r="H44" s="347"/>
      <c r="I44" s="347"/>
      <c r="J44" s="347"/>
      <c r="Q44" s="172">
        <v>18841</v>
      </c>
      <c r="R44" s="173">
        <f>E51</f>
        <v>0</v>
      </c>
      <c r="S44" s="174">
        <v>0</v>
      </c>
      <c r="T44" s="174">
        <v>0</v>
      </c>
      <c r="U44" s="242">
        <f>R44*S44</f>
        <v>0</v>
      </c>
      <c r="V44" s="176">
        <f>R44*T44</f>
        <v>0</v>
      </c>
      <c r="W44" s="176">
        <f>Q44-U44</f>
        <v>18841</v>
      </c>
    </row>
    <row r="45" spans="2:24" ht="14" customHeight="1" x14ac:dyDescent="0.25">
      <c r="B45" s="349"/>
      <c r="C45" s="349"/>
      <c r="D45" s="333"/>
      <c r="E45" s="333"/>
      <c r="F45" s="136"/>
      <c r="G45" s="137"/>
      <c r="H45" s="138"/>
      <c r="I45" s="92"/>
      <c r="J45" s="139"/>
    </row>
    <row r="46" spans="2:24" ht="14.25" customHeight="1" x14ac:dyDescent="0.25">
      <c r="B46" s="349"/>
      <c r="C46" s="349"/>
      <c r="D46" s="333"/>
      <c r="E46" s="333"/>
      <c r="F46" s="136"/>
      <c r="G46" s="137"/>
      <c r="H46" s="138"/>
      <c r="I46" s="92"/>
      <c r="J46" s="139"/>
    </row>
    <row r="47" spans="2:24" ht="14.25" customHeight="1" x14ac:dyDescent="0.25">
      <c r="B47" s="349"/>
      <c r="C47" s="349"/>
      <c r="D47" s="333"/>
      <c r="E47" s="333"/>
      <c r="F47" s="136"/>
      <c r="G47" s="137"/>
      <c r="H47" s="138"/>
      <c r="I47" s="92"/>
      <c r="J47" s="139"/>
    </row>
    <row r="48" spans="2:24" ht="14.25" customHeight="1" x14ac:dyDescent="0.25">
      <c r="B48" s="349"/>
      <c r="C48" s="349"/>
      <c r="D48" s="333"/>
      <c r="E48" s="333"/>
      <c r="F48" s="136"/>
      <c r="G48" s="137"/>
      <c r="H48" s="138"/>
      <c r="I48" s="92"/>
      <c r="J48" s="139"/>
    </row>
    <row r="49" spans="1:14" ht="14.25" customHeight="1" x14ac:dyDescent="0.25">
      <c r="B49" s="349"/>
      <c r="C49" s="349"/>
      <c r="D49" s="333"/>
      <c r="E49" s="333"/>
      <c r="F49" s="136"/>
      <c r="G49" s="137"/>
      <c r="H49" s="138"/>
      <c r="I49" s="92"/>
      <c r="J49" s="139"/>
    </row>
    <row r="50" spans="1:14" ht="14.25" customHeight="1" x14ac:dyDescent="0.3">
      <c r="B50" s="350"/>
      <c r="C50" s="178" t="s">
        <v>245</v>
      </c>
      <c r="D50" s="178" t="s">
        <v>291</v>
      </c>
      <c r="E50" s="100"/>
      <c r="F50" s="100"/>
      <c r="G50" s="145" t="s">
        <v>292</v>
      </c>
      <c r="H50" s="145" t="s">
        <v>245</v>
      </c>
      <c r="I50" s="178" t="s">
        <v>293</v>
      </c>
      <c r="J50" s="178" t="s">
        <v>294</v>
      </c>
    </row>
    <row r="51" spans="1:14" ht="14.25" customHeight="1" x14ac:dyDescent="0.3">
      <c r="B51" s="180" t="s">
        <v>295</v>
      </c>
      <c r="C51" s="181">
        <f>10/$K$1</f>
        <v>10</v>
      </c>
      <c r="D51" s="182">
        <f>$C$1*10</f>
        <v>10</v>
      </c>
      <c r="E51" s="183"/>
      <c r="F51" s="100"/>
      <c r="G51" s="180" t="s">
        <v>295</v>
      </c>
      <c r="H51" s="277">
        <f>I51/$D$5</f>
        <v>209.34444444444443</v>
      </c>
      <c r="I51" s="181">
        <f>J51/$R$1</f>
        <v>25121.333333333332</v>
      </c>
      <c r="J51" s="181">
        <f>$W$44</f>
        <v>18841</v>
      </c>
    </row>
    <row r="52" spans="1:14" ht="14.25" customHeight="1" x14ac:dyDescent="0.3">
      <c r="B52" s="231" t="s">
        <v>274</v>
      </c>
      <c r="C52" s="232">
        <f>$I$1</f>
        <v>0</v>
      </c>
      <c r="D52" s="233">
        <f>$E$1</f>
        <v>275</v>
      </c>
      <c r="E52" s="100"/>
      <c r="F52" s="100"/>
      <c r="G52" s="148" t="s">
        <v>274</v>
      </c>
      <c r="H52" s="115">
        <f>I52/$D$5</f>
        <v>220</v>
      </c>
      <c r="I52" s="176">
        <f>J52/$R$1</f>
        <v>26400</v>
      </c>
      <c r="J52" s="184">
        <f>$U$32*$T$1*0.8</f>
        <v>19800</v>
      </c>
    </row>
    <row r="53" spans="1:14" ht="14.25" customHeight="1" x14ac:dyDescent="0.3">
      <c r="B53" s="231" t="s">
        <v>296</v>
      </c>
      <c r="C53" s="234">
        <f>MIN(C52, C51)</f>
        <v>0</v>
      </c>
      <c r="D53" s="233">
        <f>(C53*$K$1)*$C$1</f>
        <v>0</v>
      </c>
      <c r="E53" s="100"/>
      <c r="F53" s="100"/>
      <c r="G53" s="148" t="s">
        <v>296</v>
      </c>
      <c r="H53" s="187">
        <f>MIN(H52,H51)</f>
        <v>209.34444444444443</v>
      </c>
      <c r="I53" s="176">
        <f>J53/$R$1</f>
        <v>25121.333333333332</v>
      </c>
      <c r="J53" s="176">
        <f>MIN(J52,J51)</f>
        <v>18841</v>
      </c>
    </row>
    <row r="54" spans="1:14" ht="14.25" customHeight="1" x14ac:dyDescent="0.3">
      <c r="B54" s="231" t="s">
        <v>297</v>
      </c>
      <c r="C54" s="234">
        <f>MIN(MAX(C52-C53,0),C51)</f>
        <v>0</v>
      </c>
      <c r="D54" s="233">
        <f>(C54*$K$1)*$C$1</f>
        <v>0</v>
      </c>
      <c r="E54" s="100"/>
      <c r="F54" s="100"/>
      <c r="G54" s="148" t="s">
        <v>297</v>
      </c>
      <c r="H54" s="187">
        <f>MIN(MAX(H52-H53),H51)</f>
        <v>10.655555555555566</v>
      </c>
      <c r="I54" s="176">
        <f>J54/$R$1</f>
        <v>1278.6666666666667</v>
      </c>
      <c r="J54" s="176">
        <f>MIN(MAX(J52-J53),J51)</f>
        <v>959</v>
      </c>
    </row>
    <row r="55" spans="1:14" ht="14.25" customHeight="1" x14ac:dyDescent="0.3">
      <c r="B55" s="231" t="s">
        <v>298</v>
      </c>
      <c r="C55" s="234">
        <f>MIN(MAX(C52-C53-C54,0),C51)</f>
        <v>0</v>
      </c>
      <c r="D55" s="233">
        <f>(C55*$K$1)*$C$1</f>
        <v>0</v>
      </c>
      <c r="E55" s="100"/>
      <c r="F55" s="100"/>
      <c r="G55" s="145" t="s">
        <v>298</v>
      </c>
      <c r="H55" s="187">
        <f>MIN(MAX(H52-H53-H54),H51)</f>
        <v>0</v>
      </c>
      <c r="I55" s="176">
        <f>J55/$R$1</f>
        <v>0</v>
      </c>
      <c r="J55" s="176">
        <f>MIN(MAX(J52-J53-J54),J51)</f>
        <v>0</v>
      </c>
    </row>
    <row r="56" spans="1:14" ht="14.25" customHeight="1" x14ac:dyDescent="0.25"/>
    <row r="57" spans="1:14" ht="17.75" customHeight="1" x14ac:dyDescent="0.25"/>
    <row r="58" spans="1:14" ht="12.75" customHeight="1" x14ac:dyDescent="0.25">
      <c r="B58" s="1428"/>
      <c r="C58" s="1389"/>
      <c r="D58" s="1389"/>
      <c r="E58" s="1389"/>
      <c r="F58" s="1389"/>
      <c r="G58" s="1389"/>
      <c r="H58" s="1389"/>
      <c r="I58" s="1389"/>
      <c r="J58" s="1389"/>
    </row>
    <row r="59" spans="1:14" ht="14.25" customHeight="1" x14ac:dyDescent="0.25">
      <c r="B59" s="347"/>
      <c r="C59" s="348"/>
      <c r="D59" s="347"/>
      <c r="E59" s="347"/>
      <c r="F59" s="347"/>
      <c r="G59" s="347"/>
      <c r="H59" s="347"/>
      <c r="I59" s="347"/>
      <c r="J59" s="347"/>
    </row>
    <row r="60" spans="1:14" ht="14.25" customHeight="1" x14ac:dyDescent="0.25">
      <c r="B60" s="349"/>
      <c r="C60" s="349"/>
      <c r="D60" s="349"/>
      <c r="E60" s="333"/>
      <c r="F60" s="136"/>
      <c r="G60" s="137"/>
      <c r="H60" s="138"/>
      <c r="I60" s="92"/>
      <c r="J60" s="139"/>
    </row>
    <row r="61" spans="1:14" ht="14.25" customHeight="1" x14ac:dyDescent="0.25">
      <c r="B61" s="349"/>
      <c r="C61" s="349"/>
      <c r="D61" s="349"/>
      <c r="E61" s="333"/>
      <c r="F61" s="136"/>
      <c r="G61" s="137"/>
      <c r="H61" s="138"/>
      <c r="I61" s="92"/>
      <c r="J61" s="139"/>
    </row>
    <row r="62" spans="1:14" ht="18" customHeight="1" x14ac:dyDescent="0.25">
      <c r="A62" s="942"/>
      <c r="B62" s="1413"/>
      <c r="C62" s="1424"/>
      <c r="D62" s="1424"/>
      <c r="E62" s="1424"/>
      <c r="F62" s="1424"/>
      <c r="G62" s="1424"/>
      <c r="H62" s="1424"/>
    </row>
    <row r="63" spans="1:14" ht="14" x14ac:dyDescent="0.3">
      <c r="A63" s="942"/>
      <c r="B63" s="1382" t="s">
        <v>383</v>
      </c>
      <c r="C63" s="1383"/>
      <c r="D63" s="1383"/>
      <c r="E63" s="1383"/>
      <c r="F63" s="1383"/>
      <c r="G63" s="1383"/>
      <c r="H63" s="1383"/>
    </row>
    <row r="64" spans="1:14" ht="38.75" customHeight="1" x14ac:dyDescent="0.25">
      <c r="A64" s="91" t="s">
        <v>1</v>
      </c>
      <c r="B64" s="243" t="s">
        <v>253</v>
      </c>
      <c r="C64" s="244" t="s">
        <v>254</v>
      </c>
      <c r="D64" s="245" t="s">
        <v>243</v>
      </c>
      <c r="E64" s="218" t="s">
        <v>246</v>
      </c>
      <c r="F64" s="218" t="s">
        <v>255</v>
      </c>
      <c r="G64" s="245" t="s">
        <v>256</v>
      </c>
      <c r="H64" s="218" t="s">
        <v>257</v>
      </c>
      <c r="M64" s="131"/>
      <c r="N64" s="131"/>
    </row>
    <row r="65" spans="1:12" ht="14.25" customHeight="1" x14ac:dyDescent="0.25">
      <c r="A65" s="295" t="s">
        <v>230</v>
      </c>
      <c r="B65" s="323" t="str">
        <f t="shared" ref="B65:D66" si="7">B5</f>
        <v>Top Side - توب سايد مفروم</v>
      </c>
      <c r="C65" s="22" t="str">
        <f t="shared" si="7"/>
        <v>kg</v>
      </c>
      <c r="D65" s="787">
        <f t="shared" si="7"/>
        <v>120</v>
      </c>
      <c r="E65" s="116">
        <f>$D$52</f>
        <v>275</v>
      </c>
      <c r="F65" s="127">
        <f>F5</f>
        <v>1</v>
      </c>
      <c r="G65" s="121">
        <f>D65*E65</f>
        <v>33000</v>
      </c>
      <c r="H65" s="120">
        <f>G65*F65</f>
        <v>33000</v>
      </c>
      <c r="I65" s="92"/>
      <c r="J65" s="137"/>
      <c r="K65" s="92"/>
      <c r="L65" s="137"/>
    </row>
    <row r="66" spans="1:12" ht="14.25" customHeight="1" x14ac:dyDescent="0.25">
      <c r="A66" s="295" t="s">
        <v>97</v>
      </c>
      <c r="B66" s="323" t="str">
        <f t="shared" si="7"/>
        <v>Iceberg Lettuce  - خس مدور أمريكى</v>
      </c>
      <c r="C66" s="22" t="str">
        <f t="shared" si="7"/>
        <v>gm</v>
      </c>
      <c r="D66" s="787">
        <f t="shared" si="7"/>
        <v>11</v>
      </c>
      <c r="E66" s="116">
        <f>$D$52</f>
        <v>275</v>
      </c>
      <c r="F66" s="127">
        <f>F6</f>
        <v>1</v>
      </c>
      <c r="G66" s="121">
        <f>D66*E66</f>
        <v>3025</v>
      </c>
      <c r="H66" s="120">
        <f>G66*F66</f>
        <v>3025</v>
      </c>
    </row>
    <row r="67" spans="1:12" ht="14.25" customHeight="1" x14ac:dyDescent="0.3">
      <c r="A67" s="211"/>
      <c r="B67" s="198" t="s">
        <v>299</v>
      </c>
      <c r="C67" s="946" t="s">
        <v>285</v>
      </c>
      <c r="D67" s="945"/>
      <c r="E67" s="946" t="s">
        <v>300</v>
      </c>
      <c r="F67" s="945"/>
      <c r="G67" s="947" t="s">
        <v>276</v>
      </c>
      <c r="H67" s="947" t="s">
        <v>733</v>
      </c>
    </row>
    <row r="68" spans="1:12" ht="24.5" customHeight="1" x14ac:dyDescent="0.4">
      <c r="A68" s="211"/>
      <c r="B68" s="199">
        <f>$J$53</f>
        <v>18841</v>
      </c>
      <c r="C68" s="199">
        <f>E68+G68</f>
        <v>0</v>
      </c>
      <c r="D68" s="930"/>
      <c r="E68" s="199">
        <f>$C$53*$S$44</f>
        <v>0</v>
      </c>
      <c r="F68" s="934"/>
      <c r="G68" s="199">
        <f>$D$53*$T$44</f>
        <v>0</v>
      </c>
      <c r="H68" s="199">
        <f>B68+E68</f>
        <v>18841</v>
      </c>
    </row>
    <row r="69" spans="1:12" ht="20.75" customHeight="1" x14ac:dyDescent="0.25">
      <c r="E69" s="100"/>
      <c r="F69" s="100"/>
    </row>
    <row r="70" spans="1:12" ht="20" customHeight="1" x14ac:dyDescent="0.25">
      <c r="B70" s="100"/>
      <c r="E70" s="100"/>
      <c r="F70" s="100"/>
    </row>
    <row r="71" spans="1:12" ht="14.25" customHeight="1" x14ac:dyDescent="0.25">
      <c r="B71" s="100"/>
      <c r="E71" s="100"/>
      <c r="F71" s="100"/>
    </row>
    <row r="72" spans="1:12" ht="14.25" customHeight="1" x14ac:dyDescent="0.25">
      <c r="B72" s="100"/>
      <c r="E72" s="100"/>
      <c r="F72" s="100"/>
    </row>
    <row r="73" spans="1:12" ht="14.25" customHeight="1" x14ac:dyDescent="0.25">
      <c r="B73" s="100"/>
    </row>
    <row r="74" spans="1:12" ht="12.75" customHeight="1" x14ac:dyDescent="0.25"/>
    <row r="75" spans="1:12" x14ac:dyDescent="0.25">
      <c r="E75" s="100"/>
      <c r="F75" s="100"/>
    </row>
    <row r="76" spans="1:12" ht="12.75" customHeight="1" x14ac:dyDescent="0.25">
      <c r="E76" s="100"/>
      <c r="F76" s="100"/>
    </row>
    <row r="77" spans="1:12" ht="12.75" customHeight="1" x14ac:dyDescent="0.25">
      <c r="B77" s="100"/>
      <c r="E77" s="100"/>
      <c r="F77" s="100"/>
    </row>
    <row r="78" spans="1:12" ht="12.75" customHeight="1" x14ac:dyDescent="0.25">
      <c r="B78" s="100"/>
      <c r="E78" s="100"/>
      <c r="F78" s="100"/>
    </row>
    <row r="79" spans="1:12" ht="12.75" customHeight="1" x14ac:dyDescent="0.25">
      <c r="B79" s="100"/>
      <c r="E79" s="100"/>
      <c r="F79" s="100"/>
    </row>
    <row r="80" spans="1:12" ht="12.75" customHeight="1" x14ac:dyDescent="0.25">
      <c r="B80" s="100"/>
      <c r="E80" s="100"/>
      <c r="F80" s="100"/>
    </row>
    <row r="81" spans="2:6" ht="12.75" customHeight="1" x14ac:dyDescent="0.25">
      <c r="B81" s="100"/>
      <c r="E81" s="100"/>
      <c r="F81" s="100"/>
    </row>
    <row r="82" spans="2:6" ht="12.75" customHeight="1" x14ac:dyDescent="0.25">
      <c r="B82" s="100"/>
      <c r="E82" s="100"/>
      <c r="F82" s="100"/>
    </row>
    <row r="83" spans="2:6" ht="12.75" customHeight="1" x14ac:dyDescent="0.25">
      <c r="B83" s="100"/>
      <c r="E83" s="100"/>
      <c r="F83" s="100"/>
    </row>
    <row r="84" spans="2:6" ht="12.75" customHeight="1" x14ac:dyDescent="0.25">
      <c r="B84" s="100"/>
      <c r="E84" s="100"/>
      <c r="F84" s="100"/>
    </row>
    <row r="85" spans="2:6" ht="12.75" customHeight="1" x14ac:dyDescent="0.25">
      <c r="B85" s="100"/>
      <c r="E85" s="100"/>
      <c r="F85" s="100"/>
    </row>
    <row r="86" spans="2:6" ht="12.75" customHeight="1" x14ac:dyDescent="0.25">
      <c r="B86" s="100"/>
      <c r="E86" s="100"/>
      <c r="F86" s="100"/>
    </row>
    <row r="87" spans="2:6" ht="12.75" customHeight="1" x14ac:dyDescent="0.25">
      <c r="B87" s="100"/>
      <c r="E87" s="100"/>
      <c r="F87" s="100"/>
    </row>
    <row r="88" spans="2:6" ht="12.75" customHeight="1" x14ac:dyDescent="0.25">
      <c r="B88" s="100"/>
      <c r="E88" s="100"/>
      <c r="F88" s="100"/>
    </row>
    <row r="89" spans="2:6" ht="12.75" customHeight="1" x14ac:dyDescent="0.25">
      <c r="B89" s="100"/>
      <c r="E89" s="100"/>
      <c r="F89" s="100"/>
    </row>
    <row r="90" spans="2:6" ht="12.75" customHeight="1" x14ac:dyDescent="0.25">
      <c r="B90" s="100"/>
      <c r="E90" s="100"/>
      <c r="F90" s="100"/>
    </row>
    <row r="91" spans="2:6" ht="12.75" customHeight="1" x14ac:dyDescent="0.25">
      <c r="B91" s="100"/>
      <c r="E91" s="100"/>
      <c r="F91" s="100"/>
    </row>
    <row r="92" spans="2:6" ht="12.75" customHeight="1" x14ac:dyDescent="0.25">
      <c r="B92" s="100"/>
      <c r="E92" s="100"/>
      <c r="F92" s="100"/>
    </row>
    <row r="93" spans="2:6" ht="12.75" customHeight="1" x14ac:dyDescent="0.25">
      <c r="B93" s="100"/>
      <c r="E93" s="100"/>
      <c r="F93" s="100"/>
    </row>
    <row r="94" spans="2:6" ht="12.75" customHeight="1" x14ac:dyDescent="0.25">
      <c r="B94" s="100"/>
      <c r="E94" s="100"/>
      <c r="F94" s="100"/>
    </row>
    <row r="95" spans="2:6" ht="12.75" customHeight="1" x14ac:dyDescent="0.25">
      <c r="B95" s="100"/>
      <c r="E95" s="100"/>
      <c r="F95" s="100"/>
    </row>
    <row r="96" spans="2:6" ht="12.75" customHeight="1" x14ac:dyDescent="0.25">
      <c r="B96" s="100"/>
      <c r="E96" s="100"/>
      <c r="F96" s="100"/>
    </row>
    <row r="97" spans="2:6" ht="12.75" customHeight="1" x14ac:dyDescent="0.25">
      <c r="B97" s="100"/>
      <c r="E97" s="100"/>
      <c r="F97" s="100"/>
    </row>
    <row r="98" spans="2:6" ht="12.75" customHeight="1" x14ac:dyDescent="0.25">
      <c r="B98" s="100"/>
      <c r="E98" s="100"/>
      <c r="F98" s="100"/>
    </row>
    <row r="99" spans="2:6" ht="12.75" customHeight="1" x14ac:dyDescent="0.25">
      <c r="B99" s="100"/>
      <c r="E99" s="100"/>
      <c r="F99" s="100"/>
    </row>
    <row r="100" spans="2:6" ht="12.75" customHeight="1" x14ac:dyDescent="0.25">
      <c r="B100" s="100"/>
      <c r="E100" s="100"/>
      <c r="F100" s="100"/>
    </row>
    <row r="101" spans="2:6" ht="12.75" customHeight="1" x14ac:dyDescent="0.25">
      <c r="B101" s="100"/>
      <c r="E101" s="100"/>
      <c r="F101" s="100"/>
    </row>
    <row r="102" spans="2:6" ht="12.75" customHeight="1" x14ac:dyDescent="0.25">
      <c r="B102" s="100"/>
      <c r="E102" s="100"/>
      <c r="F102" s="100"/>
    </row>
    <row r="103" spans="2:6" ht="12.75" customHeight="1" x14ac:dyDescent="0.25">
      <c r="B103" s="100"/>
      <c r="E103" s="100"/>
      <c r="F103" s="100"/>
    </row>
    <row r="104" spans="2:6" ht="12.75" customHeight="1" x14ac:dyDescent="0.25">
      <c r="B104" s="100"/>
      <c r="E104" s="100"/>
      <c r="F104" s="100"/>
    </row>
    <row r="105" spans="2:6" ht="12.75" customHeight="1" x14ac:dyDescent="0.25">
      <c r="B105" s="100"/>
      <c r="E105" s="100"/>
      <c r="F105" s="100"/>
    </row>
    <row r="106" spans="2:6" ht="12.75" customHeight="1" x14ac:dyDescent="0.25">
      <c r="B106" s="100"/>
      <c r="E106" s="100"/>
      <c r="F106" s="100"/>
    </row>
    <row r="107" spans="2:6" ht="12.75" customHeight="1" x14ac:dyDescent="0.25">
      <c r="B107" s="100"/>
      <c r="E107" s="100"/>
      <c r="F107" s="100"/>
    </row>
    <row r="108" spans="2:6" ht="12.75" customHeight="1" x14ac:dyDescent="0.25">
      <c r="B108" s="100"/>
      <c r="E108" s="100"/>
      <c r="F108" s="100"/>
    </row>
    <row r="109" spans="2:6" ht="12.75" customHeight="1" x14ac:dyDescent="0.25">
      <c r="B109" s="100"/>
      <c r="E109" s="100"/>
      <c r="F109" s="100"/>
    </row>
    <row r="110" spans="2:6" ht="12.75" customHeight="1" x14ac:dyDescent="0.25">
      <c r="B110" s="100"/>
      <c r="E110" s="100"/>
      <c r="F110" s="100"/>
    </row>
    <row r="111" spans="2:6" ht="12.75" customHeight="1" x14ac:dyDescent="0.25">
      <c r="B111" s="100"/>
      <c r="E111" s="100"/>
      <c r="F111" s="100"/>
    </row>
    <row r="112" spans="2:6" ht="12.75" customHeight="1" x14ac:dyDescent="0.25">
      <c r="B112" s="100"/>
      <c r="E112" s="100"/>
      <c r="F112" s="100"/>
    </row>
    <row r="113" spans="2:6" ht="12.75" customHeight="1" x14ac:dyDescent="0.25">
      <c r="B113" s="100"/>
      <c r="E113" s="100"/>
      <c r="F113" s="100"/>
    </row>
    <row r="114" spans="2:6" ht="12.75" customHeight="1" x14ac:dyDescent="0.25">
      <c r="B114" s="100"/>
      <c r="E114" s="100"/>
      <c r="F114" s="100"/>
    </row>
    <row r="115" spans="2:6" ht="12.75" customHeight="1" x14ac:dyDescent="0.25">
      <c r="B115" s="100"/>
      <c r="E115" s="100"/>
      <c r="F115" s="100"/>
    </row>
    <row r="116" spans="2:6" ht="12.75" customHeight="1" x14ac:dyDescent="0.25">
      <c r="B116" s="100"/>
      <c r="E116" s="100"/>
      <c r="F116" s="100"/>
    </row>
    <row r="117" spans="2:6" ht="12.75" customHeight="1" x14ac:dyDescent="0.25">
      <c r="B117" s="100"/>
      <c r="E117" s="100"/>
      <c r="F117" s="100"/>
    </row>
    <row r="118" spans="2:6" ht="12.75" customHeight="1" x14ac:dyDescent="0.25">
      <c r="B118" s="100"/>
      <c r="E118" s="100"/>
      <c r="F118" s="100"/>
    </row>
    <row r="119" spans="2:6" ht="12.75" customHeight="1" x14ac:dyDescent="0.25">
      <c r="B119" s="100"/>
      <c r="E119" s="100"/>
      <c r="F119" s="100"/>
    </row>
    <row r="120" spans="2:6" ht="12.75" customHeight="1" x14ac:dyDescent="0.25">
      <c r="B120" s="100"/>
      <c r="E120" s="100"/>
      <c r="F120" s="100"/>
    </row>
    <row r="121" spans="2:6" ht="12.75" customHeight="1" x14ac:dyDescent="0.25">
      <c r="B121" s="100"/>
      <c r="E121" s="100"/>
      <c r="F121" s="100"/>
    </row>
    <row r="122" spans="2:6" ht="12.75" customHeight="1" x14ac:dyDescent="0.25">
      <c r="B122" s="100"/>
      <c r="E122" s="100"/>
      <c r="F122" s="100"/>
    </row>
    <row r="123" spans="2:6" ht="12.75" customHeight="1" x14ac:dyDescent="0.25">
      <c r="B123" s="100"/>
      <c r="E123" s="100"/>
      <c r="F123" s="100"/>
    </row>
    <row r="124" spans="2:6" ht="12.75" customHeight="1" x14ac:dyDescent="0.25">
      <c r="B124" s="100"/>
      <c r="E124" s="100"/>
      <c r="F124" s="100"/>
    </row>
    <row r="125" spans="2:6" ht="12.75" customHeight="1" x14ac:dyDescent="0.25">
      <c r="B125" s="100"/>
      <c r="E125" s="100"/>
      <c r="F125" s="100"/>
    </row>
    <row r="126" spans="2:6" ht="12.75" customHeight="1" x14ac:dyDescent="0.25">
      <c r="B126" s="100"/>
      <c r="E126" s="100"/>
      <c r="F126" s="100"/>
    </row>
    <row r="127" spans="2:6" ht="12.75" customHeight="1" x14ac:dyDescent="0.25">
      <c r="B127" s="100"/>
      <c r="E127" s="100"/>
      <c r="F127" s="100"/>
    </row>
    <row r="128" spans="2:6" ht="12.75" customHeight="1" x14ac:dyDescent="0.25">
      <c r="B128" s="100"/>
      <c r="E128" s="100"/>
      <c r="F128" s="100"/>
    </row>
    <row r="129" spans="2:6" ht="12.75" customHeight="1" x14ac:dyDescent="0.25">
      <c r="B129" s="100"/>
      <c r="E129" s="100"/>
      <c r="F129" s="100"/>
    </row>
    <row r="130" spans="2:6" ht="12.75" customHeight="1" x14ac:dyDescent="0.25">
      <c r="B130" s="100"/>
      <c r="E130" s="100"/>
      <c r="F130" s="100"/>
    </row>
    <row r="131" spans="2:6" ht="12.75" customHeight="1" x14ac:dyDescent="0.25">
      <c r="B131" s="100"/>
      <c r="E131" s="100"/>
      <c r="F131" s="100"/>
    </row>
    <row r="132" spans="2:6" ht="12.75" customHeight="1" x14ac:dyDescent="0.25">
      <c r="B132" s="100"/>
      <c r="E132" s="100"/>
      <c r="F132" s="100"/>
    </row>
    <row r="133" spans="2:6" ht="12.75" customHeight="1" x14ac:dyDescent="0.25">
      <c r="B133" s="100"/>
      <c r="E133" s="100"/>
      <c r="F133" s="100"/>
    </row>
    <row r="134" spans="2:6" ht="12.75" customHeight="1" x14ac:dyDescent="0.25">
      <c r="B134" s="100"/>
      <c r="E134" s="100"/>
      <c r="F134" s="100"/>
    </row>
    <row r="135" spans="2:6" ht="12.75" customHeight="1" x14ac:dyDescent="0.25">
      <c r="B135" s="100"/>
      <c r="E135" s="100"/>
      <c r="F135" s="100"/>
    </row>
    <row r="136" spans="2:6" ht="12.75" customHeight="1" x14ac:dyDescent="0.25">
      <c r="B136" s="100"/>
      <c r="E136" s="100"/>
      <c r="F136" s="100"/>
    </row>
    <row r="137" spans="2:6" ht="12.75" customHeight="1" x14ac:dyDescent="0.25">
      <c r="B137" s="100"/>
      <c r="E137" s="100"/>
      <c r="F137" s="100"/>
    </row>
    <row r="138" spans="2:6" ht="12.75" customHeight="1" x14ac:dyDescent="0.25">
      <c r="B138" s="100"/>
      <c r="E138" s="100"/>
      <c r="F138" s="100"/>
    </row>
    <row r="139" spans="2:6" ht="12.75" customHeight="1" x14ac:dyDescent="0.25">
      <c r="B139" s="100"/>
      <c r="E139" s="100"/>
      <c r="F139" s="100"/>
    </row>
    <row r="140" spans="2:6" ht="12.75" customHeight="1" x14ac:dyDescent="0.25">
      <c r="B140" s="100"/>
      <c r="E140" s="100"/>
      <c r="F140" s="100"/>
    </row>
    <row r="141" spans="2:6" ht="12.75" customHeight="1" x14ac:dyDescent="0.25">
      <c r="B141" s="100"/>
      <c r="E141" s="100"/>
      <c r="F141" s="100"/>
    </row>
    <row r="142" spans="2:6" ht="12.75" customHeight="1" x14ac:dyDescent="0.25">
      <c r="B142" s="100"/>
      <c r="E142" s="100"/>
      <c r="F142" s="100"/>
    </row>
    <row r="143" spans="2:6" ht="12.75" customHeight="1" x14ac:dyDescent="0.25">
      <c r="B143" s="100"/>
      <c r="E143" s="100"/>
      <c r="F143" s="100"/>
    </row>
    <row r="144" spans="2:6" ht="12.75" customHeight="1" x14ac:dyDescent="0.25">
      <c r="B144" s="100"/>
      <c r="E144" s="100"/>
      <c r="F144" s="100"/>
    </row>
    <row r="145" spans="2:6" ht="12.75" customHeight="1" x14ac:dyDescent="0.25">
      <c r="B145" s="100"/>
      <c r="E145" s="100"/>
      <c r="F145" s="100"/>
    </row>
    <row r="146" spans="2:6" ht="12.75" customHeight="1" x14ac:dyDescent="0.25">
      <c r="B146" s="100"/>
      <c r="E146" s="100"/>
      <c r="F146" s="100"/>
    </row>
    <row r="147" spans="2:6" ht="12.75" customHeight="1" x14ac:dyDescent="0.25">
      <c r="B147" s="100"/>
      <c r="E147" s="100"/>
      <c r="F147" s="100"/>
    </row>
    <row r="148" spans="2:6" ht="12.75" customHeight="1" x14ac:dyDescent="0.25">
      <c r="B148" s="100"/>
      <c r="E148" s="100"/>
      <c r="F148" s="100"/>
    </row>
    <row r="149" spans="2:6" ht="12.75" customHeight="1" x14ac:dyDescent="0.25">
      <c r="B149" s="100"/>
      <c r="E149" s="100"/>
      <c r="F149" s="100"/>
    </row>
    <row r="150" spans="2:6" ht="12.75" customHeight="1" x14ac:dyDescent="0.25">
      <c r="B150" s="100"/>
      <c r="E150" s="100"/>
      <c r="F150" s="100"/>
    </row>
    <row r="151" spans="2:6" ht="12.75" customHeight="1" x14ac:dyDescent="0.25">
      <c r="B151" s="100"/>
      <c r="E151" s="100"/>
      <c r="F151" s="100"/>
    </row>
    <row r="152" spans="2:6" ht="12.75" customHeight="1" x14ac:dyDescent="0.25">
      <c r="B152" s="100"/>
      <c r="E152" s="100"/>
      <c r="F152" s="100"/>
    </row>
    <row r="153" spans="2:6" ht="12.75" customHeight="1" x14ac:dyDescent="0.25">
      <c r="B153" s="100"/>
      <c r="E153" s="100"/>
      <c r="F153" s="100"/>
    </row>
    <row r="154" spans="2:6" ht="12.75" customHeight="1" x14ac:dyDescent="0.25">
      <c r="B154" s="100"/>
      <c r="E154" s="100"/>
      <c r="F154" s="100"/>
    </row>
    <row r="155" spans="2:6" ht="12.75" customHeight="1" x14ac:dyDescent="0.25">
      <c r="B155" s="100"/>
      <c r="E155" s="100"/>
      <c r="F155" s="100"/>
    </row>
    <row r="156" spans="2:6" ht="12.75" customHeight="1" x14ac:dyDescent="0.25">
      <c r="B156" s="100"/>
      <c r="E156" s="100"/>
      <c r="F156" s="100"/>
    </row>
    <row r="157" spans="2:6" ht="12.75" customHeight="1" x14ac:dyDescent="0.25">
      <c r="B157" s="100"/>
      <c r="E157" s="100"/>
      <c r="F157" s="100"/>
    </row>
    <row r="158" spans="2:6" ht="12.75" customHeight="1" x14ac:dyDescent="0.25">
      <c r="B158" s="100"/>
      <c r="E158" s="100"/>
      <c r="F158" s="100"/>
    </row>
    <row r="159" spans="2:6" ht="12.75" customHeight="1" x14ac:dyDescent="0.25">
      <c r="B159" s="100"/>
      <c r="E159" s="100"/>
      <c r="F159" s="100"/>
    </row>
    <row r="160" spans="2:6" ht="12.75" customHeight="1" x14ac:dyDescent="0.25">
      <c r="B160" s="100"/>
      <c r="E160" s="100"/>
      <c r="F160" s="100"/>
    </row>
    <row r="161" spans="2:6" ht="12.75" customHeight="1" x14ac:dyDescent="0.25">
      <c r="B161" s="100"/>
      <c r="E161" s="100"/>
      <c r="F161" s="100"/>
    </row>
    <row r="162" spans="2:6" ht="12.75" customHeight="1" x14ac:dyDescent="0.25">
      <c r="B162" s="100"/>
      <c r="E162" s="100"/>
      <c r="F162" s="100"/>
    </row>
    <row r="163" spans="2:6" ht="12.75" customHeight="1" x14ac:dyDescent="0.25">
      <c r="B163" s="100"/>
      <c r="E163" s="100"/>
      <c r="F163" s="100"/>
    </row>
    <row r="164" spans="2:6" ht="12.75" customHeight="1" x14ac:dyDescent="0.25">
      <c r="B164" s="100"/>
      <c r="E164" s="100"/>
      <c r="F164" s="100"/>
    </row>
    <row r="165" spans="2:6" ht="12.75" customHeight="1" x14ac:dyDescent="0.25">
      <c r="B165" s="100"/>
      <c r="E165" s="100"/>
      <c r="F165" s="100"/>
    </row>
    <row r="166" spans="2:6" ht="12.75" customHeight="1" x14ac:dyDescent="0.25">
      <c r="B166" s="100"/>
      <c r="E166" s="100"/>
      <c r="F166" s="100"/>
    </row>
    <row r="167" spans="2:6" ht="12.75" customHeight="1" x14ac:dyDescent="0.25">
      <c r="B167" s="100"/>
      <c r="E167" s="100"/>
      <c r="F167" s="100"/>
    </row>
    <row r="168" spans="2:6" ht="12.75" customHeight="1" x14ac:dyDescent="0.25">
      <c r="B168" s="100"/>
      <c r="E168" s="100"/>
      <c r="F168" s="100"/>
    </row>
    <row r="169" spans="2:6" ht="12.75" customHeight="1" x14ac:dyDescent="0.25">
      <c r="B169" s="100"/>
      <c r="E169" s="100"/>
      <c r="F169" s="100"/>
    </row>
    <row r="170" spans="2:6" ht="12.75" customHeight="1" x14ac:dyDescent="0.25">
      <c r="B170" s="100"/>
      <c r="E170" s="100"/>
      <c r="F170" s="100"/>
    </row>
    <row r="171" spans="2:6" ht="12.75" customHeight="1" x14ac:dyDescent="0.25">
      <c r="B171" s="100"/>
      <c r="E171" s="100"/>
      <c r="F171" s="100"/>
    </row>
    <row r="172" spans="2:6" ht="12.75" customHeight="1" x14ac:dyDescent="0.25">
      <c r="B172" s="100"/>
      <c r="E172" s="100"/>
      <c r="F172" s="100"/>
    </row>
    <row r="173" spans="2:6" ht="12.75" customHeight="1" x14ac:dyDescent="0.25">
      <c r="B173" s="100"/>
      <c r="E173" s="100"/>
      <c r="F173" s="100"/>
    </row>
    <row r="174" spans="2:6" ht="12.75" customHeight="1" x14ac:dyDescent="0.25">
      <c r="B174" s="100"/>
      <c r="E174" s="100"/>
      <c r="F174" s="100"/>
    </row>
    <row r="175" spans="2:6" ht="12.75" customHeight="1" x14ac:dyDescent="0.25">
      <c r="B175" s="100"/>
      <c r="E175" s="100"/>
      <c r="F175" s="100"/>
    </row>
    <row r="176" spans="2:6" ht="12.75" customHeight="1" x14ac:dyDescent="0.25">
      <c r="B176" s="100"/>
      <c r="E176" s="100"/>
      <c r="F176" s="100"/>
    </row>
    <row r="177" spans="2:6" ht="12.75" customHeight="1" x14ac:dyDescent="0.25">
      <c r="B177" s="100"/>
      <c r="E177" s="100"/>
      <c r="F177" s="100"/>
    </row>
    <row r="178" spans="2:6" ht="12.75" customHeight="1" x14ac:dyDescent="0.25">
      <c r="B178" s="100"/>
      <c r="E178" s="100"/>
      <c r="F178" s="100"/>
    </row>
    <row r="179" spans="2:6" ht="12.75" customHeight="1" x14ac:dyDescent="0.25">
      <c r="B179" s="100"/>
      <c r="E179" s="100"/>
      <c r="F179" s="100"/>
    </row>
    <row r="180" spans="2:6" ht="12.75" customHeight="1" x14ac:dyDescent="0.25">
      <c r="B180" s="100"/>
      <c r="E180" s="100"/>
      <c r="F180" s="100"/>
    </row>
    <row r="181" spans="2:6" ht="12.75" customHeight="1" x14ac:dyDescent="0.25">
      <c r="B181" s="100"/>
      <c r="E181" s="100"/>
      <c r="F181" s="100"/>
    </row>
    <row r="182" spans="2:6" ht="12.75" customHeight="1" x14ac:dyDescent="0.25">
      <c r="B182" s="100"/>
      <c r="E182" s="100"/>
      <c r="F182" s="100"/>
    </row>
    <row r="183" spans="2:6" ht="12.75" customHeight="1" x14ac:dyDescent="0.25">
      <c r="B183" s="100"/>
      <c r="E183" s="100"/>
      <c r="F183" s="100"/>
    </row>
    <row r="184" spans="2:6" ht="12.75" customHeight="1" x14ac:dyDescent="0.25">
      <c r="B184" s="100"/>
      <c r="E184" s="100"/>
      <c r="F184" s="100"/>
    </row>
    <row r="185" spans="2:6" ht="12.75" customHeight="1" x14ac:dyDescent="0.25">
      <c r="B185" s="100"/>
      <c r="E185" s="100"/>
      <c r="F185" s="100"/>
    </row>
    <row r="186" spans="2:6" ht="12.75" customHeight="1" x14ac:dyDescent="0.25">
      <c r="B186" s="100"/>
      <c r="E186" s="100"/>
      <c r="F186" s="100"/>
    </row>
    <row r="187" spans="2:6" ht="12.75" customHeight="1" x14ac:dyDescent="0.25">
      <c r="B187" s="100"/>
      <c r="E187" s="100"/>
      <c r="F187" s="100"/>
    </row>
    <row r="188" spans="2:6" ht="12.75" customHeight="1" x14ac:dyDescent="0.25">
      <c r="B188" s="100"/>
      <c r="E188" s="100"/>
      <c r="F188" s="100"/>
    </row>
    <row r="189" spans="2:6" ht="12.75" customHeight="1" x14ac:dyDescent="0.25">
      <c r="B189" s="100"/>
      <c r="E189" s="100"/>
      <c r="F189" s="100"/>
    </row>
    <row r="190" spans="2:6" ht="12.75" customHeight="1" x14ac:dyDescent="0.25">
      <c r="B190" s="100"/>
      <c r="E190" s="100"/>
      <c r="F190" s="100"/>
    </row>
    <row r="191" spans="2:6" ht="12.75" customHeight="1" x14ac:dyDescent="0.25">
      <c r="B191" s="100"/>
      <c r="E191" s="100"/>
      <c r="F191" s="100"/>
    </row>
    <row r="192" spans="2:6" ht="12.75" customHeight="1" x14ac:dyDescent="0.25">
      <c r="B192" s="100"/>
      <c r="E192" s="100"/>
      <c r="F192" s="100"/>
    </row>
    <row r="193" spans="2:6" ht="12.75" customHeight="1" x14ac:dyDescent="0.25">
      <c r="B193" s="100"/>
      <c r="E193" s="100"/>
      <c r="F193" s="100"/>
    </row>
    <row r="194" spans="2:6" ht="12.75" customHeight="1" x14ac:dyDescent="0.25">
      <c r="B194" s="100"/>
      <c r="E194" s="100"/>
      <c r="F194" s="100"/>
    </row>
    <row r="195" spans="2:6" ht="12.75" customHeight="1" x14ac:dyDescent="0.25">
      <c r="B195" s="100"/>
      <c r="E195" s="100"/>
      <c r="F195" s="100"/>
    </row>
    <row r="196" spans="2:6" ht="12.75" customHeight="1" x14ac:dyDescent="0.25">
      <c r="B196" s="100"/>
      <c r="E196" s="100"/>
      <c r="F196" s="100"/>
    </row>
    <row r="197" spans="2:6" ht="12.75" customHeight="1" x14ac:dyDescent="0.25">
      <c r="B197" s="100"/>
      <c r="E197" s="100"/>
      <c r="F197" s="100"/>
    </row>
    <row r="198" spans="2:6" ht="12.75" customHeight="1" x14ac:dyDescent="0.25">
      <c r="B198" s="100"/>
      <c r="E198" s="100"/>
      <c r="F198" s="100"/>
    </row>
    <row r="199" spans="2:6" ht="12.75" customHeight="1" x14ac:dyDescent="0.25">
      <c r="B199" s="100"/>
      <c r="E199" s="100"/>
      <c r="F199" s="100"/>
    </row>
    <row r="200" spans="2:6" ht="12.75" customHeight="1" x14ac:dyDescent="0.25">
      <c r="B200" s="100"/>
      <c r="E200" s="100"/>
      <c r="F200" s="100"/>
    </row>
    <row r="201" spans="2:6" ht="12.75" customHeight="1" x14ac:dyDescent="0.25">
      <c r="B201" s="100"/>
      <c r="E201" s="100"/>
      <c r="F201" s="100"/>
    </row>
    <row r="202" spans="2:6" ht="12.75" customHeight="1" x14ac:dyDescent="0.25">
      <c r="B202" s="100"/>
      <c r="E202" s="100"/>
      <c r="F202" s="100"/>
    </row>
    <row r="203" spans="2:6" ht="12.75" customHeight="1" x14ac:dyDescent="0.25">
      <c r="B203" s="100"/>
      <c r="E203" s="100"/>
      <c r="F203" s="100"/>
    </row>
    <row r="204" spans="2:6" ht="12.75" customHeight="1" x14ac:dyDescent="0.25">
      <c r="B204" s="100"/>
      <c r="E204" s="100"/>
      <c r="F204" s="100"/>
    </row>
    <row r="205" spans="2:6" ht="12.75" customHeight="1" x14ac:dyDescent="0.25">
      <c r="B205" s="100"/>
      <c r="E205" s="100"/>
      <c r="F205" s="100"/>
    </row>
    <row r="206" spans="2:6" ht="12.75" customHeight="1" x14ac:dyDescent="0.25">
      <c r="B206" s="100"/>
      <c r="E206" s="100"/>
      <c r="F206" s="100"/>
    </row>
    <row r="207" spans="2:6" ht="12.75" customHeight="1" x14ac:dyDescent="0.25">
      <c r="B207" s="100"/>
      <c r="E207" s="100"/>
      <c r="F207" s="100"/>
    </row>
    <row r="208" spans="2:6" ht="12.75" customHeight="1" x14ac:dyDescent="0.25">
      <c r="B208" s="100"/>
      <c r="E208" s="100"/>
      <c r="F208" s="100"/>
    </row>
    <row r="209" spans="2:6" ht="12.75" customHeight="1" x14ac:dyDescent="0.25">
      <c r="B209" s="100"/>
      <c r="E209" s="100"/>
      <c r="F209" s="100"/>
    </row>
    <row r="210" spans="2:6" ht="12.75" customHeight="1" x14ac:dyDescent="0.25">
      <c r="B210" s="100"/>
      <c r="E210" s="100"/>
      <c r="F210" s="100"/>
    </row>
    <row r="211" spans="2:6" ht="12.75" customHeight="1" x14ac:dyDescent="0.25">
      <c r="B211" s="100"/>
      <c r="E211" s="100"/>
      <c r="F211" s="100"/>
    </row>
    <row r="212" spans="2:6" ht="12.75" customHeight="1" x14ac:dyDescent="0.25">
      <c r="B212" s="100"/>
      <c r="E212" s="100"/>
      <c r="F212" s="100"/>
    </row>
    <row r="213" spans="2:6" ht="12.75" customHeight="1" x14ac:dyDescent="0.25">
      <c r="B213" s="100"/>
      <c r="E213" s="100"/>
      <c r="F213" s="100"/>
    </row>
    <row r="214" spans="2:6" ht="12.75" customHeight="1" x14ac:dyDescent="0.25">
      <c r="B214" s="100"/>
      <c r="E214" s="100"/>
      <c r="F214" s="100"/>
    </row>
    <row r="215" spans="2:6" ht="12.75" customHeight="1" x14ac:dyDescent="0.25">
      <c r="B215" s="100"/>
      <c r="E215" s="100"/>
      <c r="F215" s="100"/>
    </row>
    <row r="216" spans="2:6" ht="12.75" customHeight="1" x14ac:dyDescent="0.25">
      <c r="B216" s="100"/>
      <c r="E216" s="100"/>
      <c r="F216" s="100"/>
    </row>
    <row r="217" spans="2:6" ht="12.75" customHeight="1" x14ac:dyDescent="0.25">
      <c r="B217" s="100"/>
      <c r="E217" s="100"/>
      <c r="F217" s="100"/>
    </row>
    <row r="218" spans="2:6" ht="12.75" customHeight="1" x14ac:dyDescent="0.25">
      <c r="B218" s="100"/>
      <c r="E218" s="100"/>
      <c r="F218" s="100"/>
    </row>
    <row r="219" spans="2:6" ht="12.75" customHeight="1" x14ac:dyDescent="0.25">
      <c r="B219" s="100"/>
      <c r="E219" s="100"/>
      <c r="F219" s="100"/>
    </row>
    <row r="220" spans="2:6" ht="12.75" customHeight="1" x14ac:dyDescent="0.25">
      <c r="B220" s="100"/>
      <c r="E220" s="100"/>
      <c r="F220" s="100"/>
    </row>
    <row r="221" spans="2:6" ht="12.75" customHeight="1" x14ac:dyDescent="0.25">
      <c r="B221" s="100"/>
      <c r="E221" s="100"/>
      <c r="F221" s="100"/>
    </row>
    <row r="222" spans="2:6" ht="12.75" customHeight="1" x14ac:dyDescent="0.25">
      <c r="B222" s="100"/>
      <c r="E222" s="100"/>
      <c r="F222" s="100"/>
    </row>
    <row r="223" spans="2:6" ht="12.75" customHeight="1" x14ac:dyDescent="0.25">
      <c r="B223" s="100"/>
      <c r="E223" s="100"/>
      <c r="F223" s="100"/>
    </row>
    <row r="224" spans="2:6" ht="12.75" customHeight="1" x14ac:dyDescent="0.25">
      <c r="B224" s="100"/>
      <c r="E224" s="100"/>
      <c r="F224" s="100"/>
    </row>
    <row r="225" spans="2:6" ht="12.75" customHeight="1" x14ac:dyDescent="0.25">
      <c r="B225" s="100"/>
      <c r="E225" s="100"/>
      <c r="F225" s="100"/>
    </row>
    <row r="226" spans="2:6" ht="12.75" customHeight="1" x14ac:dyDescent="0.25">
      <c r="B226" s="100"/>
      <c r="E226" s="100"/>
      <c r="F226" s="100"/>
    </row>
    <row r="227" spans="2:6" ht="12.75" customHeight="1" x14ac:dyDescent="0.25">
      <c r="B227" s="100"/>
      <c r="E227" s="100"/>
      <c r="F227" s="100"/>
    </row>
    <row r="228" spans="2:6" ht="12.75" customHeight="1" x14ac:dyDescent="0.25">
      <c r="B228" s="100"/>
      <c r="E228" s="100"/>
      <c r="F228" s="100"/>
    </row>
    <row r="229" spans="2:6" ht="12.75" customHeight="1" x14ac:dyDescent="0.25">
      <c r="B229" s="100"/>
      <c r="E229" s="100"/>
      <c r="F229" s="100"/>
    </row>
    <row r="230" spans="2:6" ht="12.75" customHeight="1" x14ac:dyDescent="0.25">
      <c r="B230" s="100"/>
      <c r="E230" s="100"/>
      <c r="F230" s="100"/>
    </row>
    <row r="231" spans="2:6" ht="12.75" customHeight="1" x14ac:dyDescent="0.25">
      <c r="B231" s="100"/>
      <c r="E231" s="100"/>
      <c r="F231" s="100"/>
    </row>
    <row r="232" spans="2:6" ht="12.75" customHeight="1" x14ac:dyDescent="0.25">
      <c r="B232" s="100"/>
      <c r="E232" s="100"/>
      <c r="F232" s="100"/>
    </row>
    <row r="233" spans="2:6" ht="12.75" customHeight="1" x14ac:dyDescent="0.25">
      <c r="B233" s="100"/>
      <c r="E233" s="100"/>
      <c r="F233" s="100"/>
    </row>
    <row r="234" spans="2:6" ht="12.75" customHeight="1" x14ac:dyDescent="0.25">
      <c r="B234" s="100"/>
      <c r="E234" s="100"/>
      <c r="F234" s="100"/>
    </row>
    <row r="235" spans="2:6" ht="12.75" customHeight="1" x14ac:dyDescent="0.25">
      <c r="B235" s="100"/>
      <c r="E235" s="100"/>
      <c r="F235" s="100"/>
    </row>
    <row r="236" spans="2:6" ht="12.75" customHeight="1" x14ac:dyDescent="0.25">
      <c r="B236" s="100"/>
      <c r="E236" s="100"/>
      <c r="F236" s="100"/>
    </row>
    <row r="237" spans="2:6" ht="12.75" customHeight="1" x14ac:dyDescent="0.25">
      <c r="B237" s="100"/>
      <c r="E237" s="100"/>
      <c r="F237" s="100"/>
    </row>
    <row r="238" spans="2:6" ht="12.75" customHeight="1" x14ac:dyDescent="0.25">
      <c r="B238" s="100"/>
      <c r="E238" s="100"/>
      <c r="F238" s="100"/>
    </row>
    <row r="239" spans="2:6" ht="12.75" customHeight="1" x14ac:dyDescent="0.25">
      <c r="B239" s="100"/>
      <c r="E239" s="100"/>
      <c r="F239" s="100"/>
    </row>
    <row r="240" spans="2:6" ht="12.75" customHeight="1" x14ac:dyDescent="0.25">
      <c r="B240" s="100"/>
      <c r="E240" s="100"/>
      <c r="F240" s="100"/>
    </row>
    <row r="241" spans="2:6" ht="12.75" customHeight="1" x14ac:dyDescent="0.25">
      <c r="B241" s="100"/>
      <c r="E241" s="100"/>
      <c r="F241" s="100"/>
    </row>
    <row r="242" spans="2:6" ht="12.75" customHeight="1" x14ac:dyDescent="0.25">
      <c r="B242" s="100"/>
      <c r="E242" s="100"/>
      <c r="F242" s="100"/>
    </row>
    <row r="243" spans="2:6" ht="12.75" customHeight="1" x14ac:dyDescent="0.25">
      <c r="B243" s="100"/>
      <c r="E243" s="100"/>
      <c r="F243" s="100"/>
    </row>
    <row r="244" spans="2:6" ht="12.75" customHeight="1" x14ac:dyDescent="0.25">
      <c r="B244" s="100"/>
      <c r="E244" s="100"/>
      <c r="F244" s="100"/>
    </row>
    <row r="245" spans="2:6" ht="12.75" customHeight="1" x14ac:dyDescent="0.25">
      <c r="B245" s="100"/>
      <c r="E245" s="100"/>
      <c r="F245" s="100"/>
    </row>
    <row r="246" spans="2:6" ht="12.75" customHeight="1" x14ac:dyDescent="0.25">
      <c r="B246" s="100"/>
      <c r="E246" s="100"/>
      <c r="F246" s="100"/>
    </row>
    <row r="247" spans="2:6" ht="12.75" customHeight="1" x14ac:dyDescent="0.25">
      <c r="B247" s="100"/>
      <c r="E247" s="100"/>
      <c r="F247" s="100"/>
    </row>
    <row r="248" spans="2:6" ht="12.75" customHeight="1" x14ac:dyDescent="0.25">
      <c r="B248" s="100"/>
      <c r="E248" s="100"/>
      <c r="F248" s="100"/>
    </row>
    <row r="249" spans="2:6" ht="12.75" customHeight="1" x14ac:dyDescent="0.25">
      <c r="B249" s="100"/>
      <c r="E249" s="100"/>
      <c r="F249" s="100"/>
    </row>
    <row r="250" spans="2:6" ht="12.75" customHeight="1" x14ac:dyDescent="0.25">
      <c r="B250" s="100"/>
      <c r="E250" s="100"/>
      <c r="F250" s="100"/>
    </row>
    <row r="251" spans="2:6" ht="12.75" customHeight="1" x14ac:dyDescent="0.25">
      <c r="B251" s="100"/>
      <c r="E251" s="100"/>
      <c r="F251" s="100"/>
    </row>
    <row r="252" spans="2:6" ht="12.75" customHeight="1" x14ac:dyDescent="0.25">
      <c r="B252" s="100"/>
      <c r="E252" s="100"/>
      <c r="F252" s="100"/>
    </row>
    <row r="253" spans="2:6" ht="12.75" customHeight="1" x14ac:dyDescent="0.25">
      <c r="B253" s="100"/>
      <c r="E253" s="100"/>
      <c r="F253" s="100"/>
    </row>
    <row r="254" spans="2:6" ht="12.75" customHeight="1" x14ac:dyDescent="0.25">
      <c r="B254" s="100"/>
      <c r="E254" s="100"/>
      <c r="F254" s="100"/>
    </row>
    <row r="255" spans="2:6" ht="12.75" customHeight="1" x14ac:dyDescent="0.25">
      <c r="B255" s="100"/>
      <c r="E255" s="100"/>
      <c r="F255" s="100"/>
    </row>
    <row r="256" spans="2:6" ht="12.75" customHeight="1" x14ac:dyDescent="0.25">
      <c r="B256" s="100"/>
      <c r="E256" s="100"/>
      <c r="F256" s="100"/>
    </row>
    <row r="257" spans="2:6" ht="12.75" customHeight="1" x14ac:dyDescent="0.25">
      <c r="B257" s="100"/>
      <c r="E257" s="100"/>
      <c r="F257" s="100"/>
    </row>
    <row r="258" spans="2:6" ht="12.75" customHeight="1" x14ac:dyDescent="0.25">
      <c r="B258" s="100"/>
      <c r="E258" s="100"/>
      <c r="F258" s="100"/>
    </row>
    <row r="259" spans="2:6" ht="12.75" customHeight="1" x14ac:dyDescent="0.25">
      <c r="B259" s="100"/>
      <c r="E259" s="100"/>
      <c r="F259" s="100"/>
    </row>
    <row r="260" spans="2:6" ht="12.75" customHeight="1" x14ac:dyDescent="0.25">
      <c r="B260" s="100"/>
      <c r="E260" s="100"/>
      <c r="F260" s="100"/>
    </row>
    <row r="261" spans="2:6" ht="12.75" customHeight="1" x14ac:dyDescent="0.25">
      <c r="B261" s="100"/>
      <c r="E261" s="100"/>
      <c r="F261" s="100"/>
    </row>
    <row r="262" spans="2:6" ht="12.75" customHeight="1" x14ac:dyDescent="0.25">
      <c r="B262" s="100"/>
      <c r="E262" s="100"/>
      <c r="F262" s="100"/>
    </row>
    <row r="263" spans="2:6" ht="12.75" customHeight="1" x14ac:dyDescent="0.25">
      <c r="B263" s="100"/>
      <c r="E263" s="100"/>
      <c r="F263" s="100"/>
    </row>
    <row r="264" spans="2:6" ht="12.75" customHeight="1" x14ac:dyDescent="0.25">
      <c r="B264" s="100"/>
      <c r="E264" s="100"/>
      <c r="F264" s="100"/>
    </row>
    <row r="265" spans="2:6" ht="12.75" customHeight="1" x14ac:dyDescent="0.25">
      <c r="B265" s="100"/>
      <c r="E265" s="100"/>
      <c r="F265" s="100"/>
    </row>
    <row r="266" spans="2:6" ht="12.75" customHeight="1" x14ac:dyDescent="0.25">
      <c r="B266" s="100"/>
      <c r="E266" s="100"/>
      <c r="F266" s="100"/>
    </row>
    <row r="267" spans="2:6" ht="12.75" customHeight="1" x14ac:dyDescent="0.25">
      <c r="B267" s="100"/>
      <c r="E267" s="100"/>
      <c r="F267" s="100"/>
    </row>
    <row r="268" spans="2:6" ht="12.75" customHeight="1" x14ac:dyDescent="0.25">
      <c r="B268" s="100"/>
      <c r="E268" s="100"/>
      <c r="F268" s="100"/>
    </row>
    <row r="269" spans="2:6" ht="12.75" customHeight="1" x14ac:dyDescent="0.25">
      <c r="B269" s="100"/>
      <c r="E269" s="100"/>
      <c r="F269" s="100"/>
    </row>
    <row r="270" spans="2:6" ht="12.75" customHeight="1" x14ac:dyDescent="0.25">
      <c r="B270" s="100"/>
      <c r="E270" s="100"/>
      <c r="F270" s="100"/>
    </row>
    <row r="271" spans="2:6" ht="12.75" customHeight="1" x14ac:dyDescent="0.25">
      <c r="B271" s="100"/>
      <c r="E271" s="100"/>
      <c r="F271" s="100"/>
    </row>
    <row r="272" spans="2:6" ht="12.75" customHeight="1" x14ac:dyDescent="0.25">
      <c r="B272" s="100"/>
      <c r="E272" s="100"/>
      <c r="F272" s="100"/>
    </row>
    <row r="273" spans="2:6" ht="12.75" customHeight="1" x14ac:dyDescent="0.25">
      <c r="B273" s="100"/>
      <c r="E273" s="100"/>
      <c r="F273" s="100"/>
    </row>
    <row r="274" spans="2:6" ht="12.75" customHeight="1" x14ac:dyDescent="0.25">
      <c r="B274" s="100"/>
      <c r="E274" s="100"/>
      <c r="F274" s="100"/>
    </row>
    <row r="275" spans="2:6" ht="12.75" customHeight="1" x14ac:dyDescent="0.25">
      <c r="B275" s="100"/>
      <c r="E275" s="100"/>
      <c r="F275" s="100"/>
    </row>
    <row r="276" spans="2:6" ht="12.75" customHeight="1" x14ac:dyDescent="0.25">
      <c r="B276" s="100"/>
      <c r="E276" s="100"/>
      <c r="F276" s="100"/>
    </row>
    <row r="277" spans="2:6" ht="12.75" customHeight="1" x14ac:dyDescent="0.25">
      <c r="B277" s="100"/>
      <c r="E277" s="100"/>
      <c r="F277" s="100"/>
    </row>
    <row r="278" spans="2:6" ht="12.75" customHeight="1" x14ac:dyDescent="0.25">
      <c r="B278" s="100"/>
      <c r="E278" s="100"/>
      <c r="F278" s="100"/>
    </row>
    <row r="279" spans="2:6" ht="12.75" customHeight="1" x14ac:dyDescent="0.25">
      <c r="B279" s="100"/>
      <c r="E279" s="100"/>
      <c r="F279" s="100"/>
    </row>
    <row r="280" spans="2:6" ht="12.75" customHeight="1" x14ac:dyDescent="0.25">
      <c r="B280" s="100"/>
      <c r="E280" s="100"/>
      <c r="F280" s="100"/>
    </row>
    <row r="281" spans="2:6" ht="12.75" customHeight="1" x14ac:dyDescent="0.25">
      <c r="B281" s="100"/>
      <c r="E281" s="100"/>
      <c r="F281" s="100"/>
    </row>
    <row r="282" spans="2:6" ht="12.75" customHeight="1" x14ac:dyDescent="0.25">
      <c r="B282" s="100"/>
      <c r="E282" s="100"/>
      <c r="F282" s="100"/>
    </row>
    <row r="283" spans="2:6" ht="12.75" customHeight="1" x14ac:dyDescent="0.25">
      <c r="B283" s="100"/>
      <c r="E283" s="100"/>
      <c r="F283" s="100"/>
    </row>
    <row r="284" spans="2:6" ht="12.75" customHeight="1" x14ac:dyDescent="0.25">
      <c r="B284" s="100"/>
      <c r="E284" s="100"/>
      <c r="F284" s="100"/>
    </row>
    <row r="285" spans="2:6" ht="12.75" customHeight="1" x14ac:dyDescent="0.25">
      <c r="B285" s="100"/>
      <c r="E285" s="100"/>
      <c r="F285" s="100"/>
    </row>
    <row r="286" spans="2:6" ht="12.75" customHeight="1" x14ac:dyDescent="0.25">
      <c r="B286" s="100"/>
      <c r="E286" s="100"/>
      <c r="F286" s="100"/>
    </row>
    <row r="287" spans="2:6" ht="12.75" customHeight="1" x14ac:dyDescent="0.25">
      <c r="B287" s="100"/>
      <c r="E287" s="100"/>
      <c r="F287" s="100"/>
    </row>
    <row r="288" spans="2:6" ht="12.75" customHeight="1" x14ac:dyDescent="0.25">
      <c r="B288" s="100"/>
      <c r="E288" s="100"/>
      <c r="F288" s="100"/>
    </row>
    <row r="289" spans="2:6" ht="12.75" customHeight="1" x14ac:dyDescent="0.25">
      <c r="B289" s="100"/>
      <c r="E289" s="100"/>
      <c r="F289" s="100"/>
    </row>
    <row r="290" spans="2:6" ht="12.75" customHeight="1" x14ac:dyDescent="0.25">
      <c r="B290" s="100"/>
      <c r="E290" s="100"/>
      <c r="F290" s="100"/>
    </row>
    <row r="291" spans="2:6" ht="12.75" customHeight="1" x14ac:dyDescent="0.25">
      <c r="B291" s="100"/>
      <c r="E291" s="100"/>
      <c r="F291" s="100"/>
    </row>
    <row r="292" spans="2:6" ht="12.75" customHeight="1" x14ac:dyDescent="0.25">
      <c r="B292" s="100"/>
      <c r="E292" s="100"/>
      <c r="F292" s="100"/>
    </row>
    <row r="293" spans="2:6" ht="12.75" customHeight="1" x14ac:dyDescent="0.25">
      <c r="B293" s="100"/>
      <c r="E293" s="100"/>
      <c r="F293" s="100"/>
    </row>
    <row r="294" spans="2:6" ht="12.75" customHeight="1" x14ac:dyDescent="0.25">
      <c r="B294" s="100"/>
      <c r="E294" s="100"/>
      <c r="F294" s="100"/>
    </row>
    <row r="295" spans="2:6" ht="12.75" customHeight="1" x14ac:dyDescent="0.25">
      <c r="B295" s="100"/>
      <c r="E295" s="100"/>
      <c r="F295" s="100"/>
    </row>
    <row r="296" spans="2:6" ht="12.75" customHeight="1" x14ac:dyDescent="0.25">
      <c r="B296" s="100"/>
      <c r="E296" s="100"/>
      <c r="F296" s="100"/>
    </row>
    <row r="297" spans="2:6" ht="12.75" customHeight="1" x14ac:dyDescent="0.25">
      <c r="B297" s="100"/>
      <c r="E297" s="100"/>
      <c r="F297" s="100"/>
    </row>
    <row r="298" spans="2:6" ht="12.75" customHeight="1" x14ac:dyDescent="0.25">
      <c r="B298" s="100"/>
      <c r="E298" s="100"/>
      <c r="F298" s="100"/>
    </row>
    <row r="299" spans="2:6" ht="12.75" customHeight="1" x14ac:dyDescent="0.25">
      <c r="B299" s="100"/>
      <c r="E299" s="100"/>
      <c r="F299" s="100"/>
    </row>
    <row r="300" spans="2:6" ht="12.75" customHeight="1" x14ac:dyDescent="0.25">
      <c r="B300" s="100"/>
      <c r="E300" s="100"/>
      <c r="F300" s="100"/>
    </row>
    <row r="301" spans="2:6" ht="12.75" customHeight="1" x14ac:dyDescent="0.25">
      <c r="B301" s="100"/>
      <c r="E301" s="100"/>
      <c r="F301" s="100"/>
    </row>
    <row r="302" spans="2:6" ht="12.75" customHeight="1" x14ac:dyDescent="0.25">
      <c r="B302" s="100"/>
      <c r="E302" s="100"/>
      <c r="F302" s="100"/>
    </row>
    <row r="303" spans="2:6" ht="12.75" customHeight="1" x14ac:dyDescent="0.25">
      <c r="B303" s="100"/>
      <c r="E303" s="100"/>
      <c r="F303" s="100"/>
    </row>
    <row r="304" spans="2:6" ht="12.75" customHeight="1" x14ac:dyDescent="0.25">
      <c r="B304" s="100"/>
      <c r="E304" s="100"/>
      <c r="F304" s="100"/>
    </row>
    <row r="305" spans="2:6" ht="12.75" customHeight="1" x14ac:dyDescent="0.25">
      <c r="B305" s="100"/>
      <c r="E305" s="100"/>
      <c r="F305" s="100"/>
    </row>
    <row r="306" spans="2:6" ht="12.75" customHeight="1" x14ac:dyDescent="0.25">
      <c r="B306" s="100"/>
      <c r="E306" s="100"/>
      <c r="F306" s="100"/>
    </row>
    <row r="307" spans="2:6" ht="12.75" customHeight="1" x14ac:dyDescent="0.25">
      <c r="B307" s="100"/>
      <c r="E307" s="100"/>
      <c r="F307" s="100"/>
    </row>
    <row r="308" spans="2:6" ht="12.75" customHeight="1" x14ac:dyDescent="0.25">
      <c r="B308" s="100"/>
      <c r="E308" s="100"/>
      <c r="F308" s="100"/>
    </row>
    <row r="309" spans="2:6" ht="12.75" customHeight="1" x14ac:dyDescent="0.25">
      <c r="B309" s="100"/>
      <c r="E309" s="100"/>
      <c r="F309" s="100"/>
    </row>
    <row r="310" spans="2:6" ht="12.75" customHeight="1" x14ac:dyDescent="0.25">
      <c r="B310" s="100"/>
      <c r="E310" s="100"/>
      <c r="F310" s="100"/>
    </row>
    <row r="311" spans="2:6" ht="12.75" customHeight="1" x14ac:dyDescent="0.25">
      <c r="B311" s="100"/>
      <c r="E311" s="100"/>
      <c r="F311" s="100"/>
    </row>
    <row r="312" spans="2:6" ht="12.75" customHeight="1" x14ac:dyDescent="0.25">
      <c r="B312" s="100"/>
      <c r="E312" s="100"/>
      <c r="F312" s="100"/>
    </row>
    <row r="313" spans="2:6" ht="12.75" customHeight="1" x14ac:dyDescent="0.25">
      <c r="B313" s="100"/>
      <c r="E313" s="100"/>
      <c r="F313" s="100"/>
    </row>
    <row r="314" spans="2:6" ht="12.75" customHeight="1" x14ac:dyDescent="0.25">
      <c r="B314" s="100"/>
      <c r="E314" s="100"/>
      <c r="F314" s="100"/>
    </row>
    <row r="315" spans="2:6" ht="12.75" customHeight="1" x14ac:dyDescent="0.25">
      <c r="B315" s="100"/>
      <c r="E315" s="100"/>
      <c r="F315" s="100"/>
    </row>
    <row r="316" spans="2:6" ht="12.75" customHeight="1" x14ac:dyDescent="0.25">
      <c r="B316" s="100"/>
      <c r="E316" s="100"/>
      <c r="F316" s="100"/>
    </row>
    <row r="317" spans="2:6" ht="12.75" customHeight="1" x14ac:dyDescent="0.25">
      <c r="B317" s="100"/>
      <c r="E317" s="100"/>
      <c r="F317" s="100"/>
    </row>
    <row r="318" spans="2:6" ht="12.75" customHeight="1" x14ac:dyDescent="0.25">
      <c r="B318" s="100"/>
      <c r="E318" s="100"/>
      <c r="F318" s="100"/>
    </row>
    <row r="319" spans="2:6" ht="12.75" customHeight="1" x14ac:dyDescent="0.25">
      <c r="B319" s="100"/>
      <c r="E319" s="100"/>
      <c r="F319" s="100"/>
    </row>
    <row r="320" spans="2:6" ht="12.75" customHeight="1" x14ac:dyDescent="0.25">
      <c r="B320" s="100"/>
      <c r="E320" s="100"/>
      <c r="F320" s="100"/>
    </row>
    <row r="321" spans="2:6" ht="12.75" customHeight="1" x14ac:dyDescent="0.25">
      <c r="B321" s="100"/>
      <c r="E321" s="100"/>
      <c r="F321" s="100"/>
    </row>
    <row r="322" spans="2:6" ht="12.75" customHeight="1" x14ac:dyDescent="0.25">
      <c r="B322" s="100"/>
      <c r="E322" s="100"/>
      <c r="F322" s="100"/>
    </row>
    <row r="323" spans="2:6" ht="12.75" customHeight="1" x14ac:dyDescent="0.25">
      <c r="B323" s="100"/>
      <c r="E323" s="100"/>
      <c r="F323" s="100"/>
    </row>
    <row r="324" spans="2:6" ht="12.75" customHeight="1" x14ac:dyDescent="0.25">
      <c r="B324" s="100"/>
      <c r="E324" s="100"/>
      <c r="F324" s="100"/>
    </row>
    <row r="325" spans="2:6" ht="12.75" customHeight="1" x14ac:dyDescent="0.25">
      <c r="B325" s="100"/>
      <c r="E325" s="100"/>
      <c r="F325" s="100"/>
    </row>
    <row r="326" spans="2:6" ht="12.75" customHeight="1" x14ac:dyDescent="0.25">
      <c r="B326" s="100"/>
      <c r="E326" s="100"/>
      <c r="F326" s="100"/>
    </row>
    <row r="327" spans="2:6" ht="12.75" customHeight="1" x14ac:dyDescent="0.25">
      <c r="B327" s="100"/>
      <c r="E327" s="100"/>
      <c r="F327" s="100"/>
    </row>
    <row r="328" spans="2:6" ht="12.75" customHeight="1" x14ac:dyDescent="0.25">
      <c r="B328" s="100"/>
      <c r="E328" s="100"/>
      <c r="F328" s="100"/>
    </row>
    <row r="329" spans="2:6" ht="12.75" customHeight="1" x14ac:dyDescent="0.25">
      <c r="B329" s="100"/>
      <c r="E329" s="100"/>
      <c r="F329" s="100"/>
    </row>
    <row r="330" spans="2:6" ht="12.75" customHeight="1" x14ac:dyDescent="0.25">
      <c r="B330" s="100"/>
      <c r="E330" s="100"/>
      <c r="F330" s="100"/>
    </row>
    <row r="331" spans="2:6" ht="12.75" customHeight="1" x14ac:dyDescent="0.25">
      <c r="B331" s="100"/>
      <c r="E331" s="100"/>
      <c r="F331" s="100"/>
    </row>
    <row r="332" spans="2:6" ht="12.75" customHeight="1" x14ac:dyDescent="0.25">
      <c r="B332" s="100"/>
      <c r="E332" s="100"/>
      <c r="F332" s="100"/>
    </row>
    <row r="333" spans="2:6" ht="12.75" customHeight="1" x14ac:dyDescent="0.25">
      <c r="B333" s="100"/>
      <c r="E333" s="100"/>
      <c r="F333" s="100"/>
    </row>
    <row r="334" spans="2:6" ht="12.75" customHeight="1" x14ac:dyDescent="0.25">
      <c r="B334" s="100"/>
      <c r="E334" s="100"/>
      <c r="F334" s="100"/>
    </row>
    <row r="335" spans="2:6" ht="12.75" customHeight="1" x14ac:dyDescent="0.25">
      <c r="B335" s="100"/>
      <c r="E335" s="100"/>
      <c r="F335" s="100"/>
    </row>
    <row r="336" spans="2:6" ht="12.75" customHeight="1" x14ac:dyDescent="0.25">
      <c r="B336" s="100"/>
      <c r="E336" s="100"/>
      <c r="F336" s="100"/>
    </row>
    <row r="337" spans="2:6" ht="12.75" customHeight="1" x14ac:dyDescent="0.25">
      <c r="B337" s="100"/>
      <c r="E337" s="100"/>
      <c r="F337" s="100"/>
    </row>
    <row r="338" spans="2:6" ht="12.75" customHeight="1" x14ac:dyDescent="0.25">
      <c r="B338" s="100"/>
      <c r="E338" s="100"/>
      <c r="F338" s="100"/>
    </row>
    <row r="339" spans="2:6" ht="12.75" customHeight="1" x14ac:dyDescent="0.25">
      <c r="B339" s="100"/>
      <c r="E339" s="100"/>
      <c r="F339" s="100"/>
    </row>
    <row r="340" spans="2:6" ht="12.75" customHeight="1" x14ac:dyDescent="0.25">
      <c r="B340" s="100"/>
      <c r="E340" s="100"/>
      <c r="F340" s="100"/>
    </row>
    <row r="341" spans="2:6" ht="12.75" customHeight="1" x14ac:dyDescent="0.25">
      <c r="B341" s="100"/>
      <c r="E341" s="100"/>
      <c r="F341" s="100"/>
    </row>
    <row r="342" spans="2:6" ht="12.75" customHeight="1" x14ac:dyDescent="0.25">
      <c r="B342" s="100"/>
      <c r="E342" s="100"/>
      <c r="F342" s="100"/>
    </row>
    <row r="343" spans="2:6" ht="12.75" customHeight="1" x14ac:dyDescent="0.25">
      <c r="B343" s="100"/>
      <c r="E343" s="100"/>
      <c r="F343" s="100"/>
    </row>
    <row r="344" spans="2:6" ht="12.75" customHeight="1" x14ac:dyDescent="0.25">
      <c r="B344" s="100"/>
      <c r="E344" s="100"/>
      <c r="F344" s="100"/>
    </row>
    <row r="345" spans="2:6" ht="12.75" customHeight="1" x14ac:dyDescent="0.25">
      <c r="B345" s="100"/>
      <c r="E345" s="100"/>
      <c r="F345" s="100"/>
    </row>
    <row r="346" spans="2:6" ht="12.75" customHeight="1" x14ac:dyDescent="0.25">
      <c r="B346" s="100"/>
      <c r="E346" s="100"/>
      <c r="F346" s="100"/>
    </row>
    <row r="347" spans="2:6" ht="12.75" customHeight="1" x14ac:dyDescent="0.25">
      <c r="B347" s="100"/>
      <c r="E347" s="100"/>
      <c r="F347" s="100"/>
    </row>
    <row r="348" spans="2:6" ht="12.75" customHeight="1" x14ac:dyDescent="0.25">
      <c r="B348" s="100"/>
      <c r="E348" s="100"/>
      <c r="F348" s="100"/>
    </row>
    <row r="349" spans="2:6" ht="12.75" customHeight="1" x14ac:dyDescent="0.25">
      <c r="B349" s="100"/>
      <c r="E349" s="100"/>
      <c r="F349" s="100"/>
    </row>
    <row r="350" spans="2:6" ht="12.75" customHeight="1" x14ac:dyDescent="0.25">
      <c r="B350" s="100"/>
      <c r="E350" s="100"/>
      <c r="F350" s="100"/>
    </row>
    <row r="351" spans="2:6" ht="12.75" customHeight="1" x14ac:dyDescent="0.25">
      <c r="B351" s="100"/>
      <c r="E351" s="100"/>
      <c r="F351" s="100"/>
    </row>
    <row r="352" spans="2:6" ht="12.75" customHeight="1" x14ac:dyDescent="0.25">
      <c r="B352" s="100"/>
      <c r="E352" s="100"/>
      <c r="F352" s="100"/>
    </row>
    <row r="353" spans="2:6" ht="12.75" customHeight="1" x14ac:dyDescent="0.25">
      <c r="B353" s="100"/>
      <c r="E353" s="100"/>
      <c r="F353" s="100"/>
    </row>
    <row r="354" spans="2:6" ht="12.75" customHeight="1" x14ac:dyDescent="0.25">
      <c r="B354" s="100"/>
      <c r="E354" s="100"/>
      <c r="F354" s="100"/>
    </row>
    <row r="355" spans="2:6" ht="12.75" customHeight="1" x14ac:dyDescent="0.25">
      <c r="B355" s="100"/>
      <c r="E355" s="100"/>
      <c r="F355" s="100"/>
    </row>
    <row r="356" spans="2:6" ht="12.75" customHeight="1" x14ac:dyDescent="0.25">
      <c r="B356" s="100"/>
      <c r="E356" s="100"/>
      <c r="F356" s="100"/>
    </row>
    <row r="357" spans="2:6" ht="12.75" customHeight="1" x14ac:dyDescent="0.25">
      <c r="B357" s="100"/>
      <c r="E357" s="100"/>
      <c r="F357" s="100"/>
    </row>
    <row r="358" spans="2:6" ht="12.75" customHeight="1" x14ac:dyDescent="0.25">
      <c r="B358" s="100"/>
      <c r="E358" s="100"/>
      <c r="F358" s="100"/>
    </row>
    <row r="359" spans="2:6" ht="12.75" customHeight="1" x14ac:dyDescent="0.25">
      <c r="B359" s="100"/>
      <c r="E359" s="100"/>
      <c r="F359" s="100"/>
    </row>
    <row r="360" spans="2:6" ht="12.75" customHeight="1" x14ac:dyDescent="0.25">
      <c r="B360" s="100"/>
      <c r="E360" s="100"/>
      <c r="F360" s="100"/>
    </row>
    <row r="361" spans="2:6" ht="12.75" customHeight="1" x14ac:dyDescent="0.25">
      <c r="B361" s="100"/>
      <c r="E361" s="100"/>
      <c r="F361" s="100"/>
    </row>
    <row r="362" spans="2:6" ht="12.75" customHeight="1" x14ac:dyDescent="0.25">
      <c r="B362" s="100"/>
      <c r="E362" s="100"/>
      <c r="F362" s="100"/>
    </row>
    <row r="363" spans="2:6" ht="12.75" customHeight="1" x14ac:dyDescent="0.25">
      <c r="B363" s="100"/>
      <c r="E363" s="100"/>
      <c r="F363" s="100"/>
    </row>
    <row r="364" spans="2:6" ht="12.75" customHeight="1" x14ac:dyDescent="0.25">
      <c r="B364" s="100"/>
      <c r="E364" s="100"/>
      <c r="F364" s="100"/>
    </row>
    <row r="365" spans="2:6" ht="12.75" customHeight="1" x14ac:dyDescent="0.25">
      <c r="B365" s="100"/>
      <c r="E365" s="100"/>
      <c r="F365" s="100"/>
    </row>
    <row r="366" spans="2:6" ht="12.75" customHeight="1" x14ac:dyDescent="0.25">
      <c r="B366" s="100"/>
      <c r="E366" s="100"/>
      <c r="F366" s="100"/>
    </row>
    <row r="367" spans="2:6" ht="12.75" customHeight="1" x14ac:dyDescent="0.25">
      <c r="B367" s="100"/>
      <c r="E367" s="100"/>
      <c r="F367" s="100"/>
    </row>
    <row r="368" spans="2:6" ht="12.75" customHeight="1" x14ac:dyDescent="0.25">
      <c r="B368" s="100"/>
      <c r="E368" s="100"/>
      <c r="F368" s="100"/>
    </row>
    <row r="369" spans="2:6" ht="12.75" customHeight="1" x14ac:dyDescent="0.25">
      <c r="B369" s="100"/>
      <c r="E369" s="100"/>
      <c r="F369" s="100"/>
    </row>
    <row r="370" spans="2:6" ht="12.75" customHeight="1" x14ac:dyDescent="0.25">
      <c r="B370" s="100"/>
      <c r="E370" s="100"/>
      <c r="F370" s="100"/>
    </row>
    <row r="371" spans="2:6" ht="12.75" customHeight="1" x14ac:dyDescent="0.25">
      <c r="B371" s="100"/>
      <c r="E371" s="100"/>
      <c r="F371" s="100"/>
    </row>
    <row r="372" spans="2:6" ht="12.75" customHeight="1" x14ac:dyDescent="0.25">
      <c r="B372" s="100"/>
      <c r="E372" s="100"/>
      <c r="F372" s="100"/>
    </row>
    <row r="373" spans="2:6" ht="12.75" customHeight="1" x14ac:dyDescent="0.25">
      <c r="B373" s="100"/>
      <c r="E373" s="100"/>
      <c r="F373" s="100"/>
    </row>
    <row r="374" spans="2:6" ht="12.75" customHeight="1" x14ac:dyDescent="0.25">
      <c r="B374" s="100"/>
      <c r="E374" s="100"/>
      <c r="F374" s="100"/>
    </row>
    <row r="375" spans="2:6" ht="12.75" customHeight="1" x14ac:dyDescent="0.25">
      <c r="B375" s="100"/>
      <c r="E375" s="100"/>
      <c r="F375" s="100"/>
    </row>
    <row r="376" spans="2:6" ht="12.75" customHeight="1" x14ac:dyDescent="0.25">
      <c r="B376" s="100"/>
      <c r="E376" s="100"/>
      <c r="F376" s="100"/>
    </row>
    <row r="377" spans="2:6" ht="12.75" customHeight="1" x14ac:dyDescent="0.25">
      <c r="B377" s="100"/>
      <c r="E377" s="100"/>
      <c r="F377" s="100"/>
    </row>
    <row r="378" spans="2:6" ht="12.75" customHeight="1" x14ac:dyDescent="0.25">
      <c r="B378" s="100"/>
      <c r="E378" s="100"/>
      <c r="F378" s="100"/>
    </row>
    <row r="379" spans="2:6" ht="12.75" customHeight="1" x14ac:dyDescent="0.25">
      <c r="B379" s="100"/>
      <c r="E379" s="100"/>
      <c r="F379" s="100"/>
    </row>
    <row r="380" spans="2:6" ht="12.75" customHeight="1" x14ac:dyDescent="0.25">
      <c r="B380" s="100"/>
      <c r="E380" s="100"/>
      <c r="F380" s="100"/>
    </row>
    <row r="381" spans="2:6" ht="12.75" customHeight="1" x14ac:dyDescent="0.25">
      <c r="B381" s="100"/>
      <c r="E381" s="100"/>
      <c r="F381" s="100"/>
    </row>
    <row r="382" spans="2:6" ht="12.75" customHeight="1" x14ac:dyDescent="0.25">
      <c r="B382" s="100"/>
      <c r="E382" s="100"/>
      <c r="F382" s="100"/>
    </row>
    <row r="383" spans="2:6" ht="12.75" customHeight="1" x14ac:dyDescent="0.25">
      <c r="B383" s="100"/>
      <c r="E383" s="100"/>
      <c r="F383" s="100"/>
    </row>
    <row r="384" spans="2:6" ht="12.75" customHeight="1" x14ac:dyDescent="0.25">
      <c r="B384" s="100"/>
      <c r="E384" s="100"/>
      <c r="F384" s="100"/>
    </row>
    <row r="385" spans="2:6" ht="12.75" customHeight="1" x14ac:dyDescent="0.25">
      <c r="B385" s="100"/>
      <c r="E385" s="100"/>
      <c r="F385" s="100"/>
    </row>
    <row r="386" spans="2:6" ht="12.75" customHeight="1" x14ac:dyDescent="0.25">
      <c r="B386" s="100"/>
      <c r="E386" s="100"/>
      <c r="F386" s="100"/>
    </row>
    <row r="387" spans="2:6" ht="12.75" customHeight="1" x14ac:dyDescent="0.25">
      <c r="B387" s="100"/>
      <c r="E387" s="100"/>
      <c r="F387" s="100"/>
    </row>
    <row r="388" spans="2:6" ht="12.75" customHeight="1" x14ac:dyDescent="0.25">
      <c r="B388" s="100"/>
      <c r="E388" s="100"/>
      <c r="F388" s="100"/>
    </row>
    <row r="389" spans="2:6" ht="12.75" customHeight="1" x14ac:dyDescent="0.25">
      <c r="B389" s="100"/>
      <c r="E389" s="100"/>
      <c r="F389" s="100"/>
    </row>
    <row r="390" spans="2:6" ht="12.75" customHeight="1" x14ac:dyDescent="0.25">
      <c r="B390" s="100"/>
      <c r="E390" s="100"/>
      <c r="F390" s="100"/>
    </row>
    <row r="391" spans="2:6" ht="12.75" customHeight="1" x14ac:dyDescent="0.25">
      <c r="B391" s="100"/>
      <c r="E391" s="100"/>
      <c r="F391" s="100"/>
    </row>
    <row r="392" spans="2:6" ht="12.75" customHeight="1" x14ac:dyDescent="0.25">
      <c r="B392" s="100"/>
      <c r="E392" s="100"/>
      <c r="F392" s="100"/>
    </row>
    <row r="393" spans="2:6" ht="12.75" customHeight="1" x14ac:dyDescent="0.25">
      <c r="B393" s="100"/>
      <c r="E393" s="100"/>
      <c r="F393" s="100"/>
    </row>
    <row r="394" spans="2:6" ht="12.75" customHeight="1" x14ac:dyDescent="0.25">
      <c r="B394" s="100"/>
      <c r="E394" s="100"/>
      <c r="F394" s="100"/>
    </row>
    <row r="395" spans="2:6" ht="12.75" customHeight="1" x14ac:dyDescent="0.25">
      <c r="B395" s="100"/>
      <c r="E395" s="100"/>
      <c r="F395" s="100"/>
    </row>
    <row r="396" spans="2:6" ht="12.75" customHeight="1" x14ac:dyDescent="0.25">
      <c r="B396" s="100"/>
      <c r="E396" s="100"/>
      <c r="F396" s="100"/>
    </row>
    <row r="397" spans="2:6" ht="12.75" customHeight="1" x14ac:dyDescent="0.25">
      <c r="B397" s="100"/>
      <c r="E397" s="100"/>
      <c r="F397" s="100"/>
    </row>
    <row r="398" spans="2:6" ht="12.75" customHeight="1" x14ac:dyDescent="0.25">
      <c r="B398" s="100"/>
      <c r="E398" s="100"/>
      <c r="F398" s="100"/>
    </row>
    <row r="399" spans="2:6" ht="12.75" customHeight="1" x14ac:dyDescent="0.25">
      <c r="B399" s="100"/>
      <c r="E399" s="100"/>
      <c r="F399" s="100"/>
    </row>
    <row r="400" spans="2:6" ht="12.75" customHeight="1" x14ac:dyDescent="0.25">
      <c r="B400" s="100"/>
      <c r="E400" s="100"/>
      <c r="F400" s="100"/>
    </row>
    <row r="401" spans="2:6" ht="12.75" customHeight="1" x14ac:dyDescent="0.25">
      <c r="B401" s="100"/>
      <c r="E401" s="100"/>
      <c r="F401" s="100"/>
    </row>
    <row r="402" spans="2:6" ht="12.75" customHeight="1" x14ac:dyDescent="0.25">
      <c r="B402" s="100"/>
      <c r="E402" s="100"/>
      <c r="F402" s="100"/>
    </row>
    <row r="403" spans="2:6" ht="12.75" customHeight="1" x14ac:dyDescent="0.25">
      <c r="B403" s="100"/>
      <c r="E403" s="100"/>
      <c r="F403" s="100"/>
    </row>
    <row r="404" spans="2:6" ht="12.75" customHeight="1" x14ac:dyDescent="0.25">
      <c r="B404" s="100"/>
      <c r="E404" s="100"/>
      <c r="F404" s="100"/>
    </row>
    <row r="405" spans="2:6" ht="12.75" customHeight="1" x14ac:dyDescent="0.25">
      <c r="B405" s="100"/>
      <c r="E405" s="100"/>
      <c r="F405" s="100"/>
    </row>
    <row r="406" spans="2:6" ht="12.75" customHeight="1" x14ac:dyDescent="0.25">
      <c r="B406" s="100"/>
      <c r="E406" s="100"/>
      <c r="F406" s="100"/>
    </row>
    <row r="407" spans="2:6" ht="12.75" customHeight="1" x14ac:dyDescent="0.25">
      <c r="B407" s="100"/>
      <c r="E407" s="100"/>
      <c r="F407" s="100"/>
    </row>
    <row r="408" spans="2:6" ht="12.75" customHeight="1" x14ac:dyDescent="0.25">
      <c r="B408" s="100"/>
      <c r="E408" s="100"/>
      <c r="F408" s="100"/>
    </row>
    <row r="409" spans="2:6" ht="12.75" customHeight="1" x14ac:dyDescent="0.25">
      <c r="B409" s="100"/>
      <c r="E409" s="100"/>
      <c r="F409" s="100"/>
    </row>
    <row r="410" spans="2:6" ht="12.75" customHeight="1" x14ac:dyDescent="0.25">
      <c r="B410" s="100"/>
      <c r="E410" s="100"/>
      <c r="F410" s="100"/>
    </row>
    <row r="411" spans="2:6" ht="12.75" customHeight="1" x14ac:dyDescent="0.25">
      <c r="B411" s="100"/>
      <c r="E411" s="100"/>
      <c r="F411" s="100"/>
    </row>
    <row r="412" spans="2:6" ht="12.75" customHeight="1" x14ac:dyDescent="0.25">
      <c r="B412" s="100"/>
      <c r="E412" s="100"/>
      <c r="F412" s="100"/>
    </row>
    <row r="413" spans="2:6" ht="12.75" customHeight="1" x14ac:dyDescent="0.25">
      <c r="B413" s="100"/>
      <c r="E413" s="100"/>
      <c r="F413" s="100"/>
    </row>
    <row r="414" spans="2:6" ht="12.75" customHeight="1" x14ac:dyDescent="0.25">
      <c r="B414" s="100"/>
      <c r="E414" s="100"/>
      <c r="F414" s="100"/>
    </row>
    <row r="415" spans="2:6" ht="12.75" customHeight="1" x14ac:dyDescent="0.25">
      <c r="B415" s="100"/>
      <c r="E415" s="100"/>
      <c r="F415" s="100"/>
    </row>
    <row r="416" spans="2:6" ht="12.75" customHeight="1" x14ac:dyDescent="0.25">
      <c r="B416" s="100"/>
      <c r="E416" s="100"/>
      <c r="F416" s="100"/>
    </row>
    <row r="417" spans="2:6" ht="12.75" customHeight="1" x14ac:dyDescent="0.25">
      <c r="B417" s="100"/>
      <c r="E417" s="100"/>
      <c r="F417" s="100"/>
    </row>
    <row r="418" spans="2:6" ht="12.75" customHeight="1" x14ac:dyDescent="0.25">
      <c r="B418" s="100"/>
      <c r="E418" s="100"/>
      <c r="F418" s="100"/>
    </row>
    <row r="419" spans="2:6" ht="12.75" customHeight="1" x14ac:dyDescent="0.25">
      <c r="B419" s="100"/>
      <c r="E419" s="100"/>
      <c r="F419" s="100"/>
    </row>
    <row r="420" spans="2:6" ht="12.75" customHeight="1" x14ac:dyDescent="0.25">
      <c r="B420" s="100"/>
      <c r="E420" s="100"/>
      <c r="F420" s="100"/>
    </row>
    <row r="421" spans="2:6" ht="12.75" customHeight="1" x14ac:dyDescent="0.25">
      <c r="B421" s="100"/>
      <c r="E421" s="100"/>
      <c r="F421" s="100"/>
    </row>
    <row r="422" spans="2:6" ht="12.75" customHeight="1" x14ac:dyDescent="0.25">
      <c r="B422" s="100"/>
      <c r="E422" s="100"/>
      <c r="F422" s="100"/>
    </row>
    <row r="423" spans="2:6" ht="12.75" customHeight="1" x14ac:dyDescent="0.25">
      <c r="B423" s="100"/>
      <c r="E423" s="100"/>
      <c r="F423" s="100"/>
    </row>
    <row r="424" spans="2:6" ht="12.75" customHeight="1" x14ac:dyDescent="0.25">
      <c r="B424" s="100"/>
      <c r="E424" s="100"/>
      <c r="F424" s="100"/>
    </row>
    <row r="425" spans="2:6" ht="12.75" customHeight="1" x14ac:dyDescent="0.25">
      <c r="B425" s="100"/>
      <c r="E425" s="100"/>
      <c r="F425" s="100"/>
    </row>
    <row r="426" spans="2:6" ht="12.75" customHeight="1" x14ac:dyDescent="0.25">
      <c r="B426" s="100"/>
      <c r="E426" s="100"/>
      <c r="F426" s="100"/>
    </row>
    <row r="427" spans="2:6" ht="12.75" customHeight="1" x14ac:dyDescent="0.25">
      <c r="B427" s="100"/>
      <c r="E427" s="100"/>
      <c r="F427" s="100"/>
    </row>
    <row r="428" spans="2:6" ht="12.75" customHeight="1" x14ac:dyDescent="0.25">
      <c r="B428" s="100"/>
      <c r="E428" s="100"/>
      <c r="F428" s="100"/>
    </row>
    <row r="429" spans="2:6" ht="12.75" customHeight="1" x14ac:dyDescent="0.25">
      <c r="B429" s="100"/>
      <c r="E429" s="100"/>
      <c r="F429" s="100"/>
    </row>
    <row r="430" spans="2:6" ht="12.75" customHeight="1" x14ac:dyDescent="0.25">
      <c r="B430" s="100"/>
      <c r="E430" s="100"/>
      <c r="F430" s="100"/>
    </row>
    <row r="431" spans="2:6" ht="12.75" customHeight="1" x14ac:dyDescent="0.25">
      <c r="B431" s="100"/>
      <c r="E431" s="100"/>
      <c r="F431" s="100"/>
    </row>
    <row r="432" spans="2:6" ht="12.75" customHeight="1" x14ac:dyDescent="0.25">
      <c r="B432" s="100"/>
      <c r="E432" s="100"/>
      <c r="F432" s="100"/>
    </row>
    <row r="433" spans="2:6" ht="12.75" customHeight="1" x14ac:dyDescent="0.25">
      <c r="B433" s="100"/>
      <c r="E433" s="100"/>
      <c r="F433" s="100"/>
    </row>
    <row r="434" spans="2:6" ht="12.75" customHeight="1" x14ac:dyDescent="0.25">
      <c r="B434" s="100"/>
      <c r="E434" s="100"/>
      <c r="F434" s="100"/>
    </row>
    <row r="435" spans="2:6" ht="12.75" customHeight="1" x14ac:dyDescent="0.25">
      <c r="B435" s="100"/>
      <c r="E435" s="100"/>
      <c r="F435" s="100"/>
    </row>
    <row r="436" spans="2:6" ht="12.75" customHeight="1" x14ac:dyDescent="0.25">
      <c r="B436" s="100"/>
      <c r="E436" s="100"/>
      <c r="F436" s="100"/>
    </row>
    <row r="437" spans="2:6" ht="12.75" customHeight="1" x14ac:dyDescent="0.25">
      <c r="B437" s="100"/>
      <c r="E437" s="100"/>
      <c r="F437" s="100"/>
    </row>
    <row r="438" spans="2:6" ht="12.75" customHeight="1" x14ac:dyDescent="0.25">
      <c r="B438" s="100"/>
      <c r="E438" s="100"/>
      <c r="F438" s="100"/>
    </row>
    <row r="439" spans="2:6" ht="12.75" customHeight="1" x14ac:dyDescent="0.25">
      <c r="B439" s="100"/>
      <c r="E439" s="100"/>
      <c r="F439" s="100"/>
    </row>
    <row r="440" spans="2:6" ht="12.75" customHeight="1" x14ac:dyDescent="0.25">
      <c r="B440" s="100"/>
      <c r="E440" s="100"/>
      <c r="F440" s="100"/>
    </row>
    <row r="441" spans="2:6" ht="12.75" customHeight="1" x14ac:dyDescent="0.25">
      <c r="B441" s="100"/>
      <c r="E441" s="100"/>
      <c r="F441" s="100"/>
    </row>
    <row r="442" spans="2:6" ht="12.75" customHeight="1" x14ac:dyDescent="0.25">
      <c r="B442" s="100"/>
      <c r="E442" s="100"/>
      <c r="F442" s="100"/>
    </row>
    <row r="443" spans="2:6" ht="12.75" customHeight="1" x14ac:dyDescent="0.25">
      <c r="B443" s="100"/>
      <c r="E443" s="100"/>
      <c r="F443" s="100"/>
    </row>
    <row r="444" spans="2:6" ht="12.75" customHeight="1" x14ac:dyDescent="0.25">
      <c r="B444" s="100"/>
      <c r="E444" s="100"/>
      <c r="F444" s="100"/>
    </row>
    <row r="445" spans="2:6" ht="12.75" customHeight="1" x14ac:dyDescent="0.25">
      <c r="B445" s="100"/>
      <c r="E445" s="100"/>
      <c r="F445" s="100"/>
    </row>
    <row r="446" spans="2:6" ht="12.75" customHeight="1" x14ac:dyDescent="0.25">
      <c r="B446" s="100"/>
      <c r="E446" s="100"/>
      <c r="F446" s="100"/>
    </row>
    <row r="447" spans="2:6" ht="12.75" customHeight="1" x14ac:dyDescent="0.25">
      <c r="B447" s="100"/>
      <c r="E447" s="100"/>
      <c r="F447" s="100"/>
    </row>
    <row r="448" spans="2:6" ht="12.75" customHeight="1" x14ac:dyDescent="0.25">
      <c r="B448" s="100"/>
      <c r="E448" s="100"/>
      <c r="F448" s="100"/>
    </row>
    <row r="449" spans="2:6" ht="12.75" customHeight="1" x14ac:dyDescent="0.25">
      <c r="B449" s="100"/>
      <c r="E449" s="100"/>
      <c r="F449" s="100"/>
    </row>
    <row r="450" spans="2:6" ht="12.75" customHeight="1" x14ac:dyDescent="0.25">
      <c r="B450" s="100"/>
      <c r="E450" s="100"/>
      <c r="F450" s="100"/>
    </row>
    <row r="451" spans="2:6" ht="12.75" customHeight="1" x14ac:dyDescent="0.25">
      <c r="B451" s="100"/>
      <c r="E451" s="100"/>
      <c r="F451" s="100"/>
    </row>
    <row r="452" spans="2:6" ht="12.75" customHeight="1" x14ac:dyDescent="0.25">
      <c r="B452" s="100"/>
      <c r="E452" s="100"/>
      <c r="F452" s="100"/>
    </row>
    <row r="453" spans="2:6" ht="12.75" customHeight="1" x14ac:dyDescent="0.25">
      <c r="B453" s="100"/>
      <c r="E453" s="100"/>
      <c r="F453" s="100"/>
    </row>
    <row r="454" spans="2:6" ht="12.75" customHeight="1" x14ac:dyDescent="0.25">
      <c r="B454" s="100"/>
      <c r="E454" s="100"/>
      <c r="F454" s="100"/>
    </row>
    <row r="455" spans="2:6" ht="12.75" customHeight="1" x14ac:dyDescent="0.25">
      <c r="B455" s="100"/>
      <c r="E455" s="100"/>
      <c r="F455" s="100"/>
    </row>
    <row r="456" spans="2:6" ht="12.75" customHeight="1" x14ac:dyDescent="0.25">
      <c r="B456" s="100"/>
      <c r="E456" s="100"/>
      <c r="F456" s="100"/>
    </row>
    <row r="457" spans="2:6" ht="12.75" customHeight="1" x14ac:dyDescent="0.25">
      <c r="B457" s="100"/>
      <c r="E457" s="100"/>
      <c r="F457" s="100"/>
    </row>
    <row r="458" spans="2:6" ht="12.75" customHeight="1" x14ac:dyDescent="0.25">
      <c r="B458" s="100"/>
      <c r="E458" s="100"/>
      <c r="F458" s="100"/>
    </row>
    <row r="459" spans="2:6" ht="12.75" customHeight="1" x14ac:dyDescent="0.25">
      <c r="B459" s="100"/>
      <c r="E459" s="100"/>
      <c r="F459" s="100"/>
    </row>
    <row r="460" spans="2:6" ht="12.75" customHeight="1" x14ac:dyDescent="0.25">
      <c r="B460" s="100"/>
      <c r="E460" s="100"/>
      <c r="F460" s="100"/>
    </row>
    <row r="461" spans="2:6" ht="12.75" customHeight="1" x14ac:dyDescent="0.25">
      <c r="B461" s="100"/>
      <c r="E461" s="100"/>
      <c r="F461" s="100"/>
    </row>
    <row r="462" spans="2:6" ht="12.75" customHeight="1" x14ac:dyDescent="0.25">
      <c r="B462" s="100"/>
      <c r="E462" s="100"/>
      <c r="F462" s="100"/>
    </row>
    <row r="463" spans="2:6" ht="12.75" customHeight="1" x14ac:dyDescent="0.25">
      <c r="B463" s="100"/>
      <c r="E463" s="100"/>
      <c r="F463" s="100"/>
    </row>
    <row r="464" spans="2:6" ht="12.75" customHeight="1" x14ac:dyDescent="0.25">
      <c r="B464" s="100"/>
      <c r="E464" s="100"/>
      <c r="F464" s="100"/>
    </row>
    <row r="465" spans="2:6" ht="12.75" customHeight="1" x14ac:dyDescent="0.25">
      <c r="B465" s="100"/>
      <c r="E465" s="100"/>
      <c r="F465" s="100"/>
    </row>
    <row r="466" spans="2:6" ht="12.75" customHeight="1" x14ac:dyDescent="0.25">
      <c r="B466" s="100"/>
      <c r="E466" s="100"/>
      <c r="F466" s="100"/>
    </row>
    <row r="467" spans="2:6" ht="12.75" customHeight="1" x14ac:dyDescent="0.25">
      <c r="B467" s="100"/>
      <c r="E467" s="100"/>
      <c r="F467" s="100"/>
    </row>
    <row r="468" spans="2:6" ht="12.75" customHeight="1" x14ac:dyDescent="0.25">
      <c r="B468" s="100"/>
      <c r="E468" s="100"/>
      <c r="F468" s="100"/>
    </row>
    <row r="469" spans="2:6" ht="12.75" customHeight="1" x14ac:dyDescent="0.25">
      <c r="B469" s="100"/>
      <c r="E469" s="100"/>
      <c r="F469" s="100"/>
    </row>
    <row r="470" spans="2:6" ht="12.75" customHeight="1" x14ac:dyDescent="0.25">
      <c r="B470" s="100"/>
      <c r="E470" s="100"/>
      <c r="F470" s="100"/>
    </row>
    <row r="471" spans="2:6" ht="12.75" customHeight="1" x14ac:dyDescent="0.25">
      <c r="B471" s="100"/>
      <c r="E471" s="100"/>
      <c r="F471" s="100"/>
    </row>
    <row r="472" spans="2:6" ht="12.75" customHeight="1" x14ac:dyDescent="0.25">
      <c r="B472" s="100"/>
      <c r="E472" s="100"/>
      <c r="F472" s="100"/>
    </row>
    <row r="473" spans="2:6" ht="12.75" customHeight="1" x14ac:dyDescent="0.25">
      <c r="B473" s="100"/>
      <c r="E473" s="100"/>
      <c r="F473" s="100"/>
    </row>
    <row r="474" spans="2:6" ht="12.75" customHeight="1" x14ac:dyDescent="0.25">
      <c r="B474" s="100"/>
      <c r="E474" s="100"/>
      <c r="F474" s="100"/>
    </row>
    <row r="475" spans="2:6" ht="12.75" customHeight="1" x14ac:dyDescent="0.25">
      <c r="B475" s="100"/>
      <c r="E475" s="100"/>
      <c r="F475" s="100"/>
    </row>
    <row r="476" spans="2:6" ht="12.75" customHeight="1" x14ac:dyDescent="0.25">
      <c r="B476" s="100"/>
      <c r="E476" s="100"/>
      <c r="F476" s="100"/>
    </row>
    <row r="477" spans="2:6" ht="12.75" customHeight="1" x14ac:dyDescent="0.25">
      <c r="B477" s="100"/>
      <c r="E477" s="100"/>
      <c r="F477" s="100"/>
    </row>
    <row r="478" spans="2:6" ht="12.75" customHeight="1" x14ac:dyDescent="0.25">
      <c r="B478" s="100"/>
      <c r="E478" s="100"/>
      <c r="F478" s="100"/>
    </row>
    <row r="479" spans="2:6" ht="12.75" customHeight="1" x14ac:dyDescent="0.25">
      <c r="B479" s="100"/>
      <c r="E479" s="100"/>
      <c r="F479" s="100"/>
    </row>
    <row r="480" spans="2:6" ht="12.75" customHeight="1" x14ac:dyDescent="0.25">
      <c r="B480" s="100"/>
      <c r="E480" s="100"/>
      <c r="F480" s="100"/>
    </row>
    <row r="481" spans="2:6" ht="12.75" customHeight="1" x14ac:dyDescent="0.25">
      <c r="B481" s="100"/>
      <c r="E481" s="100"/>
      <c r="F481" s="100"/>
    </row>
    <row r="482" spans="2:6" ht="12.75" customHeight="1" x14ac:dyDescent="0.25">
      <c r="B482" s="100"/>
      <c r="E482" s="100"/>
      <c r="F482" s="100"/>
    </row>
    <row r="483" spans="2:6" ht="12.75" customHeight="1" x14ac:dyDescent="0.25">
      <c r="B483" s="100"/>
      <c r="E483" s="100"/>
      <c r="F483" s="100"/>
    </row>
    <row r="484" spans="2:6" ht="12.75" customHeight="1" x14ac:dyDescent="0.25">
      <c r="B484" s="100"/>
      <c r="E484" s="100"/>
      <c r="F484" s="100"/>
    </row>
    <row r="485" spans="2:6" ht="12.75" customHeight="1" x14ac:dyDescent="0.25">
      <c r="B485" s="100"/>
      <c r="E485" s="100"/>
      <c r="F485" s="100"/>
    </row>
    <row r="486" spans="2:6" ht="12.75" customHeight="1" x14ac:dyDescent="0.25">
      <c r="B486" s="100"/>
      <c r="E486" s="100"/>
      <c r="F486" s="100"/>
    </row>
    <row r="487" spans="2:6" ht="12.75" customHeight="1" x14ac:dyDescent="0.25">
      <c r="B487" s="100"/>
      <c r="E487" s="100"/>
      <c r="F487" s="100"/>
    </row>
    <row r="488" spans="2:6" ht="12.75" customHeight="1" x14ac:dyDescent="0.25">
      <c r="B488" s="100"/>
      <c r="E488" s="100"/>
      <c r="F488" s="100"/>
    </row>
    <row r="489" spans="2:6" ht="12.75" customHeight="1" x14ac:dyDescent="0.25">
      <c r="B489" s="100"/>
      <c r="E489" s="100"/>
      <c r="F489" s="100"/>
    </row>
    <row r="490" spans="2:6" ht="12.75" customHeight="1" x14ac:dyDescent="0.25">
      <c r="B490" s="100"/>
      <c r="E490" s="100"/>
      <c r="F490" s="100"/>
    </row>
    <row r="491" spans="2:6" ht="12.75" customHeight="1" x14ac:dyDescent="0.25">
      <c r="B491" s="100"/>
      <c r="E491" s="100"/>
      <c r="F491" s="100"/>
    </row>
    <row r="492" spans="2:6" ht="12.75" customHeight="1" x14ac:dyDescent="0.25">
      <c r="B492" s="100"/>
      <c r="E492" s="100"/>
      <c r="F492" s="100"/>
    </row>
    <row r="493" spans="2:6" ht="12.75" customHeight="1" x14ac:dyDescent="0.25">
      <c r="B493" s="100"/>
      <c r="E493" s="100"/>
      <c r="F493" s="100"/>
    </row>
    <row r="494" spans="2:6" ht="12.75" customHeight="1" x14ac:dyDescent="0.25">
      <c r="B494" s="100"/>
      <c r="E494" s="100"/>
      <c r="F494" s="100"/>
    </row>
    <row r="495" spans="2:6" ht="12.75" customHeight="1" x14ac:dyDescent="0.25">
      <c r="B495" s="100"/>
      <c r="E495" s="100"/>
      <c r="F495" s="100"/>
    </row>
    <row r="496" spans="2:6" ht="12.75" customHeight="1" x14ac:dyDescent="0.25">
      <c r="B496" s="100"/>
      <c r="E496" s="100"/>
      <c r="F496" s="100"/>
    </row>
    <row r="497" spans="2:6" ht="12.75" customHeight="1" x14ac:dyDescent="0.25">
      <c r="B497" s="100"/>
      <c r="E497" s="100"/>
      <c r="F497" s="100"/>
    </row>
    <row r="498" spans="2:6" ht="12.75" customHeight="1" x14ac:dyDescent="0.25">
      <c r="B498" s="100"/>
      <c r="E498" s="100"/>
      <c r="F498" s="100"/>
    </row>
    <row r="499" spans="2:6" ht="12.75" customHeight="1" x14ac:dyDescent="0.25">
      <c r="B499" s="100"/>
      <c r="E499" s="100"/>
      <c r="F499" s="100"/>
    </row>
    <row r="500" spans="2:6" ht="12.75" customHeight="1" x14ac:dyDescent="0.25">
      <c r="B500" s="100"/>
      <c r="E500" s="100"/>
      <c r="F500" s="100"/>
    </row>
    <row r="501" spans="2:6" ht="12.75" customHeight="1" x14ac:dyDescent="0.25">
      <c r="B501" s="100"/>
      <c r="E501" s="100"/>
      <c r="F501" s="100"/>
    </row>
    <row r="502" spans="2:6" ht="12.75" customHeight="1" x14ac:dyDescent="0.25">
      <c r="B502" s="100"/>
      <c r="E502" s="100"/>
      <c r="F502" s="100"/>
    </row>
    <row r="503" spans="2:6" ht="12.75" customHeight="1" x14ac:dyDescent="0.25">
      <c r="B503" s="100"/>
      <c r="E503" s="100"/>
      <c r="F503" s="100"/>
    </row>
    <row r="504" spans="2:6" ht="12.75" customHeight="1" x14ac:dyDescent="0.25">
      <c r="B504" s="100"/>
      <c r="E504" s="100"/>
      <c r="F504" s="100"/>
    </row>
    <row r="505" spans="2:6" ht="12.75" customHeight="1" x14ac:dyDescent="0.25">
      <c r="B505" s="100"/>
      <c r="E505" s="100"/>
      <c r="F505" s="100"/>
    </row>
    <row r="506" spans="2:6" ht="12.75" customHeight="1" x14ac:dyDescent="0.25">
      <c r="B506" s="100"/>
      <c r="E506" s="100"/>
      <c r="F506" s="100"/>
    </row>
    <row r="507" spans="2:6" ht="12.75" customHeight="1" x14ac:dyDescent="0.25">
      <c r="B507" s="100"/>
      <c r="E507" s="100"/>
      <c r="F507" s="100"/>
    </row>
    <row r="508" spans="2:6" ht="12.75" customHeight="1" x14ac:dyDescent="0.25">
      <c r="B508" s="100"/>
      <c r="E508" s="100"/>
      <c r="F508" s="100"/>
    </row>
    <row r="509" spans="2:6" ht="12.75" customHeight="1" x14ac:dyDescent="0.25">
      <c r="B509" s="100"/>
      <c r="E509" s="100"/>
      <c r="F509" s="100"/>
    </row>
    <row r="510" spans="2:6" ht="12.75" customHeight="1" x14ac:dyDescent="0.25">
      <c r="B510" s="100"/>
      <c r="E510" s="100"/>
      <c r="F510" s="100"/>
    </row>
    <row r="511" spans="2:6" ht="12.75" customHeight="1" x14ac:dyDescent="0.25">
      <c r="B511" s="100"/>
      <c r="E511" s="100"/>
      <c r="F511" s="100"/>
    </row>
    <row r="512" spans="2:6" ht="12.75" customHeight="1" x14ac:dyDescent="0.25">
      <c r="B512" s="100"/>
      <c r="E512" s="100"/>
      <c r="F512" s="100"/>
    </row>
    <row r="513" spans="2:6" ht="12.75" customHeight="1" x14ac:dyDescent="0.25">
      <c r="B513" s="100"/>
      <c r="E513" s="100"/>
      <c r="F513" s="100"/>
    </row>
    <row r="514" spans="2:6" ht="12.75" customHeight="1" x14ac:dyDescent="0.25">
      <c r="B514" s="100"/>
      <c r="E514" s="100"/>
      <c r="F514" s="100"/>
    </row>
    <row r="515" spans="2:6" ht="12.75" customHeight="1" x14ac:dyDescent="0.25">
      <c r="B515" s="100"/>
      <c r="E515" s="100"/>
      <c r="F515" s="100"/>
    </row>
    <row r="516" spans="2:6" ht="12.75" customHeight="1" x14ac:dyDescent="0.25">
      <c r="B516" s="100"/>
      <c r="E516" s="100"/>
      <c r="F516" s="100"/>
    </row>
    <row r="517" spans="2:6" ht="12.75" customHeight="1" x14ac:dyDescent="0.25">
      <c r="B517" s="100"/>
      <c r="E517" s="100"/>
      <c r="F517" s="100"/>
    </row>
    <row r="518" spans="2:6" ht="12.75" customHeight="1" x14ac:dyDescent="0.25">
      <c r="B518" s="100"/>
      <c r="E518" s="100"/>
      <c r="F518" s="100"/>
    </row>
    <row r="519" spans="2:6" ht="12.75" customHeight="1" x14ac:dyDescent="0.25">
      <c r="B519" s="100"/>
      <c r="E519" s="100"/>
      <c r="F519" s="100"/>
    </row>
    <row r="520" spans="2:6" ht="12.75" customHeight="1" x14ac:dyDescent="0.25">
      <c r="B520" s="100"/>
      <c r="E520" s="100"/>
      <c r="F520" s="100"/>
    </row>
    <row r="521" spans="2:6" ht="12.75" customHeight="1" x14ac:dyDescent="0.25">
      <c r="B521" s="100"/>
      <c r="E521" s="100"/>
      <c r="F521" s="100"/>
    </row>
    <row r="522" spans="2:6" ht="12.75" customHeight="1" x14ac:dyDescent="0.25">
      <c r="B522" s="100"/>
      <c r="E522" s="100"/>
      <c r="F522" s="100"/>
    </row>
    <row r="523" spans="2:6" ht="12.75" customHeight="1" x14ac:dyDescent="0.25">
      <c r="B523" s="100"/>
      <c r="E523" s="100"/>
      <c r="F523" s="100"/>
    </row>
    <row r="524" spans="2:6" ht="12.75" customHeight="1" x14ac:dyDescent="0.25">
      <c r="B524" s="100"/>
      <c r="E524" s="100"/>
      <c r="F524" s="100"/>
    </row>
    <row r="525" spans="2:6" ht="12.75" customHeight="1" x14ac:dyDescent="0.25">
      <c r="B525" s="100"/>
      <c r="E525" s="100"/>
      <c r="F525" s="100"/>
    </row>
    <row r="526" spans="2:6" ht="12.75" customHeight="1" x14ac:dyDescent="0.25">
      <c r="B526" s="100"/>
      <c r="E526" s="100"/>
      <c r="F526" s="100"/>
    </row>
    <row r="527" spans="2:6" ht="12.75" customHeight="1" x14ac:dyDescent="0.25">
      <c r="B527" s="100"/>
      <c r="E527" s="100"/>
      <c r="F527" s="100"/>
    </row>
    <row r="528" spans="2:6" ht="12.75" customHeight="1" x14ac:dyDescent="0.25">
      <c r="B528" s="100"/>
      <c r="E528" s="100"/>
      <c r="F528" s="100"/>
    </row>
    <row r="529" spans="2:6" ht="12.75" customHeight="1" x14ac:dyDescent="0.25">
      <c r="B529" s="100"/>
      <c r="E529" s="100"/>
      <c r="F529" s="100"/>
    </row>
    <row r="530" spans="2:6" ht="12.75" customHeight="1" x14ac:dyDescent="0.25">
      <c r="B530" s="100"/>
      <c r="E530" s="100"/>
      <c r="F530" s="100"/>
    </row>
    <row r="531" spans="2:6" ht="12.75" customHeight="1" x14ac:dyDescent="0.25">
      <c r="B531" s="100"/>
      <c r="E531" s="100"/>
      <c r="F531" s="100"/>
    </row>
    <row r="532" spans="2:6" ht="12.75" customHeight="1" x14ac:dyDescent="0.25">
      <c r="B532" s="100"/>
      <c r="E532" s="100"/>
      <c r="F532" s="100"/>
    </row>
    <row r="533" spans="2:6" ht="12.75" customHeight="1" x14ac:dyDescent="0.25">
      <c r="B533" s="100"/>
      <c r="E533" s="100"/>
      <c r="F533" s="100"/>
    </row>
    <row r="534" spans="2:6" ht="12.75" customHeight="1" x14ac:dyDescent="0.25">
      <c r="B534" s="100"/>
      <c r="E534" s="100"/>
      <c r="F534" s="100"/>
    </row>
    <row r="535" spans="2:6" ht="12.75" customHeight="1" x14ac:dyDescent="0.25">
      <c r="B535" s="100"/>
      <c r="E535" s="100"/>
      <c r="F535" s="100"/>
    </row>
    <row r="536" spans="2:6" ht="12.75" customHeight="1" x14ac:dyDescent="0.25">
      <c r="B536" s="100"/>
      <c r="E536" s="100"/>
      <c r="F536" s="100"/>
    </row>
    <row r="537" spans="2:6" ht="12.75" customHeight="1" x14ac:dyDescent="0.25">
      <c r="B537" s="100"/>
      <c r="E537" s="100"/>
      <c r="F537" s="100"/>
    </row>
    <row r="538" spans="2:6" ht="12.75" customHeight="1" x14ac:dyDescent="0.25">
      <c r="B538" s="100"/>
      <c r="E538" s="100"/>
      <c r="F538" s="100"/>
    </row>
    <row r="539" spans="2:6" ht="12.75" customHeight="1" x14ac:dyDescent="0.25">
      <c r="B539" s="100"/>
      <c r="E539" s="100"/>
      <c r="F539" s="100"/>
    </row>
    <row r="540" spans="2:6" ht="12.75" customHeight="1" x14ac:dyDescent="0.25">
      <c r="B540" s="100"/>
      <c r="E540" s="100"/>
      <c r="F540" s="100"/>
    </row>
    <row r="541" spans="2:6" ht="12.75" customHeight="1" x14ac:dyDescent="0.25">
      <c r="B541" s="100"/>
      <c r="E541" s="100"/>
      <c r="F541" s="100"/>
    </row>
    <row r="542" spans="2:6" ht="12.75" customHeight="1" x14ac:dyDescent="0.25">
      <c r="B542" s="100"/>
      <c r="E542" s="100"/>
      <c r="F542" s="100"/>
    </row>
    <row r="543" spans="2:6" ht="12.75" customHeight="1" x14ac:dyDescent="0.25">
      <c r="B543" s="100"/>
      <c r="E543" s="100"/>
      <c r="F543" s="100"/>
    </row>
    <row r="544" spans="2:6" ht="12.75" customHeight="1" x14ac:dyDescent="0.25">
      <c r="B544" s="100"/>
      <c r="E544" s="100"/>
      <c r="F544" s="100"/>
    </row>
    <row r="545" spans="2:6" ht="12.75" customHeight="1" x14ac:dyDescent="0.25">
      <c r="B545" s="100"/>
      <c r="E545" s="100"/>
      <c r="F545" s="100"/>
    </row>
    <row r="546" spans="2:6" ht="12.75" customHeight="1" x14ac:dyDescent="0.25">
      <c r="B546" s="100"/>
      <c r="E546" s="100"/>
      <c r="F546" s="100"/>
    </row>
    <row r="547" spans="2:6" ht="12.75" customHeight="1" x14ac:dyDescent="0.25">
      <c r="B547" s="100"/>
      <c r="E547" s="100"/>
      <c r="F547" s="100"/>
    </row>
    <row r="548" spans="2:6" ht="12.75" customHeight="1" x14ac:dyDescent="0.25">
      <c r="B548" s="100"/>
      <c r="E548" s="100"/>
      <c r="F548" s="100"/>
    </row>
    <row r="549" spans="2:6" ht="12.75" customHeight="1" x14ac:dyDescent="0.25">
      <c r="B549" s="100"/>
      <c r="E549" s="100"/>
      <c r="F549" s="100"/>
    </row>
    <row r="550" spans="2:6" ht="12.75" customHeight="1" x14ac:dyDescent="0.25">
      <c r="B550" s="100"/>
      <c r="E550" s="100"/>
      <c r="F550" s="100"/>
    </row>
    <row r="551" spans="2:6" ht="12.75" customHeight="1" x14ac:dyDescent="0.25">
      <c r="B551" s="100"/>
      <c r="E551" s="100"/>
      <c r="F551" s="100"/>
    </row>
    <row r="552" spans="2:6" ht="12.75" customHeight="1" x14ac:dyDescent="0.25">
      <c r="B552" s="100"/>
      <c r="E552" s="100"/>
      <c r="F552" s="100"/>
    </row>
    <row r="553" spans="2:6" ht="12.75" customHeight="1" x14ac:dyDescent="0.25">
      <c r="B553" s="100"/>
      <c r="E553" s="100"/>
      <c r="F553" s="100"/>
    </row>
    <row r="554" spans="2:6" ht="12.75" customHeight="1" x14ac:dyDescent="0.25">
      <c r="B554" s="100"/>
      <c r="E554" s="100"/>
      <c r="F554" s="100"/>
    </row>
    <row r="555" spans="2:6" ht="12.75" customHeight="1" x14ac:dyDescent="0.25">
      <c r="B555" s="100"/>
      <c r="E555" s="100"/>
      <c r="F555" s="100"/>
    </row>
    <row r="556" spans="2:6" ht="12.75" customHeight="1" x14ac:dyDescent="0.25">
      <c r="B556" s="100"/>
      <c r="E556" s="100"/>
      <c r="F556" s="100"/>
    </row>
    <row r="557" spans="2:6" ht="12.75" customHeight="1" x14ac:dyDescent="0.25">
      <c r="B557" s="100"/>
      <c r="E557" s="100"/>
      <c r="F557" s="100"/>
    </row>
    <row r="558" spans="2:6" ht="12.75" customHeight="1" x14ac:dyDescent="0.25">
      <c r="B558" s="100"/>
      <c r="E558" s="100"/>
      <c r="F558" s="100"/>
    </row>
    <row r="559" spans="2:6" ht="12.75" customHeight="1" x14ac:dyDescent="0.25">
      <c r="B559" s="100"/>
      <c r="E559" s="100"/>
      <c r="F559" s="100"/>
    </row>
    <row r="560" spans="2:6" ht="12.75" customHeight="1" x14ac:dyDescent="0.25">
      <c r="B560" s="100"/>
      <c r="E560" s="100"/>
      <c r="F560" s="100"/>
    </row>
    <row r="561" spans="2:6" ht="12.75" customHeight="1" x14ac:dyDescent="0.25">
      <c r="B561" s="100"/>
      <c r="E561" s="100"/>
      <c r="F561" s="100"/>
    </row>
    <row r="562" spans="2:6" ht="12.75" customHeight="1" x14ac:dyDescent="0.25">
      <c r="B562" s="100"/>
      <c r="E562" s="100"/>
      <c r="F562" s="100"/>
    </row>
    <row r="563" spans="2:6" ht="12.75" customHeight="1" x14ac:dyDescent="0.25">
      <c r="B563" s="100"/>
      <c r="E563" s="100"/>
      <c r="F563" s="100"/>
    </row>
    <row r="564" spans="2:6" ht="12.75" customHeight="1" x14ac:dyDescent="0.25">
      <c r="B564" s="100"/>
      <c r="E564" s="100"/>
      <c r="F564" s="100"/>
    </row>
    <row r="565" spans="2:6" ht="12.75" customHeight="1" x14ac:dyDescent="0.25">
      <c r="B565" s="100"/>
      <c r="E565" s="100"/>
      <c r="F565" s="100"/>
    </row>
    <row r="566" spans="2:6" ht="12.75" customHeight="1" x14ac:dyDescent="0.25">
      <c r="B566" s="100"/>
      <c r="E566" s="100"/>
      <c r="F566" s="100"/>
    </row>
    <row r="567" spans="2:6" ht="12.75" customHeight="1" x14ac:dyDescent="0.25">
      <c r="B567" s="100"/>
      <c r="E567" s="100"/>
      <c r="F567" s="100"/>
    </row>
    <row r="568" spans="2:6" ht="12.75" customHeight="1" x14ac:dyDescent="0.25">
      <c r="B568" s="100"/>
      <c r="E568" s="100"/>
      <c r="F568" s="100"/>
    </row>
    <row r="569" spans="2:6" ht="12.75" customHeight="1" x14ac:dyDescent="0.25">
      <c r="B569" s="100"/>
      <c r="E569" s="100"/>
      <c r="F569" s="100"/>
    </row>
    <row r="570" spans="2:6" ht="12.75" customHeight="1" x14ac:dyDescent="0.25">
      <c r="B570" s="100"/>
      <c r="E570" s="100"/>
      <c r="F570" s="100"/>
    </row>
    <row r="571" spans="2:6" ht="12.75" customHeight="1" x14ac:dyDescent="0.25">
      <c r="B571" s="100"/>
      <c r="E571" s="100"/>
      <c r="F571" s="100"/>
    </row>
    <row r="572" spans="2:6" ht="12.75" customHeight="1" x14ac:dyDescent="0.25">
      <c r="B572" s="100"/>
      <c r="E572" s="100"/>
      <c r="F572" s="100"/>
    </row>
    <row r="573" spans="2:6" ht="12.75" customHeight="1" x14ac:dyDescent="0.25">
      <c r="B573" s="100"/>
      <c r="E573" s="100"/>
      <c r="F573" s="100"/>
    </row>
    <row r="574" spans="2:6" ht="12.75" customHeight="1" x14ac:dyDescent="0.25">
      <c r="B574" s="100"/>
      <c r="E574" s="100"/>
      <c r="F574" s="100"/>
    </row>
    <row r="575" spans="2:6" ht="12.75" customHeight="1" x14ac:dyDescent="0.25">
      <c r="B575" s="100"/>
      <c r="E575" s="100"/>
      <c r="F575" s="100"/>
    </row>
    <row r="576" spans="2:6" ht="12.75" customHeight="1" x14ac:dyDescent="0.25">
      <c r="B576" s="100"/>
      <c r="E576" s="100"/>
      <c r="F576" s="100"/>
    </row>
    <row r="577" spans="2:6" ht="12.75" customHeight="1" x14ac:dyDescent="0.25">
      <c r="B577" s="100"/>
      <c r="E577" s="100"/>
      <c r="F577" s="100"/>
    </row>
    <row r="578" spans="2:6" ht="12.75" customHeight="1" x14ac:dyDescent="0.25">
      <c r="B578" s="100"/>
      <c r="E578" s="100"/>
      <c r="F578" s="100"/>
    </row>
    <row r="579" spans="2:6" ht="12.75" customHeight="1" x14ac:dyDescent="0.25">
      <c r="B579" s="100"/>
      <c r="E579" s="100"/>
      <c r="F579" s="100"/>
    </row>
    <row r="580" spans="2:6" ht="12.75" customHeight="1" x14ac:dyDescent="0.25">
      <c r="B580" s="100"/>
      <c r="E580" s="100"/>
      <c r="F580" s="100"/>
    </row>
    <row r="581" spans="2:6" ht="12.75" customHeight="1" x14ac:dyDescent="0.25">
      <c r="B581" s="100"/>
      <c r="E581" s="100"/>
      <c r="F581" s="100"/>
    </row>
    <row r="582" spans="2:6" ht="12.75" customHeight="1" x14ac:dyDescent="0.25">
      <c r="B582" s="100"/>
      <c r="E582" s="100"/>
      <c r="F582" s="100"/>
    </row>
    <row r="583" spans="2:6" ht="12.75" customHeight="1" x14ac:dyDescent="0.25">
      <c r="B583" s="100"/>
      <c r="E583" s="100"/>
      <c r="F583" s="100"/>
    </row>
    <row r="584" spans="2:6" ht="12.75" customHeight="1" x14ac:dyDescent="0.25">
      <c r="B584" s="100"/>
      <c r="E584" s="100"/>
      <c r="F584" s="100"/>
    </row>
    <row r="585" spans="2:6" ht="12.75" customHeight="1" x14ac:dyDescent="0.25">
      <c r="B585" s="100"/>
      <c r="E585" s="100"/>
      <c r="F585" s="100"/>
    </row>
    <row r="586" spans="2:6" ht="12.75" customHeight="1" x14ac:dyDescent="0.25">
      <c r="B586" s="100"/>
      <c r="E586" s="100"/>
      <c r="F586" s="100"/>
    </row>
    <row r="587" spans="2:6" ht="12.75" customHeight="1" x14ac:dyDescent="0.25">
      <c r="B587" s="100"/>
      <c r="E587" s="100"/>
      <c r="F587" s="100"/>
    </row>
    <row r="588" spans="2:6" ht="12.75" customHeight="1" x14ac:dyDescent="0.25">
      <c r="B588" s="100"/>
      <c r="E588" s="100"/>
      <c r="F588" s="100"/>
    </row>
    <row r="589" spans="2:6" ht="12.75" customHeight="1" x14ac:dyDescent="0.25">
      <c r="B589" s="100"/>
      <c r="E589" s="100"/>
      <c r="F589" s="100"/>
    </row>
    <row r="590" spans="2:6" ht="12.75" customHeight="1" x14ac:dyDescent="0.25">
      <c r="B590" s="100"/>
      <c r="E590" s="100"/>
      <c r="F590" s="100"/>
    </row>
    <row r="591" spans="2:6" ht="12.75" customHeight="1" x14ac:dyDescent="0.25">
      <c r="B591" s="100"/>
      <c r="E591" s="100"/>
      <c r="F591" s="100"/>
    </row>
    <row r="592" spans="2:6" ht="12.75" customHeight="1" x14ac:dyDescent="0.25">
      <c r="B592" s="100"/>
      <c r="E592" s="100"/>
      <c r="F592" s="100"/>
    </row>
    <row r="593" spans="2:6" ht="12.75" customHeight="1" x14ac:dyDescent="0.25">
      <c r="B593" s="100"/>
      <c r="E593" s="100"/>
      <c r="F593" s="100"/>
    </row>
    <row r="594" spans="2:6" ht="12.75" customHeight="1" x14ac:dyDescent="0.25">
      <c r="B594" s="100"/>
      <c r="E594" s="100"/>
      <c r="F594" s="100"/>
    </row>
    <row r="595" spans="2:6" ht="12.75" customHeight="1" x14ac:dyDescent="0.25">
      <c r="B595" s="100"/>
      <c r="E595" s="100"/>
      <c r="F595" s="100"/>
    </row>
    <row r="596" spans="2:6" ht="12.75" customHeight="1" x14ac:dyDescent="0.25">
      <c r="B596" s="100"/>
      <c r="E596" s="100"/>
      <c r="F596" s="100"/>
    </row>
    <row r="597" spans="2:6" ht="12.75" customHeight="1" x14ac:dyDescent="0.25">
      <c r="B597" s="100"/>
      <c r="E597" s="100"/>
      <c r="F597" s="100"/>
    </row>
    <row r="598" spans="2:6" ht="12.75" customHeight="1" x14ac:dyDescent="0.25">
      <c r="B598" s="100"/>
      <c r="E598" s="100"/>
      <c r="F598" s="100"/>
    </row>
    <row r="599" spans="2:6" ht="12.75" customHeight="1" x14ac:dyDescent="0.25">
      <c r="B599" s="100"/>
      <c r="E599" s="100"/>
      <c r="F599" s="100"/>
    </row>
    <row r="600" spans="2:6" ht="12.75" customHeight="1" x14ac:dyDescent="0.25">
      <c r="B600" s="100"/>
      <c r="E600" s="100"/>
      <c r="F600" s="100"/>
    </row>
    <row r="601" spans="2:6" ht="12.75" customHeight="1" x14ac:dyDescent="0.25">
      <c r="B601" s="100"/>
      <c r="E601" s="100"/>
      <c r="F601" s="100"/>
    </row>
    <row r="602" spans="2:6" ht="12.75" customHeight="1" x14ac:dyDescent="0.25">
      <c r="B602" s="100"/>
      <c r="E602" s="100"/>
      <c r="F602" s="100"/>
    </row>
    <row r="603" spans="2:6" ht="12.75" customHeight="1" x14ac:dyDescent="0.25">
      <c r="B603" s="100"/>
      <c r="E603" s="100"/>
      <c r="F603" s="100"/>
    </row>
    <row r="604" spans="2:6" ht="12.75" customHeight="1" x14ac:dyDescent="0.25">
      <c r="B604" s="100"/>
      <c r="E604" s="100"/>
      <c r="F604" s="100"/>
    </row>
    <row r="605" spans="2:6" ht="12.75" customHeight="1" x14ac:dyDescent="0.25">
      <c r="B605" s="100"/>
      <c r="E605" s="100"/>
      <c r="F605" s="100"/>
    </row>
    <row r="606" spans="2:6" ht="12.75" customHeight="1" x14ac:dyDescent="0.25">
      <c r="B606" s="100"/>
      <c r="E606" s="100"/>
      <c r="F606" s="100"/>
    </row>
    <row r="607" spans="2:6" ht="12.75" customHeight="1" x14ac:dyDescent="0.25">
      <c r="B607" s="100"/>
      <c r="E607" s="100"/>
      <c r="F607" s="100"/>
    </row>
    <row r="608" spans="2:6" ht="12.75" customHeight="1" x14ac:dyDescent="0.25">
      <c r="B608" s="100"/>
      <c r="E608" s="100"/>
      <c r="F608" s="100"/>
    </row>
    <row r="609" spans="2:6" ht="12.75" customHeight="1" x14ac:dyDescent="0.25">
      <c r="B609" s="100"/>
      <c r="E609" s="100"/>
      <c r="F609" s="100"/>
    </row>
    <row r="610" spans="2:6" ht="12.75" customHeight="1" x14ac:dyDescent="0.25">
      <c r="B610" s="100"/>
      <c r="E610" s="100"/>
      <c r="F610" s="100"/>
    </row>
    <row r="611" spans="2:6" ht="12.75" customHeight="1" x14ac:dyDescent="0.25">
      <c r="B611" s="100"/>
      <c r="E611" s="100"/>
      <c r="F611" s="100"/>
    </row>
    <row r="612" spans="2:6" ht="12.75" customHeight="1" x14ac:dyDescent="0.25">
      <c r="B612" s="100"/>
      <c r="E612" s="100"/>
      <c r="F612" s="100"/>
    </row>
    <row r="613" spans="2:6" ht="12.75" customHeight="1" x14ac:dyDescent="0.25">
      <c r="B613" s="100"/>
      <c r="E613" s="100"/>
      <c r="F613" s="100"/>
    </row>
    <row r="614" spans="2:6" ht="12.75" customHeight="1" x14ac:dyDescent="0.25">
      <c r="B614" s="100"/>
      <c r="E614" s="100"/>
      <c r="F614" s="100"/>
    </row>
    <row r="615" spans="2:6" ht="12.75" customHeight="1" x14ac:dyDescent="0.25">
      <c r="B615" s="100"/>
      <c r="E615" s="100"/>
      <c r="F615" s="100"/>
    </row>
    <row r="616" spans="2:6" ht="12.75" customHeight="1" x14ac:dyDescent="0.25">
      <c r="B616" s="100"/>
      <c r="E616" s="100"/>
      <c r="F616" s="100"/>
    </row>
    <row r="617" spans="2:6" ht="12.75" customHeight="1" x14ac:dyDescent="0.25">
      <c r="B617" s="100"/>
      <c r="E617" s="100"/>
      <c r="F617" s="100"/>
    </row>
    <row r="618" spans="2:6" ht="12.75" customHeight="1" x14ac:dyDescent="0.25">
      <c r="B618" s="100"/>
      <c r="E618" s="100"/>
      <c r="F618" s="100"/>
    </row>
    <row r="619" spans="2:6" ht="12.75" customHeight="1" x14ac:dyDescent="0.25">
      <c r="B619" s="100"/>
      <c r="E619" s="100"/>
      <c r="F619" s="100"/>
    </row>
    <row r="620" spans="2:6" ht="12.75" customHeight="1" x14ac:dyDescent="0.25">
      <c r="B620" s="100"/>
      <c r="E620" s="100"/>
      <c r="F620" s="100"/>
    </row>
    <row r="621" spans="2:6" ht="12.75" customHeight="1" x14ac:dyDescent="0.25">
      <c r="B621" s="100"/>
      <c r="E621" s="100"/>
      <c r="F621" s="100"/>
    </row>
    <row r="622" spans="2:6" ht="12.75" customHeight="1" x14ac:dyDescent="0.25">
      <c r="B622" s="100"/>
      <c r="E622" s="100"/>
      <c r="F622" s="100"/>
    </row>
    <row r="623" spans="2:6" ht="12.75" customHeight="1" x14ac:dyDescent="0.25">
      <c r="B623" s="100"/>
      <c r="E623" s="100"/>
      <c r="F623" s="100"/>
    </row>
    <row r="624" spans="2:6" ht="12.75" customHeight="1" x14ac:dyDescent="0.25">
      <c r="B624" s="100"/>
      <c r="E624" s="100"/>
      <c r="F624" s="100"/>
    </row>
    <row r="625" spans="2:6" ht="12.75" customHeight="1" x14ac:dyDescent="0.25">
      <c r="B625" s="100"/>
      <c r="E625" s="100"/>
      <c r="F625" s="100"/>
    </row>
    <row r="626" spans="2:6" ht="12.75" customHeight="1" x14ac:dyDescent="0.25">
      <c r="B626" s="100"/>
      <c r="E626" s="100"/>
      <c r="F626" s="100"/>
    </row>
    <row r="627" spans="2:6" ht="12.75" customHeight="1" x14ac:dyDescent="0.25">
      <c r="B627" s="100"/>
      <c r="E627" s="100"/>
      <c r="F627" s="100"/>
    </row>
    <row r="628" spans="2:6" ht="12.75" customHeight="1" x14ac:dyDescent="0.25">
      <c r="B628" s="100"/>
      <c r="E628" s="100"/>
      <c r="F628" s="100"/>
    </row>
    <row r="629" spans="2:6" ht="12.75" customHeight="1" x14ac:dyDescent="0.25">
      <c r="B629" s="100"/>
      <c r="E629" s="100"/>
      <c r="F629" s="100"/>
    </row>
    <row r="630" spans="2:6" ht="12.75" customHeight="1" x14ac:dyDescent="0.25">
      <c r="B630" s="100"/>
      <c r="E630" s="100"/>
      <c r="F630" s="100"/>
    </row>
    <row r="631" spans="2:6" ht="12.75" customHeight="1" x14ac:dyDescent="0.25">
      <c r="B631" s="100"/>
      <c r="E631" s="100"/>
      <c r="F631" s="100"/>
    </row>
    <row r="632" spans="2:6" ht="12.75" customHeight="1" x14ac:dyDescent="0.25">
      <c r="B632" s="100"/>
      <c r="E632" s="100"/>
      <c r="F632" s="100"/>
    </row>
    <row r="633" spans="2:6" ht="12.75" customHeight="1" x14ac:dyDescent="0.25">
      <c r="B633" s="100"/>
      <c r="E633" s="100"/>
      <c r="F633" s="100"/>
    </row>
    <row r="634" spans="2:6" ht="12.75" customHeight="1" x14ac:dyDescent="0.25">
      <c r="B634" s="100"/>
      <c r="E634" s="100"/>
      <c r="F634" s="100"/>
    </row>
    <row r="635" spans="2:6" ht="12.75" customHeight="1" x14ac:dyDescent="0.25">
      <c r="B635" s="100"/>
      <c r="E635" s="100"/>
      <c r="F635" s="100"/>
    </row>
    <row r="636" spans="2:6" ht="12.75" customHeight="1" x14ac:dyDescent="0.25">
      <c r="B636" s="100"/>
      <c r="E636" s="100"/>
      <c r="F636" s="100"/>
    </row>
    <row r="637" spans="2:6" ht="12.75" customHeight="1" x14ac:dyDescent="0.25">
      <c r="B637" s="100"/>
      <c r="E637" s="100"/>
      <c r="F637" s="100"/>
    </row>
    <row r="638" spans="2:6" ht="12.75" customHeight="1" x14ac:dyDescent="0.25">
      <c r="B638" s="100"/>
      <c r="E638" s="100"/>
      <c r="F638" s="100"/>
    </row>
    <row r="639" spans="2:6" ht="12.75" customHeight="1" x14ac:dyDescent="0.25">
      <c r="B639" s="100"/>
      <c r="E639" s="100"/>
      <c r="F639" s="100"/>
    </row>
    <row r="640" spans="2:6" ht="12.75" customHeight="1" x14ac:dyDescent="0.25">
      <c r="B640" s="100"/>
      <c r="E640" s="100"/>
      <c r="F640" s="100"/>
    </row>
    <row r="641" spans="2:6" ht="12.75" customHeight="1" x14ac:dyDescent="0.25">
      <c r="B641" s="100"/>
      <c r="E641" s="100"/>
      <c r="F641" s="100"/>
    </row>
    <row r="642" spans="2:6" ht="12.75" customHeight="1" x14ac:dyDescent="0.25">
      <c r="B642" s="100"/>
      <c r="E642" s="100"/>
      <c r="F642" s="100"/>
    </row>
    <row r="643" spans="2:6" ht="12.75" customHeight="1" x14ac:dyDescent="0.25">
      <c r="B643" s="100"/>
      <c r="E643" s="100"/>
      <c r="F643" s="100"/>
    </row>
    <row r="644" spans="2:6" ht="12.75" customHeight="1" x14ac:dyDescent="0.25">
      <c r="B644" s="100"/>
      <c r="E644" s="100"/>
      <c r="F644" s="100"/>
    </row>
    <row r="645" spans="2:6" ht="12.75" customHeight="1" x14ac:dyDescent="0.25">
      <c r="B645" s="100"/>
      <c r="E645" s="100"/>
      <c r="F645" s="100"/>
    </row>
    <row r="646" spans="2:6" ht="12.75" customHeight="1" x14ac:dyDescent="0.25">
      <c r="B646" s="100"/>
      <c r="E646" s="100"/>
      <c r="F646" s="100"/>
    </row>
    <row r="647" spans="2:6" ht="12.75" customHeight="1" x14ac:dyDescent="0.25">
      <c r="B647" s="100"/>
      <c r="E647" s="100"/>
      <c r="F647" s="100"/>
    </row>
    <row r="648" spans="2:6" ht="12.75" customHeight="1" x14ac:dyDescent="0.25">
      <c r="B648" s="100"/>
      <c r="E648" s="100"/>
      <c r="F648" s="100"/>
    </row>
    <row r="649" spans="2:6" ht="12.75" customHeight="1" x14ac:dyDescent="0.25">
      <c r="B649" s="100"/>
      <c r="E649" s="100"/>
      <c r="F649" s="100"/>
    </row>
    <row r="650" spans="2:6" ht="12.75" customHeight="1" x14ac:dyDescent="0.25">
      <c r="B650" s="100"/>
      <c r="E650" s="100"/>
      <c r="F650" s="100"/>
    </row>
    <row r="651" spans="2:6" ht="12.75" customHeight="1" x14ac:dyDescent="0.25">
      <c r="B651" s="100"/>
      <c r="E651" s="100"/>
      <c r="F651" s="100"/>
    </row>
    <row r="652" spans="2:6" ht="12.75" customHeight="1" x14ac:dyDescent="0.25">
      <c r="B652" s="100"/>
      <c r="E652" s="100"/>
      <c r="F652" s="100"/>
    </row>
    <row r="653" spans="2:6" ht="12.75" customHeight="1" x14ac:dyDescent="0.25">
      <c r="B653" s="100"/>
      <c r="E653" s="100"/>
      <c r="F653" s="100"/>
    </row>
    <row r="654" spans="2:6" ht="12.75" customHeight="1" x14ac:dyDescent="0.25">
      <c r="B654" s="100"/>
      <c r="E654" s="100"/>
      <c r="F654" s="100"/>
    </row>
    <row r="655" spans="2:6" ht="12.75" customHeight="1" x14ac:dyDescent="0.25">
      <c r="B655" s="100"/>
      <c r="E655" s="100"/>
      <c r="F655" s="100"/>
    </row>
    <row r="656" spans="2:6" ht="12.75" customHeight="1" x14ac:dyDescent="0.25">
      <c r="B656" s="100"/>
      <c r="E656" s="100"/>
      <c r="F656" s="100"/>
    </row>
    <row r="657" spans="2:6" ht="12.75" customHeight="1" x14ac:dyDescent="0.25">
      <c r="B657" s="100"/>
      <c r="E657" s="100"/>
      <c r="F657" s="100"/>
    </row>
    <row r="658" spans="2:6" ht="12.75" customHeight="1" x14ac:dyDescent="0.25">
      <c r="B658" s="100"/>
      <c r="E658" s="100"/>
      <c r="F658" s="100"/>
    </row>
    <row r="659" spans="2:6" ht="12.75" customHeight="1" x14ac:dyDescent="0.25">
      <c r="B659" s="100"/>
      <c r="E659" s="100"/>
      <c r="F659" s="100"/>
    </row>
    <row r="660" spans="2:6" ht="12.75" customHeight="1" x14ac:dyDescent="0.25">
      <c r="B660" s="100"/>
      <c r="E660" s="100"/>
      <c r="F660" s="100"/>
    </row>
    <row r="661" spans="2:6" ht="12.75" customHeight="1" x14ac:dyDescent="0.25">
      <c r="B661" s="100"/>
      <c r="E661" s="100"/>
      <c r="F661" s="100"/>
    </row>
    <row r="662" spans="2:6" ht="12.75" customHeight="1" x14ac:dyDescent="0.25">
      <c r="B662" s="100"/>
      <c r="E662" s="100"/>
      <c r="F662" s="100"/>
    </row>
    <row r="663" spans="2:6" ht="12.75" customHeight="1" x14ac:dyDescent="0.25">
      <c r="B663" s="100"/>
      <c r="E663" s="100"/>
      <c r="F663" s="100"/>
    </row>
    <row r="664" spans="2:6" ht="12.75" customHeight="1" x14ac:dyDescent="0.25">
      <c r="B664" s="100"/>
      <c r="E664" s="100"/>
      <c r="F664" s="100"/>
    </row>
    <row r="665" spans="2:6" ht="12.75" customHeight="1" x14ac:dyDescent="0.25">
      <c r="B665" s="100"/>
      <c r="E665" s="100"/>
      <c r="F665" s="100"/>
    </row>
    <row r="666" spans="2:6" ht="12.75" customHeight="1" x14ac:dyDescent="0.25">
      <c r="B666" s="100"/>
      <c r="E666" s="100"/>
      <c r="F666" s="100"/>
    </row>
    <row r="667" spans="2:6" ht="12.75" customHeight="1" x14ac:dyDescent="0.25">
      <c r="B667" s="100"/>
      <c r="E667" s="100"/>
      <c r="F667" s="100"/>
    </row>
    <row r="668" spans="2:6" ht="12.75" customHeight="1" x14ac:dyDescent="0.25">
      <c r="B668" s="100"/>
      <c r="E668" s="100"/>
      <c r="F668" s="100"/>
    </row>
    <row r="669" spans="2:6" ht="12.75" customHeight="1" x14ac:dyDescent="0.25">
      <c r="B669" s="100"/>
      <c r="E669" s="100"/>
      <c r="F669" s="100"/>
    </row>
    <row r="670" spans="2:6" ht="12.75" customHeight="1" x14ac:dyDescent="0.25">
      <c r="B670" s="100"/>
      <c r="E670" s="100"/>
      <c r="F670" s="100"/>
    </row>
    <row r="671" spans="2:6" ht="12.75" customHeight="1" x14ac:dyDescent="0.25">
      <c r="B671" s="100"/>
      <c r="E671" s="100"/>
      <c r="F671" s="100"/>
    </row>
    <row r="672" spans="2:6" ht="12.75" customHeight="1" x14ac:dyDescent="0.25">
      <c r="B672" s="100"/>
      <c r="E672" s="100"/>
      <c r="F672" s="100"/>
    </row>
    <row r="673" spans="2:6" ht="12.75" customHeight="1" x14ac:dyDescent="0.25">
      <c r="B673" s="100"/>
      <c r="E673" s="100"/>
      <c r="F673" s="100"/>
    </row>
    <row r="674" spans="2:6" ht="12.75" customHeight="1" x14ac:dyDescent="0.25">
      <c r="B674" s="100"/>
      <c r="E674" s="100"/>
      <c r="F674" s="100"/>
    </row>
    <row r="675" spans="2:6" ht="12.75" customHeight="1" x14ac:dyDescent="0.25">
      <c r="B675" s="100"/>
      <c r="E675" s="100"/>
      <c r="F675" s="100"/>
    </row>
    <row r="676" spans="2:6" ht="12.75" customHeight="1" x14ac:dyDescent="0.25">
      <c r="B676" s="100"/>
      <c r="E676" s="100"/>
      <c r="F676" s="100"/>
    </row>
    <row r="677" spans="2:6" ht="12.75" customHeight="1" x14ac:dyDescent="0.25">
      <c r="B677" s="100"/>
      <c r="E677" s="100"/>
      <c r="F677" s="100"/>
    </row>
    <row r="678" spans="2:6" ht="12.75" customHeight="1" x14ac:dyDescent="0.25">
      <c r="B678" s="100"/>
      <c r="E678" s="100"/>
      <c r="F678" s="100"/>
    </row>
    <row r="679" spans="2:6" ht="12.75" customHeight="1" x14ac:dyDescent="0.25">
      <c r="B679" s="100"/>
      <c r="E679" s="100"/>
      <c r="F679" s="100"/>
    </row>
    <row r="680" spans="2:6" ht="12.75" customHeight="1" x14ac:dyDescent="0.25">
      <c r="B680" s="100"/>
      <c r="E680" s="100"/>
      <c r="F680" s="100"/>
    </row>
    <row r="681" spans="2:6" ht="12.75" customHeight="1" x14ac:dyDescent="0.25">
      <c r="B681" s="100"/>
      <c r="E681" s="100"/>
      <c r="F681" s="100"/>
    </row>
    <row r="682" spans="2:6" ht="12.75" customHeight="1" x14ac:dyDescent="0.25">
      <c r="B682" s="100"/>
      <c r="E682" s="100"/>
      <c r="F682" s="100"/>
    </row>
    <row r="683" spans="2:6" ht="12.75" customHeight="1" x14ac:dyDescent="0.25">
      <c r="B683" s="100"/>
      <c r="E683" s="100"/>
      <c r="F683" s="100"/>
    </row>
    <row r="684" spans="2:6" ht="12.75" customHeight="1" x14ac:dyDescent="0.25">
      <c r="B684" s="100"/>
      <c r="E684" s="100"/>
      <c r="F684" s="100"/>
    </row>
    <row r="685" spans="2:6" ht="12.75" customHeight="1" x14ac:dyDescent="0.25">
      <c r="B685" s="100"/>
      <c r="E685" s="100"/>
      <c r="F685" s="100"/>
    </row>
    <row r="686" spans="2:6" ht="12.75" customHeight="1" x14ac:dyDescent="0.25">
      <c r="B686" s="100"/>
      <c r="E686" s="100"/>
      <c r="F686" s="100"/>
    </row>
    <row r="687" spans="2:6" ht="12.75" customHeight="1" x14ac:dyDescent="0.25">
      <c r="B687" s="100"/>
      <c r="E687" s="100"/>
      <c r="F687" s="100"/>
    </row>
    <row r="688" spans="2:6" ht="12.75" customHeight="1" x14ac:dyDescent="0.25">
      <c r="B688" s="100"/>
      <c r="E688" s="100"/>
      <c r="F688" s="100"/>
    </row>
    <row r="689" spans="2:6" ht="12.75" customHeight="1" x14ac:dyDescent="0.25">
      <c r="B689" s="100"/>
      <c r="E689" s="100"/>
      <c r="F689" s="100"/>
    </row>
    <row r="690" spans="2:6" ht="12.75" customHeight="1" x14ac:dyDescent="0.25">
      <c r="B690" s="100"/>
      <c r="E690" s="100"/>
      <c r="F690" s="100"/>
    </row>
    <row r="691" spans="2:6" ht="12.75" customHeight="1" x14ac:dyDescent="0.25">
      <c r="B691" s="100"/>
      <c r="E691" s="100"/>
      <c r="F691" s="100"/>
    </row>
    <row r="692" spans="2:6" ht="12.75" customHeight="1" x14ac:dyDescent="0.25">
      <c r="B692" s="100"/>
      <c r="E692" s="100"/>
      <c r="F692" s="100"/>
    </row>
    <row r="693" spans="2:6" ht="12.75" customHeight="1" x14ac:dyDescent="0.25">
      <c r="B693" s="100"/>
      <c r="E693" s="100"/>
      <c r="F693" s="100"/>
    </row>
    <row r="694" spans="2:6" ht="12.75" customHeight="1" x14ac:dyDescent="0.25">
      <c r="B694" s="100"/>
      <c r="E694" s="100"/>
      <c r="F694" s="100"/>
    </row>
    <row r="695" spans="2:6" ht="12.75" customHeight="1" x14ac:dyDescent="0.25">
      <c r="B695" s="100"/>
      <c r="E695" s="100"/>
      <c r="F695" s="100"/>
    </row>
    <row r="696" spans="2:6" ht="12.75" customHeight="1" x14ac:dyDescent="0.25">
      <c r="B696" s="100"/>
      <c r="E696" s="100"/>
      <c r="F696" s="100"/>
    </row>
    <row r="697" spans="2:6" ht="12.75" customHeight="1" x14ac:dyDescent="0.25">
      <c r="B697" s="100"/>
      <c r="E697" s="100"/>
      <c r="F697" s="100"/>
    </row>
    <row r="698" spans="2:6" ht="12.75" customHeight="1" x14ac:dyDescent="0.25">
      <c r="B698" s="100"/>
      <c r="E698" s="100"/>
      <c r="F698" s="100"/>
    </row>
    <row r="699" spans="2:6" ht="12.75" customHeight="1" x14ac:dyDescent="0.25">
      <c r="B699" s="100"/>
      <c r="E699" s="100"/>
      <c r="F699" s="100"/>
    </row>
    <row r="700" spans="2:6" ht="12.75" customHeight="1" x14ac:dyDescent="0.25">
      <c r="B700" s="100"/>
      <c r="E700" s="100"/>
      <c r="F700" s="100"/>
    </row>
    <row r="701" spans="2:6" ht="12.75" customHeight="1" x14ac:dyDescent="0.25">
      <c r="B701" s="100"/>
      <c r="E701" s="100"/>
      <c r="F701" s="100"/>
    </row>
    <row r="702" spans="2:6" ht="12.75" customHeight="1" x14ac:dyDescent="0.25">
      <c r="B702" s="100"/>
      <c r="E702" s="100"/>
      <c r="F702" s="100"/>
    </row>
    <row r="703" spans="2:6" ht="12.75" customHeight="1" x14ac:dyDescent="0.25">
      <c r="B703" s="100"/>
      <c r="E703" s="100"/>
      <c r="F703" s="100"/>
    </row>
    <row r="704" spans="2:6" ht="12.75" customHeight="1" x14ac:dyDescent="0.25">
      <c r="B704" s="100"/>
      <c r="E704" s="100"/>
      <c r="F704" s="100"/>
    </row>
    <row r="705" spans="2:6" ht="12.75" customHeight="1" x14ac:dyDescent="0.25">
      <c r="B705" s="100"/>
      <c r="E705" s="100"/>
      <c r="F705" s="100"/>
    </row>
    <row r="706" spans="2:6" ht="12.75" customHeight="1" x14ac:dyDescent="0.25">
      <c r="B706" s="100"/>
      <c r="E706" s="100"/>
      <c r="F706" s="100"/>
    </row>
    <row r="707" spans="2:6" ht="12.75" customHeight="1" x14ac:dyDescent="0.25">
      <c r="B707" s="100"/>
      <c r="E707" s="100"/>
      <c r="F707" s="100"/>
    </row>
    <row r="708" spans="2:6" ht="12.75" customHeight="1" x14ac:dyDescent="0.25">
      <c r="B708" s="100"/>
      <c r="E708" s="100"/>
      <c r="F708" s="100"/>
    </row>
    <row r="709" spans="2:6" ht="12.75" customHeight="1" x14ac:dyDescent="0.25">
      <c r="B709" s="100"/>
      <c r="E709" s="100"/>
      <c r="F709" s="100"/>
    </row>
    <row r="710" spans="2:6" ht="12.75" customHeight="1" x14ac:dyDescent="0.25">
      <c r="B710" s="100"/>
      <c r="E710" s="100"/>
      <c r="F710" s="100"/>
    </row>
    <row r="711" spans="2:6" ht="12.75" customHeight="1" x14ac:dyDescent="0.25">
      <c r="B711" s="100"/>
      <c r="E711" s="100"/>
      <c r="F711" s="100"/>
    </row>
    <row r="712" spans="2:6" ht="12.75" customHeight="1" x14ac:dyDescent="0.25">
      <c r="B712" s="100"/>
      <c r="E712" s="100"/>
      <c r="F712" s="100"/>
    </row>
    <row r="713" spans="2:6" ht="12.75" customHeight="1" x14ac:dyDescent="0.25">
      <c r="B713" s="100"/>
      <c r="E713" s="100"/>
      <c r="F713" s="100"/>
    </row>
    <row r="714" spans="2:6" ht="12.75" customHeight="1" x14ac:dyDescent="0.25">
      <c r="B714" s="100"/>
      <c r="E714" s="100"/>
      <c r="F714" s="100"/>
    </row>
    <row r="715" spans="2:6" ht="12.75" customHeight="1" x14ac:dyDescent="0.25">
      <c r="B715" s="100"/>
      <c r="E715" s="100"/>
      <c r="F715" s="100"/>
    </row>
    <row r="716" spans="2:6" ht="12.75" customHeight="1" x14ac:dyDescent="0.25">
      <c r="B716" s="100"/>
      <c r="E716" s="100"/>
      <c r="F716" s="100"/>
    </row>
    <row r="717" spans="2:6" ht="12.75" customHeight="1" x14ac:dyDescent="0.25">
      <c r="B717" s="100"/>
      <c r="E717" s="100"/>
      <c r="F717" s="100"/>
    </row>
    <row r="718" spans="2:6" ht="12.75" customHeight="1" x14ac:dyDescent="0.25">
      <c r="B718" s="100"/>
      <c r="E718" s="100"/>
      <c r="F718" s="100"/>
    </row>
    <row r="719" spans="2:6" ht="12.75" customHeight="1" x14ac:dyDescent="0.25">
      <c r="B719" s="100"/>
      <c r="E719" s="100"/>
      <c r="F719" s="100"/>
    </row>
    <row r="720" spans="2:6" ht="12.75" customHeight="1" x14ac:dyDescent="0.25">
      <c r="B720" s="100"/>
      <c r="E720" s="100"/>
      <c r="F720" s="100"/>
    </row>
    <row r="721" spans="2:6" ht="12.75" customHeight="1" x14ac:dyDescent="0.25">
      <c r="B721" s="100"/>
      <c r="E721" s="100"/>
      <c r="F721" s="100"/>
    </row>
    <row r="722" spans="2:6" ht="12.75" customHeight="1" x14ac:dyDescent="0.25">
      <c r="B722" s="100"/>
      <c r="E722" s="100"/>
      <c r="F722" s="100"/>
    </row>
    <row r="723" spans="2:6" ht="12.75" customHeight="1" x14ac:dyDescent="0.25">
      <c r="B723" s="100"/>
      <c r="E723" s="100"/>
      <c r="F723" s="100"/>
    </row>
    <row r="724" spans="2:6" ht="12.75" customHeight="1" x14ac:dyDescent="0.25">
      <c r="B724" s="100"/>
      <c r="E724" s="100"/>
      <c r="F724" s="100"/>
    </row>
    <row r="725" spans="2:6" ht="12.75" customHeight="1" x14ac:dyDescent="0.25">
      <c r="B725" s="100"/>
      <c r="E725" s="100"/>
      <c r="F725" s="100"/>
    </row>
    <row r="726" spans="2:6" ht="12.75" customHeight="1" x14ac:dyDescent="0.25">
      <c r="B726" s="100"/>
      <c r="E726" s="100"/>
      <c r="F726" s="100"/>
    </row>
    <row r="727" spans="2:6" ht="12.75" customHeight="1" x14ac:dyDescent="0.25">
      <c r="B727" s="100"/>
      <c r="E727" s="100"/>
      <c r="F727" s="100"/>
    </row>
    <row r="728" spans="2:6" ht="12.75" customHeight="1" x14ac:dyDescent="0.25">
      <c r="B728" s="100"/>
      <c r="E728" s="100"/>
      <c r="F728" s="100"/>
    </row>
    <row r="729" spans="2:6" ht="12.75" customHeight="1" x14ac:dyDescent="0.25">
      <c r="B729" s="100"/>
      <c r="E729" s="100"/>
      <c r="F729" s="100"/>
    </row>
    <row r="730" spans="2:6" ht="12.75" customHeight="1" x14ac:dyDescent="0.25">
      <c r="B730" s="100"/>
      <c r="E730" s="100"/>
      <c r="F730" s="100"/>
    </row>
    <row r="731" spans="2:6" ht="12.75" customHeight="1" x14ac:dyDescent="0.25">
      <c r="B731" s="100"/>
      <c r="E731" s="100"/>
      <c r="F731" s="100"/>
    </row>
    <row r="732" spans="2:6" ht="12.75" customHeight="1" x14ac:dyDescent="0.25">
      <c r="B732" s="100"/>
      <c r="E732" s="100"/>
      <c r="F732" s="100"/>
    </row>
    <row r="733" spans="2:6" ht="12.75" customHeight="1" x14ac:dyDescent="0.25">
      <c r="B733" s="100"/>
      <c r="E733" s="100"/>
      <c r="F733" s="100"/>
    </row>
    <row r="734" spans="2:6" ht="12.75" customHeight="1" x14ac:dyDescent="0.25">
      <c r="B734" s="100"/>
      <c r="E734" s="100"/>
      <c r="F734" s="100"/>
    </row>
    <row r="735" spans="2:6" ht="12.75" customHeight="1" x14ac:dyDescent="0.25">
      <c r="B735" s="100"/>
      <c r="E735" s="100"/>
      <c r="F735" s="100"/>
    </row>
    <row r="736" spans="2:6" ht="12.75" customHeight="1" x14ac:dyDescent="0.25">
      <c r="B736" s="100"/>
      <c r="E736" s="100"/>
      <c r="F736" s="100"/>
    </row>
    <row r="737" spans="2:6" ht="12.75" customHeight="1" x14ac:dyDescent="0.25">
      <c r="B737" s="100"/>
      <c r="E737" s="100"/>
      <c r="F737" s="100"/>
    </row>
    <row r="738" spans="2:6" ht="12.75" customHeight="1" x14ac:dyDescent="0.25">
      <c r="B738" s="100"/>
      <c r="E738" s="100"/>
      <c r="F738" s="100"/>
    </row>
    <row r="739" spans="2:6" ht="12.75" customHeight="1" x14ac:dyDescent="0.25">
      <c r="B739" s="100"/>
      <c r="E739" s="100"/>
      <c r="F739" s="100"/>
    </row>
    <row r="740" spans="2:6" ht="12.75" customHeight="1" x14ac:dyDescent="0.25">
      <c r="B740" s="100"/>
      <c r="E740" s="100"/>
      <c r="F740" s="100"/>
    </row>
    <row r="741" spans="2:6" ht="12.75" customHeight="1" x14ac:dyDescent="0.25">
      <c r="B741" s="100"/>
      <c r="E741" s="100"/>
      <c r="F741" s="100"/>
    </row>
    <row r="742" spans="2:6" ht="12.75" customHeight="1" x14ac:dyDescent="0.25">
      <c r="B742" s="100"/>
      <c r="E742" s="100"/>
      <c r="F742" s="100"/>
    </row>
    <row r="743" spans="2:6" ht="12.75" customHeight="1" x14ac:dyDescent="0.25">
      <c r="B743" s="100"/>
      <c r="E743" s="100"/>
      <c r="F743" s="100"/>
    </row>
    <row r="744" spans="2:6" ht="12.75" customHeight="1" x14ac:dyDescent="0.25">
      <c r="B744" s="100"/>
      <c r="E744" s="100"/>
      <c r="F744" s="100"/>
    </row>
    <row r="745" spans="2:6" ht="12.75" customHeight="1" x14ac:dyDescent="0.25">
      <c r="B745" s="100"/>
      <c r="E745" s="100"/>
      <c r="F745" s="100"/>
    </row>
    <row r="746" spans="2:6" ht="12.75" customHeight="1" x14ac:dyDescent="0.25">
      <c r="B746" s="100"/>
      <c r="E746" s="100"/>
      <c r="F746" s="100"/>
    </row>
    <row r="747" spans="2:6" ht="12.75" customHeight="1" x14ac:dyDescent="0.25">
      <c r="B747" s="100"/>
      <c r="E747" s="100"/>
      <c r="F747" s="100"/>
    </row>
    <row r="748" spans="2:6" ht="12.75" customHeight="1" x14ac:dyDescent="0.25">
      <c r="B748" s="100"/>
      <c r="E748" s="100"/>
      <c r="F748" s="100"/>
    </row>
    <row r="749" spans="2:6" ht="12.75" customHeight="1" x14ac:dyDescent="0.25">
      <c r="B749" s="100"/>
      <c r="E749" s="100"/>
      <c r="F749" s="100"/>
    </row>
    <row r="750" spans="2:6" ht="12.75" customHeight="1" x14ac:dyDescent="0.25">
      <c r="B750" s="100"/>
      <c r="E750" s="100"/>
      <c r="F750" s="100"/>
    </row>
    <row r="751" spans="2:6" ht="12.75" customHeight="1" x14ac:dyDescent="0.25">
      <c r="B751" s="100"/>
      <c r="E751" s="100"/>
      <c r="F751" s="100"/>
    </row>
    <row r="752" spans="2:6" ht="12.75" customHeight="1" x14ac:dyDescent="0.25">
      <c r="B752" s="100"/>
      <c r="E752" s="100"/>
      <c r="F752" s="100"/>
    </row>
    <row r="753" spans="2:6" ht="12.75" customHeight="1" x14ac:dyDescent="0.25">
      <c r="B753" s="100"/>
      <c r="E753" s="100"/>
      <c r="F753" s="100"/>
    </row>
    <row r="754" spans="2:6" ht="12.75" customHeight="1" x14ac:dyDescent="0.25">
      <c r="B754" s="100"/>
      <c r="E754" s="100"/>
      <c r="F754" s="100"/>
    </row>
    <row r="755" spans="2:6" ht="12.75" customHeight="1" x14ac:dyDescent="0.25">
      <c r="B755" s="100"/>
      <c r="E755" s="100"/>
      <c r="F755" s="100"/>
    </row>
    <row r="756" spans="2:6" ht="12.75" customHeight="1" x14ac:dyDescent="0.25">
      <c r="B756" s="100"/>
      <c r="E756" s="100"/>
      <c r="F756" s="100"/>
    </row>
    <row r="757" spans="2:6" ht="12.75" customHeight="1" x14ac:dyDescent="0.25">
      <c r="B757" s="100"/>
      <c r="E757" s="100"/>
      <c r="F757" s="100"/>
    </row>
    <row r="758" spans="2:6" ht="12.75" customHeight="1" x14ac:dyDescent="0.25">
      <c r="B758" s="100"/>
      <c r="E758" s="100"/>
      <c r="F758" s="100"/>
    </row>
    <row r="759" spans="2:6" ht="12.75" customHeight="1" x14ac:dyDescent="0.25">
      <c r="B759" s="100"/>
      <c r="E759" s="100"/>
      <c r="F759" s="100"/>
    </row>
    <row r="760" spans="2:6" ht="12.75" customHeight="1" x14ac:dyDescent="0.25">
      <c r="B760" s="100"/>
      <c r="E760" s="100"/>
      <c r="F760" s="100"/>
    </row>
    <row r="761" spans="2:6" ht="12.75" customHeight="1" x14ac:dyDescent="0.25">
      <c r="B761" s="100"/>
      <c r="E761" s="100"/>
      <c r="F761" s="100"/>
    </row>
    <row r="762" spans="2:6" ht="12.75" customHeight="1" x14ac:dyDescent="0.25">
      <c r="B762" s="100"/>
      <c r="E762" s="100"/>
      <c r="F762" s="100"/>
    </row>
    <row r="763" spans="2:6" ht="12.75" customHeight="1" x14ac:dyDescent="0.25">
      <c r="B763" s="100"/>
      <c r="E763" s="100"/>
      <c r="F763" s="100"/>
    </row>
    <row r="764" spans="2:6" ht="12.75" customHeight="1" x14ac:dyDescent="0.25">
      <c r="B764" s="100"/>
      <c r="E764" s="100"/>
      <c r="F764" s="100"/>
    </row>
    <row r="765" spans="2:6" ht="12.75" customHeight="1" x14ac:dyDescent="0.25">
      <c r="B765" s="100"/>
      <c r="E765" s="100"/>
      <c r="F765" s="100"/>
    </row>
    <row r="766" spans="2:6" ht="12.75" customHeight="1" x14ac:dyDescent="0.25">
      <c r="B766" s="100"/>
      <c r="E766" s="100"/>
      <c r="F766" s="100"/>
    </row>
    <row r="767" spans="2:6" ht="12.75" customHeight="1" x14ac:dyDescent="0.25">
      <c r="B767" s="100"/>
      <c r="E767" s="100"/>
      <c r="F767" s="100"/>
    </row>
    <row r="768" spans="2:6" ht="12.75" customHeight="1" x14ac:dyDescent="0.25">
      <c r="B768" s="100"/>
      <c r="E768" s="100"/>
      <c r="F768" s="100"/>
    </row>
    <row r="769" spans="2:6" ht="12.75" customHeight="1" x14ac:dyDescent="0.25">
      <c r="B769" s="100"/>
      <c r="E769" s="100"/>
      <c r="F769" s="100"/>
    </row>
    <row r="770" spans="2:6" ht="12.75" customHeight="1" x14ac:dyDescent="0.25">
      <c r="B770" s="100"/>
      <c r="E770" s="100"/>
      <c r="F770" s="100"/>
    </row>
    <row r="771" spans="2:6" ht="12.75" customHeight="1" x14ac:dyDescent="0.25">
      <c r="B771" s="100"/>
      <c r="E771" s="100"/>
      <c r="F771" s="100"/>
    </row>
    <row r="772" spans="2:6" ht="12.75" customHeight="1" x14ac:dyDescent="0.25">
      <c r="B772" s="100"/>
      <c r="E772" s="100"/>
      <c r="F772" s="100"/>
    </row>
    <row r="773" spans="2:6" ht="12.75" customHeight="1" x14ac:dyDescent="0.25">
      <c r="B773" s="100"/>
      <c r="E773" s="100"/>
      <c r="F773" s="100"/>
    </row>
    <row r="774" spans="2:6" ht="12.75" customHeight="1" x14ac:dyDescent="0.25">
      <c r="B774" s="100"/>
      <c r="E774" s="100"/>
      <c r="F774" s="100"/>
    </row>
    <row r="775" spans="2:6" ht="12.75" customHeight="1" x14ac:dyDescent="0.25">
      <c r="B775" s="100"/>
      <c r="E775" s="100"/>
      <c r="F775" s="100"/>
    </row>
    <row r="776" spans="2:6" ht="12.75" customHeight="1" x14ac:dyDescent="0.25">
      <c r="B776" s="100"/>
      <c r="E776" s="100"/>
      <c r="F776" s="100"/>
    </row>
    <row r="777" spans="2:6" ht="12.75" customHeight="1" x14ac:dyDescent="0.25">
      <c r="B777" s="100"/>
      <c r="E777" s="100"/>
      <c r="F777" s="100"/>
    </row>
    <row r="778" spans="2:6" ht="12.75" customHeight="1" x14ac:dyDescent="0.25">
      <c r="B778" s="100"/>
      <c r="E778" s="100"/>
      <c r="F778" s="100"/>
    </row>
    <row r="779" spans="2:6" ht="12.75" customHeight="1" x14ac:dyDescent="0.25">
      <c r="B779" s="100"/>
      <c r="E779" s="100"/>
      <c r="F779" s="100"/>
    </row>
    <row r="780" spans="2:6" ht="12.75" customHeight="1" x14ac:dyDescent="0.25">
      <c r="B780" s="100"/>
      <c r="E780" s="100"/>
      <c r="F780" s="100"/>
    </row>
    <row r="781" spans="2:6" ht="12.75" customHeight="1" x14ac:dyDescent="0.25">
      <c r="B781" s="100"/>
      <c r="E781" s="100"/>
      <c r="F781" s="100"/>
    </row>
    <row r="782" spans="2:6" ht="12.75" customHeight="1" x14ac:dyDescent="0.25">
      <c r="B782" s="100"/>
      <c r="E782" s="100"/>
      <c r="F782" s="100"/>
    </row>
    <row r="783" spans="2:6" ht="12.75" customHeight="1" x14ac:dyDescent="0.25">
      <c r="B783" s="100"/>
      <c r="E783" s="100"/>
      <c r="F783" s="100"/>
    </row>
    <row r="784" spans="2:6" ht="12.75" customHeight="1" x14ac:dyDescent="0.25">
      <c r="B784" s="100"/>
      <c r="E784" s="100"/>
      <c r="F784" s="100"/>
    </row>
    <row r="785" spans="2:6" ht="12.75" customHeight="1" x14ac:dyDescent="0.25">
      <c r="B785" s="100"/>
      <c r="E785" s="100"/>
      <c r="F785" s="100"/>
    </row>
    <row r="786" spans="2:6" ht="12.75" customHeight="1" x14ac:dyDescent="0.25">
      <c r="B786" s="100"/>
      <c r="E786" s="100"/>
      <c r="F786" s="100"/>
    </row>
    <row r="787" spans="2:6" ht="12.75" customHeight="1" x14ac:dyDescent="0.25">
      <c r="B787" s="100"/>
      <c r="E787" s="100"/>
      <c r="F787" s="100"/>
    </row>
    <row r="788" spans="2:6" ht="12.75" customHeight="1" x14ac:dyDescent="0.25">
      <c r="B788" s="100"/>
      <c r="E788" s="100"/>
      <c r="F788" s="100"/>
    </row>
    <row r="789" spans="2:6" ht="12.75" customHeight="1" x14ac:dyDescent="0.25">
      <c r="B789" s="100"/>
      <c r="E789" s="100"/>
      <c r="F789" s="100"/>
    </row>
    <row r="790" spans="2:6" ht="12.75" customHeight="1" x14ac:dyDescent="0.25">
      <c r="B790" s="100"/>
      <c r="E790" s="100"/>
      <c r="F790" s="100"/>
    </row>
    <row r="791" spans="2:6" ht="12.75" customHeight="1" x14ac:dyDescent="0.25">
      <c r="B791" s="100"/>
      <c r="E791" s="100"/>
      <c r="F791" s="100"/>
    </row>
    <row r="792" spans="2:6" ht="12.75" customHeight="1" x14ac:dyDescent="0.25">
      <c r="B792" s="100"/>
      <c r="E792" s="100"/>
      <c r="F792" s="100"/>
    </row>
    <row r="793" spans="2:6" ht="12.75" customHeight="1" x14ac:dyDescent="0.25">
      <c r="B793" s="100"/>
      <c r="E793" s="100"/>
      <c r="F793" s="100"/>
    </row>
    <row r="794" spans="2:6" ht="12.75" customHeight="1" x14ac:dyDescent="0.25">
      <c r="B794" s="100"/>
      <c r="E794" s="100"/>
      <c r="F794" s="100"/>
    </row>
    <row r="795" spans="2:6" ht="12.75" customHeight="1" x14ac:dyDescent="0.25">
      <c r="B795" s="100"/>
      <c r="E795" s="100"/>
      <c r="F795" s="100"/>
    </row>
    <row r="796" spans="2:6" ht="12.75" customHeight="1" x14ac:dyDescent="0.25">
      <c r="B796" s="100"/>
      <c r="E796" s="100"/>
      <c r="F796" s="100"/>
    </row>
    <row r="797" spans="2:6" ht="12.75" customHeight="1" x14ac:dyDescent="0.25">
      <c r="B797" s="100"/>
      <c r="E797" s="100"/>
      <c r="F797" s="100"/>
    </row>
    <row r="798" spans="2:6" ht="12.75" customHeight="1" x14ac:dyDescent="0.25">
      <c r="B798" s="100"/>
      <c r="E798" s="100"/>
      <c r="F798" s="100"/>
    </row>
    <row r="799" spans="2:6" ht="12.75" customHeight="1" x14ac:dyDescent="0.25">
      <c r="B799" s="100"/>
      <c r="E799" s="100"/>
      <c r="F799" s="100"/>
    </row>
    <row r="800" spans="2:6" ht="12.75" customHeight="1" x14ac:dyDescent="0.25">
      <c r="B800" s="100"/>
      <c r="E800" s="100"/>
      <c r="F800" s="100"/>
    </row>
    <row r="801" spans="2:6" ht="12.75" customHeight="1" x14ac:dyDescent="0.25">
      <c r="B801" s="100"/>
      <c r="E801" s="100"/>
      <c r="F801" s="100"/>
    </row>
    <row r="802" spans="2:6" ht="12.75" customHeight="1" x14ac:dyDescent="0.25">
      <c r="B802" s="100"/>
      <c r="E802" s="100"/>
      <c r="F802" s="100"/>
    </row>
    <row r="803" spans="2:6" ht="12.75" customHeight="1" x14ac:dyDescent="0.25">
      <c r="B803" s="100"/>
      <c r="E803" s="100"/>
      <c r="F803" s="100"/>
    </row>
    <row r="804" spans="2:6" ht="12.75" customHeight="1" x14ac:dyDescent="0.25">
      <c r="B804" s="100"/>
      <c r="E804" s="100"/>
      <c r="F804" s="100"/>
    </row>
    <row r="805" spans="2:6" ht="12.75" customHeight="1" x14ac:dyDescent="0.25">
      <c r="B805" s="100"/>
      <c r="E805" s="100"/>
      <c r="F805" s="100"/>
    </row>
    <row r="806" spans="2:6" ht="12.75" customHeight="1" x14ac:dyDescent="0.25">
      <c r="B806" s="100"/>
      <c r="E806" s="100"/>
      <c r="F806" s="100"/>
    </row>
    <row r="807" spans="2:6" ht="12.75" customHeight="1" x14ac:dyDescent="0.25">
      <c r="B807" s="100"/>
      <c r="E807" s="100"/>
      <c r="F807" s="100"/>
    </row>
    <row r="808" spans="2:6" ht="12.75" customHeight="1" x14ac:dyDescent="0.25">
      <c r="B808" s="100"/>
      <c r="E808" s="100"/>
      <c r="F808" s="100"/>
    </row>
    <row r="809" spans="2:6" ht="12.75" customHeight="1" x14ac:dyDescent="0.25">
      <c r="B809" s="100"/>
      <c r="E809" s="100"/>
      <c r="F809" s="100"/>
    </row>
    <row r="810" spans="2:6" ht="12.75" customHeight="1" x14ac:dyDescent="0.25">
      <c r="B810" s="100"/>
      <c r="E810" s="100"/>
      <c r="F810" s="100"/>
    </row>
    <row r="811" spans="2:6" ht="12.75" customHeight="1" x14ac:dyDescent="0.25">
      <c r="B811" s="100"/>
      <c r="E811" s="100"/>
      <c r="F811" s="100"/>
    </row>
    <row r="812" spans="2:6" ht="12.75" customHeight="1" x14ac:dyDescent="0.25">
      <c r="B812" s="100"/>
      <c r="E812" s="100"/>
      <c r="F812" s="100"/>
    </row>
    <row r="813" spans="2:6" ht="12.75" customHeight="1" x14ac:dyDescent="0.25">
      <c r="B813" s="100"/>
      <c r="E813" s="100"/>
      <c r="F813" s="100"/>
    </row>
    <row r="814" spans="2:6" ht="12.75" customHeight="1" x14ac:dyDescent="0.25">
      <c r="B814" s="100"/>
      <c r="E814" s="100"/>
      <c r="F814" s="100"/>
    </row>
    <row r="815" spans="2:6" ht="12.75" customHeight="1" x14ac:dyDescent="0.25">
      <c r="B815" s="100"/>
      <c r="E815" s="100"/>
      <c r="F815" s="100"/>
    </row>
    <row r="816" spans="2:6" ht="12.75" customHeight="1" x14ac:dyDescent="0.25">
      <c r="B816" s="100"/>
      <c r="E816" s="100"/>
      <c r="F816" s="100"/>
    </row>
    <row r="817" spans="2:6" ht="12.75" customHeight="1" x14ac:dyDescent="0.25">
      <c r="B817" s="100"/>
      <c r="E817" s="100"/>
      <c r="F817" s="100"/>
    </row>
    <row r="818" spans="2:6" ht="12.75" customHeight="1" x14ac:dyDescent="0.25">
      <c r="B818" s="100"/>
      <c r="E818" s="100"/>
      <c r="F818" s="100"/>
    </row>
    <row r="819" spans="2:6" ht="12.75" customHeight="1" x14ac:dyDescent="0.25">
      <c r="B819" s="100"/>
      <c r="E819" s="100"/>
      <c r="F819" s="100"/>
    </row>
    <row r="820" spans="2:6" ht="12.75" customHeight="1" x14ac:dyDescent="0.25">
      <c r="B820" s="100"/>
      <c r="E820" s="100"/>
      <c r="F820" s="100"/>
    </row>
    <row r="821" spans="2:6" ht="12.75" customHeight="1" x14ac:dyDescent="0.25">
      <c r="B821" s="100"/>
      <c r="E821" s="100"/>
      <c r="F821" s="100"/>
    </row>
    <row r="822" spans="2:6" ht="12.75" customHeight="1" x14ac:dyDescent="0.25">
      <c r="B822" s="100"/>
      <c r="E822" s="100"/>
      <c r="F822" s="100"/>
    </row>
    <row r="823" spans="2:6" ht="12.75" customHeight="1" x14ac:dyDescent="0.25">
      <c r="B823" s="100"/>
      <c r="E823" s="100"/>
      <c r="F823" s="100"/>
    </row>
    <row r="824" spans="2:6" ht="12.75" customHeight="1" x14ac:dyDescent="0.25">
      <c r="B824" s="100"/>
      <c r="E824" s="100"/>
      <c r="F824" s="100"/>
    </row>
    <row r="825" spans="2:6" ht="12.75" customHeight="1" x14ac:dyDescent="0.25">
      <c r="B825" s="100"/>
      <c r="E825" s="100"/>
      <c r="F825" s="100"/>
    </row>
    <row r="826" spans="2:6" ht="12.75" customHeight="1" x14ac:dyDescent="0.25">
      <c r="B826" s="100"/>
      <c r="E826" s="100"/>
      <c r="F826" s="100"/>
    </row>
    <row r="827" spans="2:6" ht="12.75" customHeight="1" x14ac:dyDescent="0.25">
      <c r="B827" s="100"/>
      <c r="E827" s="100"/>
      <c r="F827" s="100"/>
    </row>
    <row r="828" spans="2:6" ht="12.75" customHeight="1" x14ac:dyDescent="0.25">
      <c r="B828" s="100"/>
      <c r="E828" s="100"/>
      <c r="F828" s="100"/>
    </row>
    <row r="829" spans="2:6" ht="12.75" customHeight="1" x14ac:dyDescent="0.25">
      <c r="B829" s="100"/>
      <c r="E829" s="100"/>
      <c r="F829" s="100"/>
    </row>
    <row r="830" spans="2:6" ht="12.75" customHeight="1" x14ac:dyDescent="0.25">
      <c r="B830" s="100"/>
      <c r="E830" s="100"/>
      <c r="F830" s="100"/>
    </row>
    <row r="831" spans="2:6" ht="12.75" customHeight="1" x14ac:dyDescent="0.25">
      <c r="B831" s="100"/>
      <c r="E831" s="100"/>
      <c r="F831" s="100"/>
    </row>
    <row r="832" spans="2:6" ht="12.75" customHeight="1" x14ac:dyDescent="0.25">
      <c r="B832" s="100"/>
      <c r="E832" s="100"/>
      <c r="F832" s="100"/>
    </row>
    <row r="833" spans="2:6" ht="12.75" customHeight="1" x14ac:dyDescent="0.25">
      <c r="B833" s="100"/>
      <c r="E833" s="100"/>
      <c r="F833" s="100"/>
    </row>
    <row r="834" spans="2:6" ht="12.75" customHeight="1" x14ac:dyDescent="0.25">
      <c r="B834" s="100"/>
      <c r="E834" s="100"/>
      <c r="F834" s="100"/>
    </row>
    <row r="835" spans="2:6" ht="12.75" customHeight="1" x14ac:dyDescent="0.25">
      <c r="B835" s="100"/>
      <c r="E835" s="100"/>
      <c r="F835" s="100"/>
    </row>
    <row r="836" spans="2:6" ht="12.75" customHeight="1" x14ac:dyDescent="0.25">
      <c r="B836" s="100"/>
      <c r="E836" s="100"/>
      <c r="F836" s="100"/>
    </row>
    <row r="837" spans="2:6" ht="12.75" customHeight="1" x14ac:dyDescent="0.25">
      <c r="B837" s="100"/>
      <c r="E837" s="100"/>
      <c r="F837" s="100"/>
    </row>
    <row r="838" spans="2:6" ht="12.75" customHeight="1" x14ac:dyDescent="0.25">
      <c r="B838" s="100"/>
      <c r="E838" s="100"/>
      <c r="F838" s="100"/>
    </row>
    <row r="839" spans="2:6" ht="12.75" customHeight="1" x14ac:dyDescent="0.25">
      <c r="B839" s="100"/>
      <c r="E839" s="100"/>
      <c r="F839" s="100"/>
    </row>
    <row r="840" spans="2:6" ht="12.75" customHeight="1" x14ac:dyDescent="0.25">
      <c r="B840" s="100"/>
      <c r="E840" s="100"/>
      <c r="F840" s="100"/>
    </row>
    <row r="841" spans="2:6" ht="12.75" customHeight="1" x14ac:dyDescent="0.25">
      <c r="B841" s="100"/>
      <c r="E841" s="100"/>
      <c r="F841" s="100"/>
    </row>
    <row r="842" spans="2:6" ht="12.75" customHeight="1" x14ac:dyDescent="0.25">
      <c r="B842" s="100"/>
      <c r="E842" s="100"/>
      <c r="F842" s="100"/>
    </row>
    <row r="843" spans="2:6" ht="12.75" customHeight="1" x14ac:dyDescent="0.25">
      <c r="B843" s="100"/>
      <c r="E843" s="100"/>
      <c r="F843" s="100"/>
    </row>
    <row r="844" spans="2:6" ht="12.75" customHeight="1" x14ac:dyDescent="0.25">
      <c r="B844" s="100"/>
      <c r="E844" s="100"/>
      <c r="F844" s="100"/>
    </row>
    <row r="845" spans="2:6" ht="12.75" customHeight="1" x14ac:dyDescent="0.25">
      <c r="B845" s="100"/>
      <c r="E845" s="100"/>
      <c r="F845" s="100"/>
    </row>
    <row r="846" spans="2:6" ht="12.75" customHeight="1" x14ac:dyDescent="0.25">
      <c r="B846" s="100"/>
      <c r="E846" s="100"/>
      <c r="F846" s="100"/>
    </row>
    <row r="847" spans="2:6" ht="12.75" customHeight="1" x14ac:dyDescent="0.25">
      <c r="B847" s="100"/>
      <c r="E847" s="100"/>
      <c r="F847" s="100"/>
    </row>
    <row r="848" spans="2:6" ht="12.75" customHeight="1" x14ac:dyDescent="0.25">
      <c r="B848" s="100"/>
      <c r="E848" s="100"/>
      <c r="F848" s="100"/>
    </row>
    <row r="849" spans="2:6" ht="12.75" customHeight="1" x14ac:dyDescent="0.25">
      <c r="B849" s="100"/>
      <c r="E849" s="100"/>
      <c r="F849" s="100"/>
    </row>
    <row r="850" spans="2:6" ht="12.75" customHeight="1" x14ac:dyDescent="0.25">
      <c r="B850" s="100"/>
      <c r="E850" s="100"/>
      <c r="F850" s="100"/>
    </row>
    <row r="851" spans="2:6" ht="12.75" customHeight="1" x14ac:dyDescent="0.25">
      <c r="B851" s="100"/>
      <c r="E851" s="100"/>
      <c r="F851" s="100"/>
    </row>
    <row r="852" spans="2:6" ht="12.75" customHeight="1" x14ac:dyDescent="0.25">
      <c r="B852" s="100"/>
      <c r="E852" s="100"/>
      <c r="F852" s="100"/>
    </row>
    <row r="853" spans="2:6" ht="12.75" customHeight="1" x14ac:dyDescent="0.25">
      <c r="B853" s="100"/>
      <c r="E853" s="100"/>
      <c r="F853" s="100"/>
    </row>
    <row r="854" spans="2:6" ht="12.75" customHeight="1" x14ac:dyDescent="0.25">
      <c r="B854" s="100"/>
      <c r="E854" s="100"/>
      <c r="F854" s="100"/>
    </row>
    <row r="855" spans="2:6" ht="12.75" customHeight="1" x14ac:dyDescent="0.25">
      <c r="B855" s="100"/>
      <c r="E855" s="100"/>
      <c r="F855" s="100"/>
    </row>
    <row r="856" spans="2:6" ht="12.75" customHeight="1" x14ac:dyDescent="0.25">
      <c r="B856" s="100"/>
      <c r="E856" s="100"/>
      <c r="F856" s="100"/>
    </row>
    <row r="857" spans="2:6" ht="12.75" customHeight="1" x14ac:dyDescent="0.25">
      <c r="B857" s="100"/>
      <c r="E857" s="100"/>
      <c r="F857" s="100"/>
    </row>
    <row r="858" spans="2:6" ht="12.75" customHeight="1" x14ac:dyDescent="0.25">
      <c r="B858" s="100"/>
      <c r="E858" s="100"/>
      <c r="F858" s="100"/>
    </row>
    <row r="859" spans="2:6" ht="12.75" customHeight="1" x14ac:dyDescent="0.25">
      <c r="B859" s="100"/>
      <c r="E859" s="100"/>
      <c r="F859" s="100"/>
    </row>
    <row r="860" spans="2:6" ht="12.75" customHeight="1" x14ac:dyDescent="0.25">
      <c r="B860" s="100"/>
      <c r="E860" s="100"/>
      <c r="F860" s="100"/>
    </row>
    <row r="861" spans="2:6" ht="12.75" customHeight="1" x14ac:dyDescent="0.25">
      <c r="B861" s="100"/>
      <c r="E861" s="100"/>
      <c r="F861" s="100"/>
    </row>
    <row r="862" spans="2:6" ht="12.75" customHeight="1" x14ac:dyDescent="0.25">
      <c r="B862" s="100"/>
      <c r="E862" s="100"/>
      <c r="F862" s="100"/>
    </row>
    <row r="863" spans="2:6" ht="12.75" customHeight="1" x14ac:dyDescent="0.25">
      <c r="B863" s="100"/>
      <c r="E863" s="100"/>
      <c r="F863" s="100"/>
    </row>
    <row r="864" spans="2:6" ht="12.75" customHeight="1" x14ac:dyDescent="0.25">
      <c r="B864" s="100"/>
      <c r="E864" s="100"/>
      <c r="F864" s="100"/>
    </row>
    <row r="865" spans="2:6" ht="12.75" customHeight="1" x14ac:dyDescent="0.25">
      <c r="B865" s="100"/>
      <c r="E865" s="100"/>
      <c r="F865" s="100"/>
    </row>
    <row r="866" spans="2:6" ht="12.75" customHeight="1" x14ac:dyDescent="0.25">
      <c r="B866" s="100"/>
      <c r="E866" s="100"/>
      <c r="F866" s="100"/>
    </row>
    <row r="867" spans="2:6" ht="12.75" customHeight="1" x14ac:dyDescent="0.25">
      <c r="B867" s="100"/>
      <c r="E867" s="100"/>
      <c r="F867" s="100"/>
    </row>
    <row r="868" spans="2:6" ht="12.75" customHeight="1" x14ac:dyDescent="0.25">
      <c r="B868" s="100"/>
      <c r="E868" s="100"/>
      <c r="F868" s="100"/>
    </row>
    <row r="869" spans="2:6" ht="12.75" customHeight="1" x14ac:dyDescent="0.25">
      <c r="B869" s="100"/>
      <c r="E869" s="100"/>
      <c r="F869" s="100"/>
    </row>
    <row r="870" spans="2:6" ht="12.75" customHeight="1" x14ac:dyDescent="0.25">
      <c r="B870" s="100"/>
      <c r="E870" s="100"/>
      <c r="F870" s="100"/>
    </row>
    <row r="871" spans="2:6" ht="12.75" customHeight="1" x14ac:dyDescent="0.25">
      <c r="B871" s="100"/>
      <c r="E871" s="100"/>
      <c r="F871" s="100"/>
    </row>
    <row r="872" spans="2:6" ht="12.75" customHeight="1" x14ac:dyDescent="0.25">
      <c r="B872" s="100"/>
      <c r="E872" s="100"/>
      <c r="F872" s="100"/>
    </row>
    <row r="873" spans="2:6" ht="12.75" customHeight="1" x14ac:dyDescent="0.25">
      <c r="B873" s="100"/>
      <c r="E873" s="100"/>
      <c r="F873" s="100"/>
    </row>
    <row r="874" spans="2:6" ht="12.75" customHeight="1" x14ac:dyDescent="0.25">
      <c r="B874" s="100"/>
      <c r="E874" s="100"/>
      <c r="F874" s="100"/>
    </row>
    <row r="875" spans="2:6" ht="12.75" customHeight="1" x14ac:dyDescent="0.25">
      <c r="B875" s="100"/>
      <c r="E875" s="100"/>
      <c r="F875" s="100"/>
    </row>
    <row r="876" spans="2:6" ht="12.75" customHeight="1" x14ac:dyDescent="0.25">
      <c r="B876" s="100"/>
      <c r="E876" s="100"/>
      <c r="F876" s="100"/>
    </row>
    <row r="877" spans="2:6" ht="12.75" customHeight="1" x14ac:dyDescent="0.25">
      <c r="B877" s="100"/>
      <c r="E877" s="100"/>
      <c r="F877" s="100"/>
    </row>
    <row r="878" spans="2:6" ht="12.75" customHeight="1" x14ac:dyDescent="0.25">
      <c r="B878" s="100"/>
      <c r="E878" s="100"/>
      <c r="F878" s="100"/>
    </row>
    <row r="879" spans="2:6" ht="12.75" customHeight="1" x14ac:dyDescent="0.25">
      <c r="B879" s="100"/>
      <c r="E879" s="100"/>
      <c r="F879" s="100"/>
    </row>
    <row r="880" spans="2:6" ht="12.75" customHeight="1" x14ac:dyDescent="0.25">
      <c r="B880" s="100"/>
      <c r="E880" s="100"/>
      <c r="F880" s="100"/>
    </row>
    <row r="881" spans="2:6" ht="12.75" customHeight="1" x14ac:dyDescent="0.25">
      <c r="B881" s="100"/>
      <c r="E881" s="100"/>
      <c r="F881" s="100"/>
    </row>
    <row r="882" spans="2:6" ht="12.75" customHeight="1" x14ac:dyDescent="0.25">
      <c r="B882" s="100"/>
      <c r="E882" s="100"/>
      <c r="F882" s="100"/>
    </row>
    <row r="883" spans="2:6" ht="12.75" customHeight="1" x14ac:dyDescent="0.25">
      <c r="B883" s="100"/>
      <c r="E883" s="100"/>
      <c r="F883" s="100"/>
    </row>
    <row r="884" spans="2:6" ht="12.75" customHeight="1" x14ac:dyDescent="0.25">
      <c r="B884" s="100"/>
      <c r="E884" s="100"/>
      <c r="F884" s="100"/>
    </row>
    <row r="885" spans="2:6" ht="12.75" customHeight="1" x14ac:dyDescent="0.25">
      <c r="B885" s="100"/>
      <c r="E885" s="100"/>
      <c r="F885" s="100"/>
    </row>
    <row r="886" spans="2:6" ht="12.75" customHeight="1" x14ac:dyDescent="0.25">
      <c r="B886" s="100"/>
      <c r="E886" s="100"/>
      <c r="F886" s="100"/>
    </row>
    <row r="887" spans="2:6" ht="12.75" customHeight="1" x14ac:dyDescent="0.25">
      <c r="B887" s="100"/>
      <c r="E887" s="100"/>
      <c r="F887" s="100"/>
    </row>
    <row r="888" spans="2:6" ht="12.75" customHeight="1" x14ac:dyDescent="0.25">
      <c r="B888" s="100"/>
      <c r="E888" s="100"/>
      <c r="F888" s="100"/>
    </row>
    <row r="889" spans="2:6" ht="12.75" customHeight="1" x14ac:dyDescent="0.25">
      <c r="B889" s="100"/>
      <c r="E889" s="100"/>
      <c r="F889" s="100"/>
    </row>
    <row r="890" spans="2:6" ht="12.75" customHeight="1" x14ac:dyDescent="0.25">
      <c r="B890" s="100"/>
      <c r="E890" s="100"/>
      <c r="F890" s="100"/>
    </row>
    <row r="891" spans="2:6" ht="12.75" customHeight="1" x14ac:dyDescent="0.25">
      <c r="B891" s="100"/>
      <c r="E891" s="100"/>
      <c r="F891" s="100"/>
    </row>
    <row r="892" spans="2:6" ht="12.75" customHeight="1" x14ac:dyDescent="0.25">
      <c r="B892" s="100"/>
      <c r="E892" s="100"/>
      <c r="F892" s="100"/>
    </row>
    <row r="893" spans="2:6" ht="12.75" customHeight="1" x14ac:dyDescent="0.25">
      <c r="B893" s="100"/>
      <c r="E893" s="100"/>
      <c r="F893" s="100"/>
    </row>
    <row r="894" spans="2:6" ht="12.75" customHeight="1" x14ac:dyDescent="0.25">
      <c r="B894" s="100"/>
      <c r="E894" s="100"/>
      <c r="F894" s="100"/>
    </row>
    <row r="895" spans="2:6" ht="12.75" customHeight="1" x14ac:dyDescent="0.25">
      <c r="B895" s="100"/>
      <c r="E895" s="100"/>
      <c r="F895" s="100"/>
    </row>
    <row r="896" spans="2:6" ht="12.75" customHeight="1" x14ac:dyDescent="0.25">
      <c r="B896" s="100"/>
      <c r="E896" s="100"/>
      <c r="F896" s="100"/>
    </row>
    <row r="897" spans="2:6" ht="12.75" customHeight="1" x14ac:dyDescent="0.25">
      <c r="B897" s="100"/>
      <c r="E897" s="100"/>
      <c r="F897" s="100"/>
    </row>
    <row r="898" spans="2:6" ht="12.75" customHeight="1" x14ac:dyDescent="0.25">
      <c r="B898" s="100"/>
      <c r="E898" s="100"/>
      <c r="F898" s="100"/>
    </row>
    <row r="899" spans="2:6" ht="12.75" customHeight="1" x14ac:dyDescent="0.25">
      <c r="B899" s="100"/>
      <c r="E899" s="100"/>
      <c r="F899" s="100"/>
    </row>
    <row r="900" spans="2:6" ht="12.75" customHeight="1" x14ac:dyDescent="0.25">
      <c r="B900" s="100"/>
      <c r="E900" s="100"/>
      <c r="F900" s="100"/>
    </row>
    <row r="901" spans="2:6" ht="12.75" customHeight="1" x14ac:dyDescent="0.25">
      <c r="B901" s="100"/>
      <c r="E901" s="100"/>
      <c r="F901" s="100"/>
    </row>
    <row r="902" spans="2:6" ht="12.75" customHeight="1" x14ac:dyDescent="0.25">
      <c r="B902" s="100"/>
      <c r="E902" s="100"/>
      <c r="F902" s="100"/>
    </row>
    <row r="903" spans="2:6" ht="12.75" customHeight="1" x14ac:dyDescent="0.25">
      <c r="B903" s="100"/>
      <c r="E903" s="100"/>
      <c r="F903" s="100"/>
    </row>
    <row r="904" spans="2:6" ht="12.75" customHeight="1" x14ac:dyDescent="0.25">
      <c r="B904" s="100"/>
      <c r="E904" s="100"/>
      <c r="F904" s="100"/>
    </row>
    <row r="905" spans="2:6" ht="12.75" customHeight="1" x14ac:dyDescent="0.25">
      <c r="B905" s="100"/>
      <c r="E905" s="100"/>
      <c r="F905" s="100"/>
    </row>
    <row r="906" spans="2:6" ht="12.75" customHeight="1" x14ac:dyDescent="0.25">
      <c r="B906" s="100"/>
      <c r="E906" s="100"/>
      <c r="F906" s="100"/>
    </row>
    <row r="907" spans="2:6" ht="12.75" customHeight="1" x14ac:dyDescent="0.25">
      <c r="B907" s="100"/>
      <c r="E907" s="100"/>
      <c r="F907" s="100"/>
    </row>
    <row r="908" spans="2:6" ht="12.75" customHeight="1" x14ac:dyDescent="0.25">
      <c r="B908" s="100"/>
      <c r="E908" s="100"/>
      <c r="F908" s="100"/>
    </row>
    <row r="909" spans="2:6" ht="12.75" customHeight="1" x14ac:dyDescent="0.25">
      <c r="B909" s="100"/>
      <c r="E909" s="100"/>
      <c r="F909" s="100"/>
    </row>
    <row r="910" spans="2:6" ht="12.75" customHeight="1" x14ac:dyDescent="0.25">
      <c r="B910" s="100"/>
      <c r="E910" s="100"/>
      <c r="F910" s="100"/>
    </row>
    <row r="911" spans="2:6" ht="12.75" customHeight="1" x14ac:dyDescent="0.25">
      <c r="B911" s="100"/>
      <c r="E911" s="100"/>
      <c r="F911" s="100"/>
    </row>
    <row r="912" spans="2:6" ht="12.75" customHeight="1" x14ac:dyDescent="0.25">
      <c r="B912" s="100"/>
      <c r="E912" s="100"/>
      <c r="F912" s="100"/>
    </row>
    <row r="913" spans="2:6" ht="12.75" customHeight="1" x14ac:dyDescent="0.25">
      <c r="B913" s="100"/>
      <c r="E913" s="100"/>
      <c r="F913" s="100"/>
    </row>
    <row r="914" spans="2:6" ht="12.75" customHeight="1" x14ac:dyDescent="0.25">
      <c r="B914" s="100"/>
      <c r="E914" s="100"/>
      <c r="F914" s="100"/>
    </row>
    <row r="915" spans="2:6" ht="12.75" customHeight="1" x14ac:dyDescent="0.25">
      <c r="B915" s="100"/>
      <c r="E915" s="100"/>
      <c r="F915" s="100"/>
    </row>
    <row r="916" spans="2:6" ht="12.75" customHeight="1" x14ac:dyDescent="0.25">
      <c r="B916" s="100"/>
      <c r="E916" s="100"/>
      <c r="F916" s="100"/>
    </row>
    <row r="917" spans="2:6" ht="12.75" customHeight="1" x14ac:dyDescent="0.25">
      <c r="B917" s="100"/>
      <c r="E917" s="100"/>
      <c r="F917" s="100"/>
    </row>
    <row r="918" spans="2:6" ht="12.75" customHeight="1" x14ac:dyDescent="0.25">
      <c r="B918" s="100"/>
      <c r="E918" s="100"/>
      <c r="F918" s="100"/>
    </row>
    <row r="919" spans="2:6" ht="12.75" customHeight="1" x14ac:dyDescent="0.25">
      <c r="B919" s="100"/>
      <c r="E919" s="100"/>
      <c r="F919" s="100"/>
    </row>
    <row r="920" spans="2:6" ht="12.75" customHeight="1" x14ac:dyDescent="0.25">
      <c r="B920" s="100"/>
      <c r="E920" s="100"/>
      <c r="F920" s="100"/>
    </row>
    <row r="921" spans="2:6" ht="12.75" customHeight="1" x14ac:dyDescent="0.25">
      <c r="B921" s="100"/>
      <c r="E921" s="100"/>
      <c r="F921" s="100"/>
    </row>
    <row r="922" spans="2:6" ht="12.75" customHeight="1" x14ac:dyDescent="0.25">
      <c r="B922" s="100"/>
      <c r="E922" s="100"/>
      <c r="F922" s="100"/>
    </row>
    <row r="923" spans="2:6" ht="12.75" customHeight="1" x14ac:dyDescent="0.25">
      <c r="B923" s="100"/>
      <c r="E923" s="100"/>
      <c r="F923" s="100"/>
    </row>
    <row r="924" spans="2:6" ht="12.75" customHeight="1" x14ac:dyDescent="0.25">
      <c r="B924" s="100"/>
      <c r="E924" s="100"/>
      <c r="F924" s="100"/>
    </row>
    <row r="925" spans="2:6" ht="12.75" customHeight="1" x14ac:dyDescent="0.25">
      <c r="B925" s="100"/>
      <c r="E925" s="100"/>
      <c r="F925" s="100"/>
    </row>
    <row r="926" spans="2:6" ht="12.75" customHeight="1" x14ac:dyDescent="0.25">
      <c r="B926" s="100"/>
      <c r="E926" s="100"/>
      <c r="F926" s="100"/>
    </row>
    <row r="927" spans="2:6" ht="12.75" customHeight="1" x14ac:dyDescent="0.25">
      <c r="B927" s="100"/>
      <c r="E927" s="100"/>
      <c r="F927" s="100"/>
    </row>
    <row r="928" spans="2:6" ht="12.75" customHeight="1" x14ac:dyDescent="0.25">
      <c r="B928" s="100"/>
      <c r="E928" s="100"/>
      <c r="F928" s="100"/>
    </row>
    <row r="929" spans="2:6" ht="12.75" customHeight="1" x14ac:dyDescent="0.25">
      <c r="B929" s="100"/>
      <c r="E929" s="100"/>
      <c r="F929" s="100"/>
    </row>
    <row r="930" spans="2:6" ht="12.75" customHeight="1" x14ac:dyDescent="0.25">
      <c r="B930" s="100"/>
      <c r="E930" s="100"/>
      <c r="F930" s="100"/>
    </row>
    <row r="931" spans="2:6" ht="12.75" customHeight="1" x14ac:dyDescent="0.25">
      <c r="B931" s="100"/>
      <c r="E931" s="100"/>
      <c r="F931" s="100"/>
    </row>
    <row r="932" spans="2:6" ht="12.75" customHeight="1" x14ac:dyDescent="0.25">
      <c r="B932" s="100"/>
      <c r="E932" s="100"/>
      <c r="F932" s="100"/>
    </row>
    <row r="933" spans="2:6" ht="12.75" customHeight="1" x14ac:dyDescent="0.25">
      <c r="B933" s="100"/>
      <c r="E933" s="100"/>
      <c r="F933" s="100"/>
    </row>
    <row r="934" spans="2:6" ht="12.75" customHeight="1" x14ac:dyDescent="0.25">
      <c r="B934" s="100"/>
      <c r="E934" s="100"/>
      <c r="F934" s="100"/>
    </row>
    <row r="935" spans="2:6" ht="12.75" customHeight="1" x14ac:dyDescent="0.25">
      <c r="B935" s="100"/>
      <c r="E935" s="100"/>
      <c r="F935" s="100"/>
    </row>
    <row r="936" spans="2:6" ht="12.75" customHeight="1" x14ac:dyDescent="0.25">
      <c r="B936" s="100"/>
      <c r="E936" s="100"/>
      <c r="F936" s="100"/>
    </row>
    <row r="937" spans="2:6" ht="12.75" customHeight="1" x14ac:dyDescent="0.25">
      <c r="B937" s="100"/>
      <c r="E937" s="100"/>
      <c r="F937" s="100"/>
    </row>
    <row r="938" spans="2:6" ht="12.75" customHeight="1" x14ac:dyDescent="0.25">
      <c r="B938" s="100"/>
      <c r="E938" s="100"/>
      <c r="F938" s="100"/>
    </row>
    <row r="939" spans="2:6" ht="12.75" customHeight="1" x14ac:dyDescent="0.25">
      <c r="B939" s="100"/>
      <c r="E939" s="100"/>
      <c r="F939" s="100"/>
    </row>
    <row r="940" spans="2:6" ht="12.75" customHeight="1" x14ac:dyDescent="0.25">
      <c r="B940" s="100"/>
      <c r="E940" s="100"/>
      <c r="F940" s="100"/>
    </row>
    <row r="941" spans="2:6" ht="12.75" customHeight="1" x14ac:dyDescent="0.25">
      <c r="B941" s="100"/>
      <c r="E941" s="100"/>
      <c r="F941" s="100"/>
    </row>
    <row r="942" spans="2:6" ht="12.75" customHeight="1" x14ac:dyDescent="0.25">
      <c r="B942" s="100"/>
      <c r="E942" s="100"/>
      <c r="F942" s="100"/>
    </row>
    <row r="943" spans="2:6" ht="12.75" customHeight="1" x14ac:dyDescent="0.25">
      <c r="B943" s="100"/>
      <c r="E943" s="100"/>
      <c r="F943" s="100"/>
    </row>
    <row r="944" spans="2:6" ht="12.75" customHeight="1" x14ac:dyDescent="0.25">
      <c r="B944" s="100"/>
      <c r="E944" s="100"/>
      <c r="F944" s="100"/>
    </row>
    <row r="945" spans="2:6" ht="12.75" customHeight="1" x14ac:dyDescent="0.25">
      <c r="B945" s="100"/>
      <c r="E945" s="100"/>
      <c r="F945" s="100"/>
    </row>
    <row r="946" spans="2:6" ht="12.75" customHeight="1" x14ac:dyDescent="0.25">
      <c r="B946" s="100"/>
      <c r="E946" s="100"/>
      <c r="F946" s="100"/>
    </row>
    <row r="947" spans="2:6" ht="12.75" customHeight="1" x14ac:dyDescent="0.25">
      <c r="B947" s="100"/>
      <c r="E947" s="100"/>
      <c r="F947" s="100"/>
    </row>
    <row r="948" spans="2:6" ht="12.75" customHeight="1" x14ac:dyDescent="0.25">
      <c r="B948" s="100"/>
      <c r="E948" s="100"/>
      <c r="F948" s="100"/>
    </row>
    <row r="949" spans="2:6" ht="12.75" customHeight="1" x14ac:dyDescent="0.25">
      <c r="B949" s="100"/>
      <c r="E949" s="100"/>
      <c r="F949" s="100"/>
    </row>
    <row r="950" spans="2:6" ht="12.75" customHeight="1" x14ac:dyDescent="0.25">
      <c r="B950" s="100"/>
      <c r="E950" s="100"/>
      <c r="F950" s="100"/>
    </row>
    <row r="951" spans="2:6" ht="12.75" customHeight="1" x14ac:dyDescent="0.25">
      <c r="B951" s="100"/>
      <c r="E951" s="100"/>
      <c r="F951" s="100"/>
    </row>
    <row r="952" spans="2:6" ht="12.75" customHeight="1" x14ac:dyDescent="0.25">
      <c r="B952" s="100"/>
      <c r="E952" s="100"/>
      <c r="F952" s="100"/>
    </row>
    <row r="953" spans="2:6" ht="12.75" customHeight="1" x14ac:dyDescent="0.25">
      <c r="B953" s="100"/>
      <c r="E953" s="100"/>
      <c r="F953" s="100"/>
    </row>
    <row r="954" spans="2:6" ht="12.75" customHeight="1" x14ac:dyDescent="0.25">
      <c r="B954" s="100"/>
      <c r="E954" s="100"/>
      <c r="F954" s="100"/>
    </row>
    <row r="955" spans="2:6" ht="12.75" customHeight="1" x14ac:dyDescent="0.25">
      <c r="B955" s="100"/>
      <c r="E955" s="100"/>
      <c r="F955" s="100"/>
    </row>
    <row r="956" spans="2:6" ht="12.75" customHeight="1" x14ac:dyDescent="0.25">
      <c r="B956" s="100"/>
      <c r="E956" s="100"/>
      <c r="F956" s="100"/>
    </row>
    <row r="957" spans="2:6" ht="12.75" customHeight="1" x14ac:dyDescent="0.25">
      <c r="B957" s="100"/>
      <c r="E957" s="100"/>
      <c r="F957" s="100"/>
    </row>
    <row r="958" spans="2:6" ht="12.75" customHeight="1" x14ac:dyDescent="0.25">
      <c r="B958" s="100"/>
      <c r="E958" s="100"/>
      <c r="F958" s="100"/>
    </row>
    <row r="959" spans="2:6" ht="12.75" customHeight="1" x14ac:dyDescent="0.25">
      <c r="B959" s="100"/>
      <c r="E959" s="100"/>
      <c r="F959" s="100"/>
    </row>
    <row r="960" spans="2:6" ht="12.75" customHeight="1" x14ac:dyDescent="0.25">
      <c r="B960" s="100"/>
      <c r="E960" s="100"/>
      <c r="F960" s="100"/>
    </row>
    <row r="961" spans="2:6" ht="12.75" customHeight="1" x14ac:dyDescent="0.25">
      <c r="B961" s="100"/>
      <c r="E961" s="100"/>
      <c r="F961" s="100"/>
    </row>
    <row r="962" spans="2:6" ht="12.75" customHeight="1" x14ac:dyDescent="0.25">
      <c r="B962" s="100"/>
      <c r="E962" s="100"/>
      <c r="F962" s="100"/>
    </row>
    <row r="963" spans="2:6" ht="12.75" customHeight="1" x14ac:dyDescent="0.25">
      <c r="B963" s="100"/>
      <c r="E963" s="100"/>
      <c r="F963" s="100"/>
    </row>
    <row r="964" spans="2:6" ht="12.75" customHeight="1" x14ac:dyDescent="0.25">
      <c r="B964" s="100"/>
      <c r="E964" s="100"/>
      <c r="F964" s="100"/>
    </row>
    <row r="965" spans="2:6" ht="12.75" customHeight="1" x14ac:dyDescent="0.25">
      <c r="B965" s="100"/>
      <c r="E965" s="100"/>
      <c r="F965" s="100"/>
    </row>
    <row r="966" spans="2:6" ht="12.75" customHeight="1" x14ac:dyDescent="0.25">
      <c r="B966" s="100"/>
      <c r="E966" s="100"/>
      <c r="F966" s="100"/>
    </row>
    <row r="967" spans="2:6" ht="12.75" customHeight="1" x14ac:dyDescent="0.25">
      <c r="B967" s="100"/>
      <c r="E967" s="100"/>
      <c r="F967" s="100"/>
    </row>
    <row r="968" spans="2:6" ht="12.75" customHeight="1" x14ac:dyDescent="0.25">
      <c r="B968" s="100"/>
      <c r="E968" s="100"/>
      <c r="F968" s="100"/>
    </row>
    <row r="969" spans="2:6" ht="12.75" customHeight="1" x14ac:dyDescent="0.25">
      <c r="B969" s="100"/>
      <c r="E969" s="100"/>
      <c r="F969" s="100"/>
    </row>
    <row r="970" spans="2:6" ht="12.75" customHeight="1" x14ac:dyDescent="0.25">
      <c r="B970" s="100"/>
      <c r="E970" s="100"/>
      <c r="F970" s="100"/>
    </row>
    <row r="971" spans="2:6" ht="12.75" customHeight="1" x14ac:dyDescent="0.25"/>
  </sheetData>
  <mergeCells count="10">
    <mergeCell ref="AL2:AM2"/>
    <mergeCell ref="AL3:AM3"/>
    <mergeCell ref="B62:H62"/>
    <mergeCell ref="B63:H63"/>
    <mergeCell ref="B43:J43"/>
    <mergeCell ref="R26:U26"/>
    <mergeCell ref="B42:J42"/>
    <mergeCell ref="B58:J58"/>
    <mergeCell ref="R25:U25"/>
    <mergeCell ref="B2:H3"/>
  </mergeCells>
  <printOptions horizontalCentered="1"/>
  <pageMargins left="0.4" right="0.4" top="1" bottom="0.5" header="0.3" footer="0.511811023622047"/>
  <pageSetup paperSize="9" scale="46"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rgb="FF0070C0"/>
    <pageSetUpPr fitToPage="1"/>
  </sheetPr>
  <dimension ref="A1:AD162"/>
  <sheetViews>
    <sheetView topLeftCell="F3" zoomScale="85" zoomScaleNormal="85" workbookViewId="0">
      <selection activeCell="J53" sqref="J53:J57"/>
    </sheetView>
  </sheetViews>
  <sheetFormatPr defaultColWidth="12.5" defaultRowHeight="14" x14ac:dyDescent="0.3"/>
  <cols>
    <col min="1" max="1" width="16.33203125" style="1" customWidth="1"/>
    <col min="2" max="2" width="32.83203125" bestFit="1" customWidth="1"/>
    <col min="3" max="3" width="16.9140625" customWidth="1"/>
    <col min="4" max="4" width="20.25" customWidth="1"/>
    <col min="5" max="5" width="18.9140625" customWidth="1"/>
    <col min="6" max="6" width="23.08203125" customWidth="1"/>
    <col min="7" max="7" width="25.1640625" customWidth="1"/>
    <col min="8" max="8" width="36.1640625" customWidth="1"/>
    <col min="9" max="9" width="18" customWidth="1"/>
    <col min="12" max="12" width="8.33203125" customWidth="1"/>
    <col min="13" max="14" width="4" customWidth="1"/>
    <col min="18" max="18" width="32" customWidth="1"/>
    <col min="19" max="19" width="24.4140625" customWidth="1"/>
    <col min="20" max="20" width="24.58203125" customWidth="1"/>
    <col min="23" max="23" width="29.4140625" customWidth="1"/>
    <col min="24" max="24" width="31.6640625" customWidth="1"/>
    <col min="28" max="28" width="11.33203125" style="783" bestFit="1" customWidth="1"/>
    <col min="29" max="29" width="12.5" style="783"/>
  </cols>
  <sheetData>
    <row r="1" spans="1:30" ht="24" customHeight="1" x14ac:dyDescent="0.3">
      <c r="A1" s="80" t="s">
        <v>243</v>
      </c>
      <c r="B1" s="81">
        <v>1000</v>
      </c>
      <c r="C1" s="89" t="s">
        <v>325</v>
      </c>
      <c r="D1" s="90">
        <f>$S$30/J1</f>
        <v>88245.283018867922</v>
      </c>
      <c r="E1" s="91" t="s">
        <v>248</v>
      </c>
      <c r="F1" s="92" t="s">
        <v>326</v>
      </c>
      <c r="G1" s="91" t="s">
        <v>327</v>
      </c>
      <c r="H1" s="305">
        <f>H52</f>
        <v>46.769999999999996</v>
      </c>
      <c r="I1" s="93" t="s">
        <v>250</v>
      </c>
      <c r="J1" s="306">
        <v>0.53</v>
      </c>
      <c r="K1" s="100"/>
      <c r="Y1" s="91" t="s">
        <v>479</v>
      </c>
      <c r="Z1" s="847">
        <v>46770</v>
      </c>
      <c r="AA1" s="91" t="s">
        <v>600</v>
      </c>
      <c r="AB1" s="847">
        <v>0</v>
      </c>
      <c r="AC1" s="91" t="s">
        <v>587</v>
      </c>
      <c r="AD1" s="847">
        <v>317</v>
      </c>
    </row>
    <row r="2" spans="1:30" ht="12.75" customHeight="1" x14ac:dyDescent="0.3">
      <c r="A2" s="265"/>
      <c r="B2" s="1387" t="s">
        <v>674</v>
      </c>
      <c r="C2" s="1422"/>
      <c r="D2" s="1422"/>
      <c r="E2" s="1422"/>
      <c r="F2" s="1422"/>
      <c r="G2" s="1422"/>
      <c r="H2" s="1422"/>
      <c r="I2" s="1422"/>
      <c r="J2" s="1422"/>
      <c r="K2" s="1422"/>
      <c r="L2" s="293"/>
      <c r="M2" s="100"/>
      <c r="N2" s="100"/>
    </row>
    <row r="3" spans="1:30" ht="12.75" customHeight="1" x14ac:dyDescent="0.3">
      <c r="A3" s="265"/>
      <c r="B3" s="1388"/>
      <c r="C3" s="1388"/>
      <c r="D3" s="1388"/>
      <c r="E3" s="1388"/>
      <c r="F3" s="1388"/>
      <c r="G3" s="1388"/>
      <c r="H3" s="1388"/>
      <c r="I3" s="1388"/>
      <c r="J3" s="1388"/>
      <c r="K3" s="1388"/>
      <c r="L3" s="293"/>
      <c r="M3" s="100"/>
      <c r="N3" s="100"/>
    </row>
    <row r="4" spans="1:30" ht="50.75" customHeight="1" x14ac:dyDescent="0.3">
      <c r="A4" s="91" t="s">
        <v>1</v>
      </c>
      <c r="B4" s="91" t="s">
        <v>253</v>
      </c>
      <c r="C4" s="307" t="s">
        <v>329</v>
      </c>
      <c r="D4" s="91" t="s">
        <v>330</v>
      </c>
      <c r="E4" s="108" t="s">
        <v>331</v>
      </c>
      <c r="F4" s="108" t="s">
        <v>332</v>
      </c>
      <c r="G4" s="308" t="s">
        <v>333</v>
      </c>
      <c r="H4" s="109" t="s">
        <v>334</v>
      </c>
      <c r="I4" s="91" t="s">
        <v>258</v>
      </c>
      <c r="J4" s="91" t="s">
        <v>259</v>
      </c>
      <c r="K4" s="91" t="s">
        <v>260</v>
      </c>
      <c r="L4" s="91" t="s">
        <v>261</v>
      </c>
    </row>
    <row r="5" spans="1:30" ht="14.25" customHeight="1" x14ac:dyDescent="0.3">
      <c r="A5" s="266" t="s">
        <v>230</v>
      </c>
      <c r="B5" s="309" t="s">
        <v>232</v>
      </c>
      <c r="C5" s="124" t="s">
        <v>14</v>
      </c>
      <c r="D5" s="116">
        <f>I51/H51</f>
        <v>1886.7924528301887</v>
      </c>
      <c r="E5" s="116">
        <f>I52/D5</f>
        <v>46.769999999999996</v>
      </c>
      <c r="F5" s="127">
        <v>1</v>
      </c>
      <c r="G5" s="117">
        <f t="shared" ref="G5:G18" si="0">D5*E5</f>
        <v>88245.283018867922</v>
      </c>
      <c r="H5" s="406">
        <f>D1</f>
        <v>88245.283018867922</v>
      </c>
      <c r="I5" s="81">
        <f>VLOOKUP(B5,All_Ingredients!$A$1:$F$151,6,FALSE())</f>
        <v>0.55000000000000004</v>
      </c>
      <c r="J5" s="119">
        <f>VLOOKUP(B5,All_Ingredients!$A$1:$J$151,10,FALSE())</f>
        <v>26.666666666666668</v>
      </c>
      <c r="K5" s="122">
        <f t="shared" ref="K5" si="1">(H5/I5)/1000</f>
        <v>160.44596912521439</v>
      </c>
      <c r="L5" s="122">
        <f t="shared" ref="L5" si="2">K5*J5</f>
        <v>4278.5591766723837</v>
      </c>
    </row>
    <row r="6" spans="1:30" ht="14.25" customHeight="1" x14ac:dyDescent="0.3">
      <c r="A6" s="270" t="s">
        <v>13</v>
      </c>
      <c r="B6" s="22" t="s">
        <v>12</v>
      </c>
      <c r="C6" s="124" t="s">
        <v>14</v>
      </c>
      <c r="D6" s="125">
        <v>200</v>
      </c>
      <c r="E6" s="197">
        <f t="shared" ref="E6:E18" si="3">$H$52</f>
        <v>46.769999999999996</v>
      </c>
      <c r="F6" s="127">
        <v>1</v>
      </c>
      <c r="G6" s="119">
        <f t="shared" si="0"/>
        <v>9354</v>
      </c>
      <c r="H6" s="120">
        <f t="shared" ref="H6:H18" si="4">G6*F6</f>
        <v>9354</v>
      </c>
      <c r="I6" s="81">
        <f>VLOOKUP(B6,All_Ingredients!$A$1:$F$151,6,FALSE())</f>
        <v>0.9</v>
      </c>
      <c r="J6" s="119">
        <f>VLOOKUP(B6,All_Ingredients!$A$1:$J$151,10,FALSE())</f>
        <v>3</v>
      </c>
      <c r="K6" s="122">
        <f t="shared" ref="K6:K18" si="5">(H6/I6)/1000</f>
        <v>10.393333333333334</v>
      </c>
      <c r="L6" s="122">
        <f t="shared" ref="L6:L18" si="6">K6*J6</f>
        <v>31.180000000000003</v>
      </c>
    </row>
    <row r="7" spans="1:30" ht="14.25" customHeight="1" x14ac:dyDescent="0.3">
      <c r="A7" s="270" t="s">
        <v>13</v>
      </c>
      <c r="B7" s="22" t="s">
        <v>17</v>
      </c>
      <c r="C7" s="124" t="s">
        <v>14</v>
      </c>
      <c r="D7" s="125">
        <v>120</v>
      </c>
      <c r="E7" s="197">
        <f t="shared" si="3"/>
        <v>46.769999999999996</v>
      </c>
      <c r="F7" s="127">
        <v>1</v>
      </c>
      <c r="G7" s="119">
        <f t="shared" si="0"/>
        <v>5612.4</v>
      </c>
      <c r="H7" s="120">
        <f t="shared" si="4"/>
        <v>5612.4</v>
      </c>
      <c r="I7" s="81">
        <f>VLOOKUP(B7,All_Ingredients!$A$1:$F$151,6,FALSE())</f>
        <v>0.98</v>
      </c>
      <c r="J7" s="119">
        <f>VLOOKUP(B7,All_Ingredients!$A$1:$J$151,10,FALSE())</f>
        <v>3.5</v>
      </c>
      <c r="K7" s="122">
        <f t="shared" si="5"/>
        <v>5.7269387755102033</v>
      </c>
      <c r="L7" s="122">
        <f t="shared" si="6"/>
        <v>20.04428571428571</v>
      </c>
    </row>
    <row r="8" spans="1:30" ht="14.25" customHeight="1" x14ac:dyDescent="0.3">
      <c r="A8" s="270" t="s">
        <v>13</v>
      </c>
      <c r="B8" s="22" t="s">
        <v>792</v>
      </c>
      <c r="C8" s="124" t="s">
        <v>14</v>
      </c>
      <c r="D8" s="125">
        <v>10</v>
      </c>
      <c r="E8" s="197">
        <f t="shared" si="3"/>
        <v>46.769999999999996</v>
      </c>
      <c r="F8" s="127">
        <v>0.65</v>
      </c>
      <c r="G8" s="119">
        <f t="shared" si="0"/>
        <v>467.69999999999993</v>
      </c>
      <c r="H8" s="120">
        <f t="shared" si="4"/>
        <v>304.00499999999994</v>
      </c>
      <c r="I8" s="81">
        <f>VLOOKUP(B8,All_Ingredients!$A$1:$F$151,6,FALSE())</f>
        <v>1</v>
      </c>
      <c r="J8" s="119">
        <f>VLOOKUP(B8,All_Ingredients!$A$1:$J$151,10,FALSE())</f>
        <v>10.5</v>
      </c>
      <c r="K8" s="122">
        <f t="shared" si="5"/>
        <v>0.30400499999999991</v>
      </c>
      <c r="L8" s="122">
        <f t="shared" si="6"/>
        <v>3.1920524999999991</v>
      </c>
    </row>
    <row r="9" spans="1:30" ht="14.25" customHeight="1" x14ac:dyDescent="0.3">
      <c r="A9" s="270" t="s">
        <v>13</v>
      </c>
      <c r="B9" s="323" t="s">
        <v>32</v>
      </c>
      <c r="C9" s="124" t="s">
        <v>14</v>
      </c>
      <c r="D9" s="125">
        <v>50</v>
      </c>
      <c r="E9" s="197">
        <f t="shared" si="3"/>
        <v>46.769999999999996</v>
      </c>
      <c r="F9" s="127">
        <v>0.75</v>
      </c>
      <c r="G9" s="119">
        <f t="shared" si="0"/>
        <v>2338.5</v>
      </c>
      <c r="H9" s="120">
        <f t="shared" si="4"/>
        <v>1753.875</v>
      </c>
      <c r="I9" s="81">
        <f>VLOOKUP(B9,All_Ingredients!$A$1:$F$151,6,FALSE())</f>
        <v>0.96</v>
      </c>
      <c r="J9" s="119">
        <f>VLOOKUP(B9,All_Ingredients!$A$1:$J$151,10,FALSE())</f>
        <v>4</v>
      </c>
      <c r="K9" s="122">
        <f t="shared" si="5"/>
        <v>1.826953125</v>
      </c>
      <c r="L9" s="122">
        <f t="shared" si="6"/>
        <v>7.3078124999999998</v>
      </c>
    </row>
    <row r="10" spans="1:30" ht="14.25" customHeight="1" x14ac:dyDescent="0.3">
      <c r="A10" s="270" t="s">
        <v>97</v>
      </c>
      <c r="B10" s="323" t="s">
        <v>108</v>
      </c>
      <c r="C10" s="124" t="s">
        <v>14</v>
      </c>
      <c r="D10" s="125">
        <v>20</v>
      </c>
      <c r="E10" s="197">
        <f t="shared" si="3"/>
        <v>46.769999999999996</v>
      </c>
      <c r="F10" s="127">
        <v>0.7</v>
      </c>
      <c r="G10" s="119">
        <f t="shared" si="0"/>
        <v>935.39999999999986</v>
      </c>
      <c r="H10" s="120">
        <f t="shared" si="4"/>
        <v>654.77999999999986</v>
      </c>
      <c r="I10" s="81">
        <f>VLOOKUP(B10,All_Ingredients!$A$1:$F$151,6,FALSE())</f>
        <v>1</v>
      </c>
      <c r="J10" s="119">
        <f>VLOOKUP(B10,All_Ingredients!$A$1:$J$151,10,FALSE())</f>
        <v>15</v>
      </c>
      <c r="K10" s="122">
        <f t="shared" si="5"/>
        <v>0.65477999999999981</v>
      </c>
      <c r="L10" s="122">
        <f t="shared" si="6"/>
        <v>9.8216999999999963</v>
      </c>
    </row>
    <row r="11" spans="1:30" ht="14.25" customHeight="1" x14ac:dyDescent="0.3">
      <c r="A11" s="270" t="s">
        <v>97</v>
      </c>
      <c r="B11" s="294" t="s">
        <v>144</v>
      </c>
      <c r="C11" s="124" t="s">
        <v>14</v>
      </c>
      <c r="D11" s="125">
        <v>20</v>
      </c>
      <c r="E11" s="197">
        <f t="shared" si="3"/>
        <v>46.769999999999996</v>
      </c>
      <c r="F11" s="127">
        <v>0.65</v>
      </c>
      <c r="G11" s="119">
        <f t="shared" si="0"/>
        <v>935.39999999999986</v>
      </c>
      <c r="H11" s="120">
        <f t="shared" si="4"/>
        <v>608.00999999999988</v>
      </c>
      <c r="I11" s="81">
        <f>VLOOKUP(B11,All_Ingredients!$A$1:$F$151,6,FALSE())</f>
        <v>1</v>
      </c>
      <c r="J11" s="119">
        <f>VLOOKUP(B11,All_Ingredients!$A$1:$J$151,10,FALSE())</f>
        <v>15.277777777777779</v>
      </c>
      <c r="K11" s="122">
        <f t="shared" si="5"/>
        <v>0.60800999999999983</v>
      </c>
      <c r="L11" s="122">
        <f t="shared" si="6"/>
        <v>9.2890416666666642</v>
      </c>
    </row>
    <row r="12" spans="1:30" ht="14.25" customHeight="1" x14ac:dyDescent="0.3">
      <c r="A12" s="270" t="s">
        <v>97</v>
      </c>
      <c r="B12" s="294" t="s">
        <v>130</v>
      </c>
      <c r="C12" s="124" t="s">
        <v>14</v>
      </c>
      <c r="D12" s="125">
        <v>10</v>
      </c>
      <c r="E12" s="197">
        <f t="shared" si="3"/>
        <v>46.769999999999996</v>
      </c>
      <c r="F12" s="127">
        <v>0.25</v>
      </c>
      <c r="G12" s="119">
        <f t="shared" si="0"/>
        <v>467.69999999999993</v>
      </c>
      <c r="H12" s="120">
        <f t="shared" si="4"/>
        <v>116.92499999999998</v>
      </c>
      <c r="I12" s="81">
        <f>VLOOKUP(B12,All_Ingredients!$A$1:$F$151,6,FALSE())</f>
        <v>1</v>
      </c>
      <c r="J12" s="119">
        <f>VLOOKUP(B12,All_Ingredients!$A$1:$J$151,10,FALSE())</f>
        <v>125</v>
      </c>
      <c r="K12" s="122">
        <f t="shared" si="5"/>
        <v>0.11692499999999999</v>
      </c>
      <c r="L12" s="122">
        <f t="shared" si="6"/>
        <v>14.615624999999998</v>
      </c>
    </row>
    <row r="13" spans="1:30" ht="14.25" customHeight="1" x14ac:dyDescent="0.3">
      <c r="A13" s="270" t="s">
        <v>97</v>
      </c>
      <c r="B13" s="323" t="s">
        <v>110</v>
      </c>
      <c r="C13" s="124" t="s">
        <v>14</v>
      </c>
      <c r="D13" s="125">
        <v>20</v>
      </c>
      <c r="E13" s="197">
        <f t="shared" si="3"/>
        <v>46.769999999999996</v>
      </c>
      <c r="F13" s="127">
        <v>0.7</v>
      </c>
      <c r="G13" s="119">
        <f t="shared" si="0"/>
        <v>935.39999999999986</v>
      </c>
      <c r="H13" s="120">
        <f t="shared" si="4"/>
        <v>654.77999999999986</v>
      </c>
      <c r="I13" s="81">
        <f>VLOOKUP(B13,All_Ingredients!$A$1:$F$151,6,FALSE())</f>
        <v>1</v>
      </c>
      <c r="J13" s="119">
        <f>VLOOKUP(B13,All_Ingredients!$A$1:$J$151,10,FALSE())</f>
        <v>8</v>
      </c>
      <c r="K13" s="122">
        <f t="shared" si="5"/>
        <v>0.65477999999999981</v>
      </c>
      <c r="L13" s="122">
        <f t="shared" si="6"/>
        <v>5.2382399999999985</v>
      </c>
    </row>
    <row r="14" spans="1:30" ht="14.25" customHeight="1" x14ac:dyDescent="0.3">
      <c r="A14" s="270" t="s">
        <v>158</v>
      </c>
      <c r="B14" s="22" t="s">
        <v>168</v>
      </c>
      <c r="C14" s="124" t="s">
        <v>14</v>
      </c>
      <c r="D14" s="125">
        <v>150</v>
      </c>
      <c r="E14" s="197">
        <f t="shared" si="3"/>
        <v>46.769999999999996</v>
      </c>
      <c r="F14" s="127">
        <v>0.85</v>
      </c>
      <c r="G14" s="119">
        <f t="shared" si="0"/>
        <v>7015.4999999999991</v>
      </c>
      <c r="H14" s="120">
        <f t="shared" si="4"/>
        <v>5963.1749999999993</v>
      </c>
      <c r="I14" s="81">
        <f>VLOOKUP(B14,All_Ingredients!$A$1:$F$151,6,FALSE())</f>
        <v>1</v>
      </c>
      <c r="J14" s="119">
        <f>VLOOKUP(B14,All_Ingredients!$A$1:$J$151,10,FALSE())</f>
        <v>6.6959999999999997</v>
      </c>
      <c r="K14" s="122">
        <f t="shared" si="5"/>
        <v>5.9631749999999997</v>
      </c>
      <c r="L14" s="122">
        <f t="shared" si="6"/>
        <v>39.929419799999998</v>
      </c>
    </row>
    <row r="15" spans="1:30" ht="15" customHeight="1" x14ac:dyDescent="0.3">
      <c r="A15" s="270" t="s">
        <v>196</v>
      </c>
      <c r="B15" s="22" t="s">
        <v>761</v>
      </c>
      <c r="C15" s="124" t="s">
        <v>14</v>
      </c>
      <c r="D15" s="125">
        <v>70</v>
      </c>
      <c r="E15" s="197">
        <f t="shared" si="3"/>
        <v>46.769999999999996</v>
      </c>
      <c r="F15" s="127">
        <v>0.8</v>
      </c>
      <c r="G15" s="119">
        <f t="shared" si="0"/>
        <v>3273.8999999999996</v>
      </c>
      <c r="H15" s="120">
        <f t="shared" si="4"/>
        <v>2619.12</v>
      </c>
      <c r="I15" s="81">
        <f>VLOOKUP(B15,All_Ingredients!$A$1:$F$151,6,FALSE())</f>
        <v>1</v>
      </c>
      <c r="J15" s="119">
        <f>VLOOKUP(B15,All_Ingredients!$A$1:$J$151,10,FALSE())</f>
        <v>8.1520833333333336</v>
      </c>
      <c r="K15" s="122">
        <f t="shared" si="5"/>
        <v>2.6191199999999997</v>
      </c>
      <c r="L15" s="122">
        <f t="shared" si="6"/>
        <v>21.351284499999998</v>
      </c>
    </row>
    <row r="16" spans="1:30" ht="14.25" customHeight="1" x14ac:dyDescent="0.3">
      <c r="A16" s="270" t="s">
        <v>97</v>
      </c>
      <c r="B16" s="22" t="s">
        <v>96</v>
      </c>
      <c r="C16" s="124" t="s">
        <v>14</v>
      </c>
      <c r="D16" s="125">
        <v>30</v>
      </c>
      <c r="E16" s="197">
        <f t="shared" si="3"/>
        <v>46.769999999999996</v>
      </c>
      <c r="F16" s="127">
        <v>0.75</v>
      </c>
      <c r="G16" s="119">
        <f t="shared" si="0"/>
        <v>1403.1</v>
      </c>
      <c r="H16" s="120">
        <f t="shared" si="4"/>
        <v>1052.3249999999998</v>
      </c>
      <c r="I16" s="81">
        <f>VLOOKUP(B16,All_Ingredients!$A$1:$F$151,6,FALSE())</f>
        <v>1</v>
      </c>
      <c r="J16" s="119">
        <f>VLOOKUP(B16,All_Ingredients!$A$1:$J$151,10,FALSE())</f>
        <v>0.74</v>
      </c>
      <c r="K16" s="122">
        <f t="shared" si="5"/>
        <v>1.0523249999999997</v>
      </c>
      <c r="L16" s="122">
        <f t="shared" si="6"/>
        <v>0.77872049999999982</v>
      </c>
    </row>
    <row r="17" spans="1:29" ht="14.25" customHeight="1" x14ac:dyDescent="0.3">
      <c r="A17" s="270" t="s">
        <v>210</v>
      </c>
      <c r="B17" s="22" t="s">
        <v>209</v>
      </c>
      <c r="C17" s="124" t="s">
        <v>14</v>
      </c>
      <c r="D17" s="125">
        <v>200</v>
      </c>
      <c r="E17" s="197">
        <f t="shared" si="3"/>
        <v>46.769999999999996</v>
      </c>
      <c r="F17" s="127">
        <v>1</v>
      </c>
      <c r="G17" s="119">
        <f t="shared" si="0"/>
        <v>9354</v>
      </c>
      <c r="H17" s="120">
        <f t="shared" si="4"/>
        <v>9354</v>
      </c>
      <c r="I17" s="81">
        <f>VLOOKUP(B17,All_Ingredients!$A$1:$F$151,6,FALSE())</f>
        <v>1</v>
      </c>
      <c r="J17" s="119">
        <f>VLOOKUP(B17,All_Ingredients!$A$1:$J$151,10,FALSE())</f>
        <v>0</v>
      </c>
      <c r="K17" s="122">
        <f t="shared" si="5"/>
        <v>9.3539999999999992</v>
      </c>
      <c r="L17" s="122">
        <f t="shared" si="6"/>
        <v>0</v>
      </c>
    </row>
    <row r="18" spans="1:29" ht="14.25" customHeight="1" x14ac:dyDescent="0.3">
      <c r="A18" s="270" t="s">
        <v>220</v>
      </c>
      <c r="B18" s="294" t="s">
        <v>815</v>
      </c>
      <c r="C18" s="124" t="s">
        <v>14</v>
      </c>
      <c r="D18" s="125">
        <v>1</v>
      </c>
      <c r="E18" s="197">
        <f t="shared" si="3"/>
        <v>46.769999999999996</v>
      </c>
      <c r="F18" s="127">
        <v>0.3</v>
      </c>
      <c r="G18" s="119">
        <f t="shared" si="0"/>
        <v>46.769999999999996</v>
      </c>
      <c r="H18" s="120">
        <f t="shared" si="4"/>
        <v>14.030999999999999</v>
      </c>
      <c r="I18" s="81">
        <f>VLOOKUP(B18,All_Ingredients!$A$1:$F$151,6,FALSE())</f>
        <v>1</v>
      </c>
      <c r="J18" s="119">
        <f>VLOOKUP(B18,All_Ingredients!$A$1:$J$151,10,FALSE())</f>
        <v>22.5</v>
      </c>
      <c r="K18" s="122">
        <f t="shared" si="5"/>
        <v>1.4030999999999998E-2</v>
      </c>
      <c r="L18" s="122">
        <f t="shared" si="6"/>
        <v>0.31569749999999996</v>
      </c>
    </row>
    <row r="19" spans="1:29" ht="14.25" customHeight="1" x14ac:dyDescent="0.3">
      <c r="A19" s="100"/>
      <c r="B19" s="100"/>
      <c r="C19" s="100"/>
      <c r="D19" s="100"/>
      <c r="E19" s="100"/>
      <c r="F19" s="100"/>
      <c r="L19" s="209"/>
    </row>
    <row r="20" spans="1:29" ht="14.25" customHeight="1" x14ac:dyDescent="0.3">
      <c r="A20" s="100"/>
      <c r="B20" s="100"/>
      <c r="C20" s="100"/>
      <c r="D20" s="100"/>
      <c r="E20" s="100"/>
      <c r="F20" s="100"/>
      <c r="L20" s="209"/>
    </row>
    <row r="21" spans="1:29" ht="14.25" customHeight="1" x14ac:dyDescent="0.3">
      <c r="A21" s="100"/>
      <c r="B21" s="100"/>
      <c r="C21" s="100"/>
      <c r="D21" s="100"/>
      <c r="E21" s="100"/>
      <c r="F21" s="100"/>
      <c r="L21" s="209"/>
    </row>
    <row r="22" spans="1:29" ht="14.25" customHeight="1" x14ac:dyDescent="0.3">
      <c r="A22" s="100"/>
      <c r="F22" s="100"/>
      <c r="L22" s="209"/>
    </row>
    <row r="23" spans="1:29" ht="14.25" customHeight="1" x14ac:dyDescent="0.3">
      <c r="A23" s="100"/>
      <c r="F23" s="100"/>
      <c r="L23" s="209"/>
    </row>
    <row r="24" spans="1:29" ht="14.25" customHeight="1" x14ac:dyDescent="0.3">
      <c r="A24" s="100"/>
      <c r="F24" s="100"/>
      <c r="Z24" s="1294"/>
    </row>
    <row r="25" spans="1:29" ht="15.75" customHeight="1" x14ac:dyDescent="0.35">
      <c r="A25" s="100"/>
      <c r="F25" s="100"/>
      <c r="R25" s="1411" t="str">
        <f>B2</f>
        <v>Beef Zurbian - زربيان لحم</v>
      </c>
      <c r="S25" s="1388"/>
      <c r="T25" s="1388"/>
      <c r="Z25" s="141" t="s">
        <v>264</v>
      </c>
      <c r="AA25" s="142">
        <v>47130</v>
      </c>
      <c r="AB25" s="141" t="s">
        <v>261</v>
      </c>
      <c r="AC25" s="1237">
        <f>AC30*AA25</f>
        <v>4313.0403368125571</v>
      </c>
    </row>
    <row r="26" spans="1:29" ht="14.25" customHeight="1" x14ac:dyDescent="0.3">
      <c r="A26" s="100"/>
      <c r="F26" s="100"/>
      <c r="R26" s="1409" t="s">
        <v>336</v>
      </c>
      <c r="S26" s="1410"/>
      <c r="T26" s="1410"/>
      <c r="AB26" s="14"/>
      <c r="AC26" s="14"/>
    </row>
    <row r="27" spans="1:29" ht="14.25" customHeight="1" thickBot="1" x14ac:dyDescent="0.35">
      <c r="A27" s="100"/>
      <c r="F27" s="100"/>
      <c r="R27" s="145" t="s">
        <v>266</v>
      </c>
      <c r="S27" s="146" t="s">
        <v>310</v>
      </c>
      <c r="T27" s="146" t="s">
        <v>269</v>
      </c>
      <c r="U27" s="146" t="s">
        <v>848</v>
      </c>
      <c r="Z27" s="141" t="s">
        <v>270</v>
      </c>
      <c r="AA27" s="147" t="s">
        <v>271</v>
      </c>
      <c r="AB27" s="1186" t="s">
        <v>848</v>
      </c>
      <c r="AC27" s="147" t="s">
        <v>274</v>
      </c>
    </row>
    <row r="28" spans="1:29" ht="14.25" customHeight="1" thickBot="1" x14ac:dyDescent="0.35">
      <c r="F28" s="100"/>
      <c r="R28" s="148" t="s">
        <v>337</v>
      </c>
      <c r="S28" s="150">
        <f>$Z$1</f>
        <v>46770</v>
      </c>
      <c r="T28" s="149">
        <f>S28</f>
        <v>46770</v>
      </c>
      <c r="U28" s="1216">
        <f>SUM(H37:H38)</f>
        <v>4143.1899999999996</v>
      </c>
      <c r="Z28" s="151"/>
      <c r="AA28" s="152">
        <f>AA25</f>
        <v>47130</v>
      </c>
      <c r="AB28" s="1188"/>
      <c r="AC28" s="154">
        <f>SUM(AA28:AB28)</f>
        <v>47130</v>
      </c>
    </row>
    <row r="29" spans="1:29" ht="14.25" customHeight="1" thickBot="1" x14ac:dyDescent="0.35">
      <c r="F29" s="100"/>
      <c r="R29" s="148" t="s">
        <v>338</v>
      </c>
      <c r="S29" s="155">
        <f>$AB$1</f>
        <v>0</v>
      </c>
      <c r="T29" s="155">
        <f>S29</f>
        <v>0</v>
      </c>
      <c r="Z29" s="151"/>
      <c r="AA29" s="156">
        <v>1</v>
      </c>
      <c r="AB29" s="1192"/>
      <c r="AC29" s="156">
        <f>AC28/$AC$28</f>
        <v>1</v>
      </c>
    </row>
    <row r="30" spans="1:29" ht="14.25" customHeight="1" thickBot="1" x14ac:dyDescent="0.35">
      <c r="B30" s="100"/>
      <c r="E30" s="100"/>
      <c r="F30" s="100"/>
      <c r="R30" s="160" t="s">
        <v>339</v>
      </c>
      <c r="S30" s="1217">
        <f>S28+S29</f>
        <v>46770</v>
      </c>
      <c r="T30" s="149">
        <f>T28+T29</f>
        <v>46770</v>
      </c>
      <c r="U30" s="1217">
        <f>U28+U29</f>
        <v>4143.1899999999996</v>
      </c>
      <c r="Z30" s="141" t="s">
        <v>278</v>
      </c>
      <c r="AA30" s="157">
        <f>S33/(S30)</f>
        <v>9.1480846197827315E-2</v>
      </c>
      <c r="AB30" s="1199">
        <f>U33/T30</f>
        <v>3.2846499235209945E-5</v>
      </c>
      <c r="AC30" s="1207">
        <f>SUMPRODUCT(AA29,AA30)+AB30</f>
        <v>9.1513692697062526E-2</v>
      </c>
    </row>
    <row r="31" spans="1:29" ht="14.25" customHeight="1" thickBot="1" x14ac:dyDescent="0.35">
      <c r="R31" s="161" t="s">
        <v>280</v>
      </c>
      <c r="S31" s="155"/>
      <c r="T31" s="155"/>
    </row>
    <row r="32" spans="1:29" ht="31.25" customHeight="1" thickBot="1" x14ac:dyDescent="0.35">
      <c r="R32" s="162" t="s">
        <v>281</v>
      </c>
      <c r="S32" s="155"/>
      <c r="T32" s="155"/>
    </row>
    <row r="33" spans="2:24" ht="18.75" customHeight="1" thickBot="1" x14ac:dyDescent="0.35">
      <c r="R33" s="163" t="s">
        <v>261</v>
      </c>
      <c r="S33" s="1144">
        <f>$L$5</f>
        <v>4278.5591766723837</v>
      </c>
      <c r="T33" s="1240">
        <f>S33+U33</f>
        <v>4280.095407441615</v>
      </c>
      <c r="U33" s="1215">
        <f>SUM(L37:L38)</f>
        <v>1.5362307692307693</v>
      </c>
    </row>
    <row r="35" spans="2:24" ht="15.5" x14ac:dyDescent="0.3">
      <c r="B35" s="1394" t="s">
        <v>675</v>
      </c>
      <c r="C35" s="1394"/>
      <c r="D35" s="1394"/>
      <c r="E35" s="1394"/>
      <c r="F35" s="1394"/>
      <c r="G35" s="882"/>
      <c r="H35" s="882"/>
      <c r="I35" s="889"/>
      <c r="J35" s="889"/>
      <c r="K35" s="889"/>
      <c r="L35" s="889"/>
    </row>
    <row r="36" spans="2:24" ht="39.5" customHeight="1" x14ac:dyDescent="0.3">
      <c r="B36" s="860" t="s">
        <v>253</v>
      </c>
      <c r="C36" s="860" t="s">
        <v>329</v>
      </c>
      <c r="D36" s="862" t="s">
        <v>671</v>
      </c>
      <c r="E36" s="859" t="s">
        <v>672</v>
      </c>
      <c r="F36" s="862" t="s">
        <v>673</v>
      </c>
      <c r="G36" s="882"/>
      <c r="H36" s="862" t="s">
        <v>673</v>
      </c>
      <c r="I36" s="862" t="s">
        <v>258</v>
      </c>
      <c r="J36" s="862" t="s">
        <v>259</v>
      </c>
      <c r="K36" s="862" t="s">
        <v>260</v>
      </c>
      <c r="L36" s="862" t="s">
        <v>261</v>
      </c>
    </row>
    <row r="37" spans="2:24" x14ac:dyDescent="0.3">
      <c r="B37" s="855" t="s">
        <v>746</v>
      </c>
      <c r="C37" s="856" t="s">
        <v>14</v>
      </c>
      <c r="D37" s="857">
        <v>7.0000000000000007E-2</v>
      </c>
      <c r="E37" s="855">
        <f>$AD$1</f>
        <v>317</v>
      </c>
      <c r="F37" s="855">
        <f>D37*E37</f>
        <v>22.19</v>
      </c>
      <c r="G37" s="14"/>
      <c r="H37" s="855">
        <f>F37</f>
        <v>22.19</v>
      </c>
      <c r="I37" s="855">
        <f>VLOOKUP(B37,All_Ingredients!$A$1:$F$151,6,FALSE())</f>
        <v>0.65</v>
      </c>
      <c r="J37" s="855">
        <f>VLOOKUP(B37,All_Ingredients!$A$1:$J$151,10,FALSE())</f>
        <v>45</v>
      </c>
      <c r="K37" s="855">
        <f>(H37/I37)/1000</f>
        <v>3.4138461538461541E-2</v>
      </c>
      <c r="L37" s="855">
        <f t="shared" ref="L37" si="7">K37*J37</f>
        <v>1.5362307692307693</v>
      </c>
    </row>
    <row r="38" spans="2:24" x14ac:dyDescent="0.3">
      <c r="B38" s="858" t="s">
        <v>597</v>
      </c>
      <c r="C38" s="856" t="s">
        <v>14</v>
      </c>
      <c r="D38" s="857">
        <v>13</v>
      </c>
      <c r="E38" s="855">
        <f>$AD$1</f>
        <v>317</v>
      </c>
      <c r="F38" s="855">
        <f>D38*E38</f>
        <v>4121</v>
      </c>
      <c r="H38" s="855">
        <f>F38</f>
        <v>4121</v>
      </c>
      <c r="I38" s="855">
        <f>VLOOKUP(B38,All_Ingredients!$A$1:$F$151,6,FALSE())</f>
        <v>1</v>
      </c>
      <c r="J38" s="855">
        <f>VLOOKUP(B38,All_Ingredients!$A$1:$J$151,10,FALSE())</f>
        <v>0</v>
      </c>
      <c r="K38" s="855">
        <f>(H38/I38)/1000</f>
        <v>4.1210000000000004</v>
      </c>
      <c r="L38" s="855">
        <f t="shared" ref="L38" si="8">K38*J38</f>
        <v>0</v>
      </c>
    </row>
    <row r="40" spans="2:24" ht="14.25" customHeight="1" x14ac:dyDescent="0.3">
      <c r="Q40" s="14"/>
      <c r="R40" s="165" t="s">
        <v>340</v>
      </c>
      <c r="S40" s="239">
        <v>1</v>
      </c>
      <c r="X40" s="14"/>
    </row>
    <row r="41" spans="2:24" ht="14.25" customHeight="1" x14ac:dyDescent="0.3">
      <c r="Q41" s="14"/>
      <c r="R41" s="14"/>
      <c r="S41" s="14"/>
      <c r="T41" s="14"/>
      <c r="U41" s="169"/>
      <c r="V41" s="14"/>
      <c r="W41" s="14"/>
      <c r="X41" s="14"/>
    </row>
    <row r="42" spans="2:24" ht="14.25" customHeight="1" x14ac:dyDescent="0.3">
      <c r="Q42" s="14"/>
      <c r="R42" s="14"/>
      <c r="S42" s="14"/>
      <c r="T42" s="14"/>
      <c r="U42" s="14"/>
      <c r="V42" s="14"/>
      <c r="W42" s="14"/>
      <c r="X42" s="14"/>
    </row>
    <row r="43" spans="2:24" ht="14.25" customHeight="1" x14ac:dyDescent="0.3">
      <c r="Q43" s="170" t="s">
        <v>284</v>
      </c>
      <c r="R43" s="170" t="s">
        <v>285</v>
      </c>
      <c r="S43" s="170" t="s">
        <v>286</v>
      </c>
      <c r="T43" s="170" t="s">
        <v>287</v>
      </c>
      <c r="U43" s="170" t="s">
        <v>288</v>
      </c>
      <c r="V43" s="170" t="s">
        <v>289</v>
      </c>
      <c r="W43" s="258" t="s">
        <v>341</v>
      </c>
      <c r="X43" s="321"/>
    </row>
    <row r="44" spans="2:24" ht="14.25" customHeight="1" x14ac:dyDescent="0.3">
      <c r="Q44" s="172">
        <v>10000</v>
      </c>
      <c r="R44" s="173">
        <v>0</v>
      </c>
      <c r="S44" s="241">
        <v>0</v>
      </c>
      <c r="T44" s="241">
        <v>0</v>
      </c>
      <c r="U44" s="242">
        <f>R44*S44</f>
        <v>0</v>
      </c>
      <c r="V44" s="176">
        <f>R44*T44</f>
        <v>0</v>
      </c>
      <c r="W44" s="260">
        <f>Q44-U44</f>
        <v>10000</v>
      </c>
      <c r="X44" s="298"/>
    </row>
    <row r="46" spans="2:24" x14ac:dyDescent="0.3">
      <c r="O46">
        <v>88924.528301886792</v>
      </c>
    </row>
    <row r="50" spans="1:17" ht="14.5" thickBot="1" x14ac:dyDescent="0.35">
      <c r="G50" s="146" t="s">
        <v>292</v>
      </c>
      <c r="H50" s="146" t="s">
        <v>245</v>
      </c>
      <c r="I50" s="146" t="s">
        <v>293</v>
      </c>
      <c r="J50" s="146" t="s">
        <v>294</v>
      </c>
      <c r="O50">
        <v>18800</v>
      </c>
      <c r="P50">
        <v>10000</v>
      </c>
      <c r="Q50">
        <f>P50/O50</f>
        <v>0.53191489361702127</v>
      </c>
    </row>
    <row r="51" spans="1:17" ht="14.5" thickBot="1" x14ac:dyDescent="0.35">
      <c r="G51" s="310" t="s">
        <v>335</v>
      </c>
      <c r="H51" s="311">
        <v>10</v>
      </c>
      <c r="I51" s="311">
        <f t="shared" ref="I51:I56" si="9">J51/$J$1</f>
        <v>18867.924528301886</v>
      </c>
      <c r="J51" s="312">
        <f>$W$44</f>
        <v>10000</v>
      </c>
      <c r="O51">
        <v>18800</v>
      </c>
      <c r="P51">
        <v>10000</v>
      </c>
      <c r="Q51">
        <f t="shared" ref="Q51:Q54" si="10">P51/O51</f>
        <v>0.53191489361702127</v>
      </c>
    </row>
    <row r="52" spans="1:17" x14ac:dyDescent="0.3">
      <c r="G52" s="162" t="s">
        <v>274</v>
      </c>
      <c r="H52" s="313">
        <f>$E$5</f>
        <v>46.769999999999996</v>
      </c>
      <c r="I52" s="314">
        <f t="shared" si="9"/>
        <v>88245.283018867922</v>
      </c>
      <c r="J52" s="315">
        <f>$S$30</f>
        <v>46770</v>
      </c>
      <c r="O52">
        <v>18800</v>
      </c>
      <c r="P52">
        <v>10000</v>
      </c>
      <c r="Q52">
        <f t="shared" si="10"/>
        <v>0.53191489361702127</v>
      </c>
    </row>
    <row r="53" spans="1:17" x14ac:dyDescent="0.3">
      <c r="D53" s="492"/>
      <c r="G53" s="148" t="s">
        <v>296</v>
      </c>
      <c r="H53" s="316">
        <f>MIN($H$52, H51)</f>
        <v>10</v>
      </c>
      <c r="I53" s="176">
        <f t="shared" si="9"/>
        <v>18867.924528301886</v>
      </c>
      <c r="J53" s="317">
        <f>MIN(MAX($J$52,0),$J$51)</f>
        <v>10000</v>
      </c>
      <c r="O53">
        <v>18800</v>
      </c>
      <c r="P53">
        <v>10000</v>
      </c>
      <c r="Q53">
        <f t="shared" si="10"/>
        <v>0.53191489361702127</v>
      </c>
    </row>
    <row r="54" spans="1:17" x14ac:dyDescent="0.3">
      <c r="D54" s="492"/>
      <c r="G54" s="148" t="s">
        <v>297</v>
      </c>
      <c r="H54" s="316">
        <f>MIN(MAX($H$52-H53,0),H51)</f>
        <v>10</v>
      </c>
      <c r="I54" s="176">
        <f t="shared" si="9"/>
        <v>18867.924528301886</v>
      </c>
      <c r="J54" s="184">
        <f>MIN(MAX($J$52-J53,0),$J$51)</f>
        <v>10000</v>
      </c>
      <c r="O54">
        <v>10300</v>
      </c>
      <c r="P54">
        <v>8100</v>
      </c>
      <c r="Q54">
        <f t="shared" si="10"/>
        <v>0.78640776699029125</v>
      </c>
    </row>
    <row r="55" spans="1:17" x14ac:dyDescent="0.3">
      <c r="D55" s="492"/>
      <c r="G55" s="145" t="s">
        <v>298</v>
      </c>
      <c r="H55" s="316">
        <f>MIN(MAX($H$52-H53-H54,0),H51)</f>
        <v>10</v>
      </c>
      <c r="I55" s="176">
        <f t="shared" si="9"/>
        <v>18867.924528301886</v>
      </c>
      <c r="J55" s="317">
        <f>MIN(MAX($J$52-J53-J54,0),$J$51)</f>
        <v>10000</v>
      </c>
    </row>
    <row r="56" spans="1:17" x14ac:dyDescent="0.3">
      <c r="G56" s="145" t="s">
        <v>305</v>
      </c>
      <c r="H56" s="316">
        <f>MIN(MAX($H$52-H53-H54-H55,0),H51)</f>
        <v>10</v>
      </c>
      <c r="I56" s="176">
        <f t="shared" si="9"/>
        <v>18867.924528301886</v>
      </c>
      <c r="J56" s="317">
        <f>MIN(MAX($J$52-J53-J54-J55,0),$J$51)</f>
        <v>10000</v>
      </c>
      <c r="O56">
        <f>SUM(O50:O54)</f>
        <v>85500</v>
      </c>
      <c r="P56">
        <f>SUM(P50:P54)</f>
        <v>48100</v>
      </c>
    </row>
    <row r="57" spans="1:17" x14ac:dyDescent="0.3">
      <c r="G57" s="145" t="s">
        <v>356</v>
      </c>
      <c r="H57" s="316">
        <f>MIN(MAX($H$52-H53-H54-H55-H56,0),H52)</f>
        <v>6.769999999999996</v>
      </c>
      <c r="I57" s="176">
        <f>J57/$J$1</f>
        <v>12773.584905660377</v>
      </c>
      <c r="J57" s="317">
        <f>MIN(MAX($J$52-J53-J54-J55-J56,0),$J$51)</f>
        <v>6770</v>
      </c>
    </row>
    <row r="58" spans="1:17" x14ac:dyDescent="0.3">
      <c r="O58">
        <f>O46-O56</f>
        <v>3424.5283018867922</v>
      </c>
    </row>
    <row r="62" spans="1:17" ht="17.75" customHeight="1" x14ac:dyDescent="0.3">
      <c r="A62" s="322"/>
      <c r="B62" s="1382" t="str">
        <f>"زربيان لحم  1 / " &amp; COUNTIF($H$53:$H$57, "&gt;0")</f>
        <v>زربيان لحم  1 / 5</v>
      </c>
      <c r="C62" s="1383"/>
      <c r="D62" s="1383"/>
      <c r="E62" s="1383"/>
      <c r="F62" s="1383"/>
      <c r="G62" s="1383"/>
      <c r="H62" s="1383"/>
    </row>
    <row r="63" spans="1:17" ht="17.75" customHeight="1" x14ac:dyDescent="0.3">
      <c r="A63" s="407"/>
      <c r="B63" s="1384" t="str">
        <f>"Beef Zurbian 1 / " &amp; COUNTIF($H$53:$H$57, "&gt;0")</f>
        <v>Beef Zurbian 1 / 5</v>
      </c>
      <c r="C63" s="1385"/>
      <c r="D63" s="1385"/>
      <c r="E63" s="1385"/>
      <c r="F63" s="1385"/>
      <c r="G63" s="1385"/>
      <c r="H63" s="1385"/>
    </row>
    <row r="64" spans="1:17" ht="48.5" customHeight="1" x14ac:dyDescent="0.3">
      <c r="A64" s="91"/>
      <c r="B64" s="91" t="s">
        <v>253</v>
      </c>
      <c r="C64" s="307" t="s">
        <v>329</v>
      </c>
      <c r="D64" s="91" t="s">
        <v>330</v>
      </c>
      <c r="E64" s="108" t="s">
        <v>331</v>
      </c>
      <c r="F64" s="108" t="s">
        <v>332</v>
      </c>
      <c r="G64" s="308" t="s">
        <v>333</v>
      </c>
      <c r="H64" s="218" t="s">
        <v>257</v>
      </c>
    </row>
    <row r="65" spans="1:8" ht="14.25" customHeight="1" x14ac:dyDescent="0.3">
      <c r="A65" s="219" t="s">
        <v>230</v>
      </c>
      <c r="B65" s="323" t="str">
        <f t="shared" ref="B65:D78" si="11">B5</f>
        <v>Indian Meat Alana  - لحم هندى ألانا</v>
      </c>
      <c r="C65" s="323" t="str">
        <f t="shared" si="11"/>
        <v>gm</v>
      </c>
      <c r="D65" s="324">
        <f t="shared" si="11"/>
        <v>1886.7924528301887</v>
      </c>
      <c r="E65" s="197">
        <f t="shared" ref="E65:E78" si="12">$H$53</f>
        <v>10</v>
      </c>
      <c r="F65" s="127">
        <f t="shared" ref="F65:F78" si="13">F5</f>
        <v>1</v>
      </c>
      <c r="G65" s="119">
        <f t="shared" ref="G65:G78" si="14">D65*E65</f>
        <v>18867.924528301886</v>
      </c>
      <c r="H65" s="120">
        <f t="shared" ref="H65:H78" si="15">G65*F65</f>
        <v>18867.924528301886</v>
      </c>
    </row>
    <row r="66" spans="1:8" ht="14.25" customHeight="1" x14ac:dyDescent="0.3">
      <c r="A66" s="270" t="s">
        <v>13</v>
      </c>
      <c r="B66" s="323" t="str">
        <f t="shared" si="11"/>
        <v>Onion - بصل</v>
      </c>
      <c r="C66" s="323" t="str">
        <f t="shared" si="11"/>
        <v>gm</v>
      </c>
      <c r="D66" s="323">
        <f t="shared" si="11"/>
        <v>200</v>
      </c>
      <c r="E66" s="197">
        <f t="shared" si="12"/>
        <v>10</v>
      </c>
      <c r="F66" s="127">
        <f t="shared" si="13"/>
        <v>1</v>
      </c>
      <c r="G66" s="81">
        <f t="shared" si="14"/>
        <v>2000</v>
      </c>
      <c r="H66" s="120">
        <f t="shared" si="15"/>
        <v>2000</v>
      </c>
    </row>
    <row r="67" spans="1:8" ht="14.25" customHeight="1" x14ac:dyDescent="0.3">
      <c r="A67" s="270" t="s">
        <v>13</v>
      </c>
      <c r="B67" s="323" t="str">
        <f t="shared" si="11"/>
        <v>Tomato - طماطم</v>
      </c>
      <c r="C67" s="323" t="str">
        <f t="shared" si="11"/>
        <v>gm</v>
      </c>
      <c r="D67" s="323">
        <f t="shared" si="11"/>
        <v>120</v>
      </c>
      <c r="E67" s="197">
        <f t="shared" si="12"/>
        <v>10</v>
      </c>
      <c r="F67" s="127">
        <f t="shared" si="13"/>
        <v>1</v>
      </c>
      <c r="G67" s="81">
        <f t="shared" si="14"/>
        <v>1200</v>
      </c>
      <c r="H67" s="120">
        <f t="shared" si="15"/>
        <v>1200</v>
      </c>
    </row>
    <row r="68" spans="1:8" ht="14.25" customHeight="1" x14ac:dyDescent="0.3">
      <c r="A68" s="270" t="s">
        <v>13</v>
      </c>
      <c r="B68" s="323" t="str">
        <f t="shared" si="11"/>
        <v>Garlic - ثوم مقشر</v>
      </c>
      <c r="C68" s="323" t="str">
        <f t="shared" si="11"/>
        <v>gm</v>
      </c>
      <c r="D68" s="323">
        <f t="shared" si="11"/>
        <v>10</v>
      </c>
      <c r="E68" s="197">
        <f t="shared" si="12"/>
        <v>10</v>
      </c>
      <c r="F68" s="127">
        <f t="shared" si="13"/>
        <v>0.65</v>
      </c>
      <c r="G68" s="81">
        <f t="shared" si="14"/>
        <v>100</v>
      </c>
      <c r="H68" s="120">
        <f t="shared" si="15"/>
        <v>65</v>
      </c>
    </row>
    <row r="69" spans="1:8" ht="14.25" customHeight="1" x14ac:dyDescent="0.3">
      <c r="A69" s="270" t="s">
        <v>13</v>
      </c>
      <c r="B69" s="323" t="str">
        <f t="shared" si="11"/>
        <v>Green Bell Pepper - فلفل أخضر رومى</v>
      </c>
      <c r="C69" s="323" t="str">
        <f t="shared" si="11"/>
        <v>gm</v>
      </c>
      <c r="D69" s="323">
        <f t="shared" si="11"/>
        <v>50</v>
      </c>
      <c r="E69" s="197">
        <f t="shared" si="12"/>
        <v>10</v>
      </c>
      <c r="F69" s="127">
        <f t="shared" si="13"/>
        <v>0.75</v>
      </c>
      <c r="G69" s="81">
        <f t="shared" si="14"/>
        <v>500</v>
      </c>
      <c r="H69" s="120">
        <f t="shared" si="15"/>
        <v>375</v>
      </c>
    </row>
    <row r="70" spans="1:8" ht="14.25" customHeight="1" x14ac:dyDescent="0.3">
      <c r="A70" s="270" t="s">
        <v>97</v>
      </c>
      <c r="B70" s="323" t="str">
        <f t="shared" si="11"/>
        <v>Cumin Powder - كمون مطحون</v>
      </c>
      <c r="C70" s="323" t="str">
        <f t="shared" si="11"/>
        <v>gm</v>
      </c>
      <c r="D70" s="323">
        <f t="shared" si="11"/>
        <v>20</v>
      </c>
      <c r="E70" s="197">
        <f t="shared" si="12"/>
        <v>10</v>
      </c>
      <c r="F70" s="127">
        <f t="shared" si="13"/>
        <v>0.7</v>
      </c>
      <c r="G70" s="81">
        <f t="shared" si="14"/>
        <v>200</v>
      </c>
      <c r="H70" s="120">
        <f t="shared" si="15"/>
        <v>140</v>
      </c>
    </row>
    <row r="71" spans="1:8" ht="14.25" customHeight="1" x14ac:dyDescent="0.3">
      <c r="A71" s="270" t="s">
        <v>97</v>
      </c>
      <c r="B71" s="323" t="str">
        <f t="shared" si="11"/>
        <v>Maggi Cubes - مكعبات ماجي</v>
      </c>
      <c r="C71" s="323" t="str">
        <f t="shared" si="11"/>
        <v>gm</v>
      </c>
      <c r="D71" s="323">
        <f t="shared" si="11"/>
        <v>20</v>
      </c>
      <c r="E71" s="197">
        <f t="shared" si="12"/>
        <v>10</v>
      </c>
      <c r="F71" s="127">
        <f t="shared" si="13"/>
        <v>0.65</v>
      </c>
      <c r="G71" s="81">
        <f t="shared" si="14"/>
        <v>200</v>
      </c>
      <c r="H71" s="120">
        <f t="shared" si="15"/>
        <v>130</v>
      </c>
    </row>
    <row r="72" spans="1:8" ht="14.25" customHeight="1" x14ac:dyDescent="0.3">
      <c r="A72" s="270" t="s">
        <v>97</v>
      </c>
      <c r="B72" s="323" t="str">
        <f t="shared" si="11"/>
        <v>Cardamom Whole - هيل حب</v>
      </c>
      <c r="C72" s="323" t="str">
        <f t="shared" si="11"/>
        <v>gm</v>
      </c>
      <c r="D72" s="323">
        <f t="shared" si="11"/>
        <v>10</v>
      </c>
      <c r="E72" s="197">
        <f t="shared" si="12"/>
        <v>10</v>
      </c>
      <c r="F72" s="127">
        <f t="shared" si="13"/>
        <v>0.25</v>
      </c>
      <c r="G72" s="81">
        <f t="shared" si="14"/>
        <v>100</v>
      </c>
      <c r="H72" s="120">
        <f t="shared" si="15"/>
        <v>25</v>
      </c>
    </row>
    <row r="73" spans="1:8" ht="14.25" customHeight="1" x14ac:dyDescent="0.3">
      <c r="A73" s="270" t="s">
        <v>97</v>
      </c>
      <c r="B73" s="323" t="str">
        <f t="shared" si="11"/>
        <v>Coriander Powder - كزبرة مطحونة</v>
      </c>
      <c r="C73" s="323" t="str">
        <f t="shared" si="11"/>
        <v>gm</v>
      </c>
      <c r="D73" s="323">
        <f t="shared" si="11"/>
        <v>20</v>
      </c>
      <c r="E73" s="197">
        <f t="shared" si="12"/>
        <v>10</v>
      </c>
      <c r="F73" s="127">
        <f t="shared" si="13"/>
        <v>0.7</v>
      </c>
      <c r="G73" s="81">
        <f t="shared" si="14"/>
        <v>200</v>
      </c>
      <c r="H73" s="120">
        <f t="shared" si="15"/>
        <v>140</v>
      </c>
    </row>
    <row r="74" spans="1:8" ht="14.25" customHeight="1" x14ac:dyDescent="0.3">
      <c r="A74" s="270" t="s">
        <v>158</v>
      </c>
      <c r="B74" s="323" t="str">
        <f t="shared" si="11"/>
        <v>Yogurt - زبادي</v>
      </c>
      <c r="C74" s="323" t="str">
        <f t="shared" si="11"/>
        <v>gm</v>
      </c>
      <c r="D74" s="323">
        <f t="shared" si="11"/>
        <v>150</v>
      </c>
      <c r="E74" s="197">
        <f t="shared" si="12"/>
        <v>10</v>
      </c>
      <c r="F74" s="127">
        <f t="shared" si="13"/>
        <v>0.85</v>
      </c>
      <c r="G74" s="81">
        <f t="shared" si="14"/>
        <v>1500</v>
      </c>
      <c r="H74" s="120">
        <f t="shared" si="15"/>
        <v>1275</v>
      </c>
    </row>
    <row r="75" spans="1:8" ht="14.25" customHeight="1" x14ac:dyDescent="0.3">
      <c r="A75" s="270" t="s">
        <v>196</v>
      </c>
      <c r="B75" s="323" t="str">
        <f t="shared" si="11"/>
        <v>Tomato Paste - صلصة طماطم</v>
      </c>
      <c r="C75" s="323" t="str">
        <f t="shared" si="11"/>
        <v>gm</v>
      </c>
      <c r="D75" s="323">
        <f t="shared" si="11"/>
        <v>70</v>
      </c>
      <c r="E75" s="197">
        <f t="shared" si="12"/>
        <v>10</v>
      </c>
      <c r="F75" s="127">
        <f t="shared" si="13"/>
        <v>0.8</v>
      </c>
      <c r="G75" s="81">
        <f t="shared" si="14"/>
        <v>700</v>
      </c>
      <c r="H75" s="120">
        <f t="shared" si="15"/>
        <v>560</v>
      </c>
    </row>
    <row r="76" spans="1:8" ht="14.25" customHeight="1" x14ac:dyDescent="0.3">
      <c r="A76" s="270" t="s">
        <v>97</v>
      </c>
      <c r="B76" s="323" t="str">
        <f t="shared" si="11"/>
        <v>Salt - ملح</v>
      </c>
      <c r="C76" s="323" t="str">
        <f t="shared" si="11"/>
        <v>gm</v>
      </c>
      <c r="D76" s="323">
        <f t="shared" si="11"/>
        <v>30</v>
      </c>
      <c r="E76" s="197">
        <f t="shared" si="12"/>
        <v>10</v>
      </c>
      <c r="F76" s="127">
        <f t="shared" si="13"/>
        <v>0.75</v>
      </c>
      <c r="G76" s="81">
        <f t="shared" si="14"/>
        <v>300</v>
      </c>
      <c r="H76" s="120">
        <f t="shared" si="15"/>
        <v>225</v>
      </c>
    </row>
    <row r="77" spans="1:8" ht="14.25" customHeight="1" x14ac:dyDescent="0.3">
      <c r="A77" s="270" t="s">
        <v>210</v>
      </c>
      <c r="B77" s="323" t="str">
        <f t="shared" si="11"/>
        <v>Water - ماء</v>
      </c>
      <c r="C77" s="323" t="str">
        <f t="shared" si="11"/>
        <v>gm</v>
      </c>
      <c r="D77" s="323">
        <f t="shared" si="11"/>
        <v>200</v>
      </c>
      <c r="E77" s="197">
        <f t="shared" si="12"/>
        <v>10</v>
      </c>
      <c r="F77" s="127">
        <f t="shared" si="13"/>
        <v>1</v>
      </c>
      <c r="G77" s="81">
        <f t="shared" si="14"/>
        <v>2000</v>
      </c>
      <c r="H77" s="120">
        <f t="shared" si="15"/>
        <v>2000</v>
      </c>
    </row>
    <row r="78" spans="1:8" ht="14.25" customHeight="1" x14ac:dyDescent="0.3">
      <c r="A78" s="270" t="s">
        <v>220</v>
      </c>
      <c r="B78" s="323" t="str">
        <f t="shared" si="11"/>
        <v>لون صفار زعفران بودر - Saffron yellow color powder</v>
      </c>
      <c r="C78" s="323" t="str">
        <f t="shared" si="11"/>
        <v>gm</v>
      </c>
      <c r="D78" s="323">
        <f t="shared" si="11"/>
        <v>1</v>
      </c>
      <c r="E78" s="197">
        <f t="shared" si="12"/>
        <v>10</v>
      </c>
      <c r="F78" s="127">
        <f t="shared" si="13"/>
        <v>0.3</v>
      </c>
      <c r="G78" s="81">
        <f t="shared" si="14"/>
        <v>10</v>
      </c>
      <c r="H78" s="120">
        <f t="shared" si="15"/>
        <v>3</v>
      </c>
    </row>
    <row r="79" spans="1:8" ht="20.25" customHeight="1" x14ac:dyDescent="0.3">
      <c r="A79" s="211"/>
      <c r="B79" s="198" t="s">
        <v>299</v>
      </c>
      <c r="C79" s="200" t="s">
        <v>285</v>
      </c>
      <c r="D79" s="14"/>
      <c r="E79" s="200" t="s">
        <v>300</v>
      </c>
      <c r="F79" s="14"/>
      <c r="G79" s="890" t="s">
        <v>276</v>
      </c>
      <c r="H79" s="890" t="s">
        <v>733</v>
      </c>
    </row>
    <row r="80" spans="1:8" ht="23.75" customHeight="1" x14ac:dyDescent="0.4">
      <c r="A80" s="211"/>
      <c r="B80" s="199">
        <f>$J$53</f>
        <v>10000</v>
      </c>
      <c r="C80" s="201">
        <f>E80+G80</f>
        <v>0</v>
      </c>
      <c r="D80" s="209"/>
      <c r="E80" s="201">
        <f>$H$53*$S$44</f>
        <v>0</v>
      </c>
      <c r="F80" s="100"/>
      <c r="G80" s="202">
        <f>$H$53*$T$44</f>
        <v>0</v>
      </c>
      <c r="H80" s="202">
        <f>B80+E80</f>
        <v>10000</v>
      </c>
    </row>
    <row r="81" spans="1:10" ht="14.25" customHeight="1" x14ac:dyDescent="0.3">
      <c r="B81" s="100"/>
      <c r="E81" s="100"/>
      <c r="F81" s="100"/>
    </row>
    <row r="82" spans="1:10" ht="17.75" customHeight="1" x14ac:dyDescent="0.3">
      <c r="A82" s="938"/>
      <c r="B82" s="1382" t="str">
        <f>"زربيان لحم  2 / " &amp; COUNTIF($H$53:$H$57, "&gt;0")</f>
        <v>زربيان لحم  2 / 5</v>
      </c>
      <c r="C82" s="1383"/>
      <c r="D82" s="1383"/>
      <c r="E82" s="1383"/>
      <c r="F82" s="1383"/>
      <c r="G82" s="1383"/>
      <c r="H82" s="1383"/>
    </row>
    <row r="83" spans="1:10" ht="17.75" customHeight="1" x14ac:dyDescent="0.3">
      <c r="A83" s="938"/>
      <c r="B83" s="1384" t="str">
        <f>"Beef Zurbian 2 / " &amp; COUNTIF($H$53:$H$57, "&gt;0")</f>
        <v>Beef Zurbian 2 / 5</v>
      </c>
      <c r="C83" s="1385"/>
      <c r="D83" s="1385"/>
      <c r="E83" s="1385"/>
      <c r="F83" s="1385"/>
      <c r="G83" s="1385"/>
      <c r="H83" s="1385"/>
    </row>
    <row r="84" spans="1:10" ht="44.75" customHeight="1" x14ac:dyDescent="0.3">
      <c r="A84" s="91"/>
      <c r="B84" s="91" t="s">
        <v>253</v>
      </c>
      <c r="C84" s="107" t="s">
        <v>254</v>
      </c>
      <c r="D84" s="91" t="s">
        <v>243</v>
      </c>
      <c r="E84" s="218" t="s">
        <v>246</v>
      </c>
      <c r="F84" s="108" t="s">
        <v>342</v>
      </c>
      <c r="G84" s="91" t="s">
        <v>256</v>
      </c>
      <c r="H84" s="218" t="s">
        <v>257</v>
      </c>
    </row>
    <row r="85" spans="1:10" ht="14.25" customHeight="1" x14ac:dyDescent="0.3">
      <c r="A85" s="219" t="s">
        <v>230</v>
      </c>
      <c r="B85" s="323" t="str">
        <f t="shared" ref="B85:D98" si="16">B5</f>
        <v>Indian Meat Alana  - لحم هندى ألانا</v>
      </c>
      <c r="C85" s="323" t="str">
        <f t="shared" si="16"/>
        <v>gm</v>
      </c>
      <c r="D85" s="119">
        <f t="shared" si="16"/>
        <v>1886.7924528301887</v>
      </c>
      <c r="E85" s="197">
        <f t="shared" ref="E85:E98" si="17">$H$54</f>
        <v>10</v>
      </c>
      <c r="F85" s="127">
        <f t="shared" ref="F85:F98" si="18">F5</f>
        <v>1</v>
      </c>
      <c r="G85" s="119">
        <f t="shared" ref="G85:G98" si="19">D85*E85</f>
        <v>18867.924528301886</v>
      </c>
      <c r="H85" s="120">
        <f t="shared" ref="H85:H98" si="20">G85*F85</f>
        <v>18867.924528301886</v>
      </c>
    </row>
    <row r="86" spans="1:10" ht="14.25" customHeight="1" x14ac:dyDescent="0.3">
      <c r="A86" s="270" t="s">
        <v>13</v>
      </c>
      <c r="B86" s="323" t="str">
        <f t="shared" si="16"/>
        <v>Onion - بصل</v>
      </c>
      <c r="C86" s="323" t="str">
        <f t="shared" si="16"/>
        <v>gm</v>
      </c>
      <c r="D86" s="323">
        <f t="shared" si="16"/>
        <v>200</v>
      </c>
      <c r="E86" s="197">
        <f t="shared" si="17"/>
        <v>10</v>
      </c>
      <c r="F86" s="127">
        <f t="shared" si="18"/>
        <v>1</v>
      </c>
      <c r="G86" s="119">
        <f t="shared" si="19"/>
        <v>2000</v>
      </c>
      <c r="H86" s="120">
        <f t="shared" si="20"/>
        <v>2000</v>
      </c>
    </row>
    <row r="87" spans="1:10" ht="14.25" customHeight="1" x14ac:dyDescent="0.3">
      <c r="A87" s="270" t="s">
        <v>13</v>
      </c>
      <c r="B87" s="323" t="str">
        <f t="shared" si="16"/>
        <v>Tomato - طماطم</v>
      </c>
      <c r="C87" s="323" t="str">
        <f t="shared" si="16"/>
        <v>gm</v>
      </c>
      <c r="D87" s="323">
        <f t="shared" si="16"/>
        <v>120</v>
      </c>
      <c r="E87" s="197">
        <f t="shared" si="17"/>
        <v>10</v>
      </c>
      <c r="F87" s="127">
        <f t="shared" si="18"/>
        <v>1</v>
      </c>
      <c r="G87" s="119">
        <f t="shared" si="19"/>
        <v>1200</v>
      </c>
      <c r="H87" s="120">
        <f t="shared" si="20"/>
        <v>1200</v>
      </c>
    </row>
    <row r="88" spans="1:10" ht="14.25" customHeight="1" x14ac:dyDescent="0.3">
      <c r="A88" s="270" t="s">
        <v>13</v>
      </c>
      <c r="B88" s="323" t="str">
        <f t="shared" si="16"/>
        <v>Garlic - ثوم مقشر</v>
      </c>
      <c r="C88" s="323" t="str">
        <f t="shared" si="16"/>
        <v>gm</v>
      </c>
      <c r="D88" s="323">
        <f t="shared" si="16"/>
        <v>10</v>
      </c>
      <c r="E88" s="197">
        <f t="shared" si="17"/>
        <v>10</v>
      </c>
      <c r="F88" s="127">
        <f t="shared" si="18"/>
        <v>0.65</v>
      </c>
      <c r="G88" s="119">
        <f t="shared" si="19"/>
        <v>100</v>
      </c>
      <c r="H88" s="120">
        <f t="shared" si="20"/>
        <v>65</v>
      </c>
    </row>
    <row r="89" spans="1:10" ht="14.25" customHeight="1" x14ac:dyDescent="0.3">
      <c r="A89" s="270" t="s">
        <v>13</v>
      </c>
      <c r="B89" s="323" t="str">
        <f t="shared" si="16"/>
        <v>Green Bell Pepper - فلفل أخضر رومى</v>
      </c>
      <c r="C89" s="323" t="str">
        <f t="shared" si="16"/>
        <v>gm</v>
      </c>
      <c r="D89" s="323">
        <f t="shared" si="16"/>
        <v>50</v>
      </c>
      <c r="E89" s="197">
        <f t="shared" si="17"/>
        <v>10</v>
      </c>
      <c r="F89" s="127">
        <f t="shared" si="18"/>
        <v>0.75</v>
      </c>
      <c r="G89" s="119">
        <f t="shared" si="19"/>
        <v>500</v>
      </c>
      <c r="H89" s="120">
        <f t="shared" si="20"/>
        <v>375</v>
      </c>
    </row>
    <row r="90" spans="1:10" ht="14.25" customHeight="1" x14ac:dyDescent="0.3">
      <c r="A90" s="270" t="s">
        <v>97</v>
      </c>
      <c r="B90" s="323" t="str">
        <f t="shared" si="16"/>
        <v>Cumin Powder - كمون مطحون</v>
      </c>
      <c r="C90" s="323" t="str">
        <f t="shared" si="16"/>
        <v>gm</v>
      </c>
      <c r="D90" s="323">
        <f t="shared" si="16"/>
        <v>20</v>
      </c>
      <c r="E90" s="197">
        <f t="shared" si="17"/>
        <v>10</v>
      </c>
      <c r="F90" s="127">
        <f t="shared" si="18"/>
        <v>0.7</v>
      </c>
      <c r="G90" s="119">
        <f t="shared" si="19"/>
        <v>200</v>
      </c>
      <c r="H90" s="120">
        <f t="shared" si="20"/>
        <v>140</v>
      </c>
    </row>
    <row r="91" spans="1:10" ht="12" customHeight="1" x14ac:dyDescent="0.4">
      <c r="A91" s="270" t="s">
        <v>97</v>
      </c>
      <c r="B91" s="323" t="str">
        <f t="shared" si="16"/>
        <v>Maggi Cubes - مكعبات ماجي</v>
      </c>
      <c r="C91" s="323" t="str">
        <f t="shared" si="16"/>
        <v>gm</v>
      </c>
      <c r="D91" s="323">
        <f t="shared" si="16"/>
        <v>20</v>
      </c>
      <c r="E91" s="197">
        <f t="shared" si="17"/>
        <v>10</v>
      </c>
      <c r="F91" s="127">
        <f t="shared" si="18"/>
        <v>0.65</v>
      </c>
      <c r="G91" s="119">
        <f t="shared" si="19"/>
        <v>200</v>
      </c>
      <c r="H91" s="120">
        <f t="shared" si="20"/>
        <v>130</v>
      </c>
      <c r="I91" s="204"/>
      <c r="J91" s="203"/>
    </row>
    <row r="92" spans="1:10" ht="14.25" customHeight="1" x14ac:dyDescent="0.3">
      <c r="A92" s="270" t="s">
        <v>97</v>
      </c>
      <c r="B92" s="323" t="str">
        <f t="shared" si="16"/>
        <v>Cardamom Whole - هيل حب</v>
      </c>
      <c r="C92" s="323" t="str">
        <f t="shared" si="16"/>
        <v>gm</v>
      </c>
      <c r="D92" s="323">
        <f t="shared" si="16"/>
        <v>10</v>
      </c>
      <c r="E92" s="197">
        <f t="shared" si="17"/>
        <v>10</v>
      </c>
      <c r="F92" s="127">
        <f t="shared" si="18"/>
        <v>0.25</v>
      </c>
      <c r="G92" s="119">
        <f t="shared" si="19"/>
        <v>100</v>
      </c>
      <c r="H92" s="120">
        <f t="shared" si="20"/>
        <v>25</v>
      </c>
    </row>
    <row r="93" spans="1:10" ht="14.25" customHeight="1" x14ac:dyDescent="0.3">
      <c r="A93" s="270" t="s">
        <v>97</v>
      </c>
      <c r="B93" s="323" t="str">
        <f t="shared" si="16"/>
        <v>Coriander Powder - كزبرة مطحونة</v>
      </c>
      <c r="C93" s="323" t="str">
        <f t="shared" si="16"/>
        <v>gm</v>
      </c>
      <c r="D93" s="323">
        <f t="shared" si="16"/>
        <v>20</v>
      </c>
      <c r="E93" s="197">
        <f t="shared" si="17"/>
        <v>10</v>
      </c>
      <c r="F93" s="127">
        <f t="shared" si="18"/>
        <v>0.7</v>
      </c>
      <c r="G93" s="119">
        <f t="shared" si="19"/>
        <v>200</v>
      </c>
      <c r="H93" s="120">
        <f t="shared" si="20"/>
        <v>140</v>
      </c>
    </row>
    <row r="94" spans="1:10" ht="14.25" customHeight="1" x14ac:dyDescent="0.3">
      <c r="A94" s="270" t="s">
        <v>158</v>
      </c>
      <c r="B94" s="323" t="str">
        <f t="shared" si="16"/>
        <v>Yogurt - زبادي</v>
      </c>
      <c r="C94" s="323" t="str">
        <f t="shared" si="16"/>
        <v>gm</v>
      </c>
      <c r="D94" s="323">
        <f t="shared" si="16"/>
        <v>150</v>
      </c>
      <c r="E94" s="197">
        <f t="shared" si="17"/>
        <v>10</v>
      </c>
      <c r="F94" s="127">
        <f t="shared" si="18"/>
        <v>0.85</v>
      </c>
      <c r="G94" s="119">
        <f t="shared" si="19"/>
        <v>1500</v>
      </c>
      <c r="H94" s="120">
        <f t="shared" si="20"/>
        <v>1275</v>
      </c>
    </row>
    <row r="95" spans="1:10" ht="14.25" customHeight="1" x14ac:dyDescent="0.3">
      <c r="A95" s="270" t="s">
        <v>196</v>
      </c>
      <c r="B95" s="323" t="str">
        <f t="shared" si="16"/>
        <v>Tomato Paste - صلصة طماطم</v>
      </c>
      <c r="C95" s="323" t="str">
        <f t="shared" si="16"/>
        <v>gm</v>
      </c>
      <c r="D95" s="323">
        <f t="shared" si="16"/>
        <v>70</v>
      </c>
      <c r="E95" s="197">
        <f t="shared" si="17"/>
        <v>10</v>
      </c>
      <c r="F95" s="127">
        <f t="shared" si="18"/>
        <v>0.8</v>
      </c>
      <c r="G95" s="119">
        <f t="shared" si="19"/>
        <v>700</v>
      </c>
      <c r="H95" s="120">
        <f t="shared" si="20"/>
        <v>560</v>
      </c>
    </row>
    <row r="96" spans="1:10" ht="14.25" customHeight="1" x14ac:dyDescent="0.3">
      <c r="A96" s="270" t="s">
        <v>97</v>
      </c>
      <c r="B96" s="323" t="str">
        <f t="shared" si="16"/>
        <v>Salt - ملح</v>
      </c>
      <c r="C96" s="323" t="str">
        <f t="shared" si="16"/>
        <v>gm</v>
      </c>
      <c r="D96" s="323">
        <f t="shared" si="16"/>
        <v>30</v>
      </c>
      <c r="E96" s="197">
        <f t="shared" si="17"/>
        <v>10</v>
      </c>
      <c r="F96" s="127">
        <f t="shared" si="18"/>
        <v>0.75</v>
      </c>
      <c r="G96" s="119">
        <f t="shared" si="19"/>
        <v>300</v>
      </c>
      <c r="H96" s="120">
        <f t="shared" si="20"/>
        <v>225</v>
      </c>
    </row>
    <row r="97" spans="1:8" ht="14.25" customHeight="1" x14ac:dyDescent="0.3">
      <c r="A97" s="270" t="s">
        <v>210</v>
      </c>
      <c r="B97" s="323" t="str">
        <f t="shared" si="16"/>
        <v>Water - ماء</v>
      </c>
      <c r="C97" s="323" t="str">
        <f t="shared" si="16"/>
        <v>gm</v>
      </c>
      <c r="D97" s="323">
        <f t="shared" si="16"/>
        <v>200</v>
      </c>
      <c r="E97" s="197">
        <f t="shared" si="17"/>
        <v>10</v>
      </c>
      <c r="F97" s="127">
        <f t="shared" si="18"/>
        <v>1</v>
      </c>
      <c r="G97" s="119">
        <f t="shared" si="19"/>
        <v>2000</v>
      </c>
      <c r="H97" s="120">
        <f t="shared" si="20"/>
        <v>2000</v>
      </c>
    </row>
    <row r="98" spans="1:8" ht="14.25" customHeight="1" x14ac:dyDescent="0.3">
      <c r="A98" s="270" t="s">
        <v>220</v>
      </c>
      <c r="B98" s="323" t="str">
        <f t="shared" si="16"/>
        <v>لون صفار زعفران بودر - Saffron yellow color powder</v>
      </c>
      <c r="C98" s="323" t="str">
        <f t="shared" si="16"/>
        <v>gm</v>
      </c>
      <c r="D98" s="323">
        <f t="shared" si="16"/>
        <v>1</v>
      </c>
      <c r="E98" s="197">
        <f t="shared" si="17"/>
        <v>10</v>
      </c>
      <c r="F98" s="127">
        <f t="shared" si="18"/>
        <v>0.3</v>
      </c>
      <c r="G98" s="119">
        <f t="shared" si="19"/>
        <v>10</v>
      </c>
      <c r="H98" s="120">
        <f t="shared" si="20"/>
        <v>3</v>
      </c>
    </row>
    <row r="99" spans="1:8" ht="20.25" customHeight="1" x14ac:dyDescent="0.3">
      <c r="A99" s="211"/>
      <c r="B99" s="198" t="s">
        <v>299</v>
      </c>
      <c r="C99" s="200" t="s">
        <v>285</v>
      </c>
      <c r="D99" s="14"/>
      <c r="E99" s="200" t="s">
        <v>300</v>
      </c>
      <c r="F99" s="14"/>
      <c r="G99" s="890" t="s">
        <v>276</v>
      </c>
      <c r="H99" s="890" t="s">
        <v>733</v>
      </c>
    </row>
    <row r="100" spans="1:8" ht="22.25" customHeight="1" x14ac:dyDescent="0.3">
      <c r="A100" s="211"/>
      <c r="B100" s="948">
        <f>$J$54</f>
        <v>10000</v>
      </c>
      <c r="C100" s="948">
        <f>E100+G100</f>
        <v>0</v>
      </c>
      <c r="D100" s="949"/>
      <c r="E100" s="948">
        <f>$H$54*$S$44</f>
        <v>0</v>
      </c>
      <c r="F100" s="950"/>
      <c r="G100" s="948">
        <f>$H$54*$T$44</f>
        <v>0</v>
      </c>
      <c r="H100" s="948">
        <f>B100+E100</f>
        <v>10000</v>
      </c>
    </row>
    <row r="101" spans="1:8" ht="14.25" customHeight="1" x14ac:dyDescent="0.3">
      <c r="B101" s="950"/>
      <c r="C101" s="949"/>
      <c r="D101" s="949"/>
      <c r="E101" s="950"/>
      <c r="F101" s="950"/>
      <c r="G101" s="949"/>
      <c r="H101" s="949"/>
    </row>
    <row r="102" spans="1:8" ht="14.25" customHeight="1" x14ac:dyDescent="0.3">
      <c r="B102" s="950"/>
      <c r="C102" s="949"/>
      <c r="D102" s="949"/>
      <c r="E102" s="950"/>
      <c r="F102" s="950"/>
      <c r="G102" s="949"/>
      <c r="H102" s="949"/>
    </row>
    <row r="103" spans="1:8" ht="14.25" customHeight="1" x14ac:dyDescent="0.3">
      <c r="B103" s="950"/>
      <c r="C103" s="949"/>
      <c r="D103" s="949"/>
      <c r="E103" s="950"/>
      <c r="F103" s="950"/>
      <c r="G103" s="949"/>
      <c r="H103" s="949"/>
    </row>
    <row r="104" spans="1:8" ht="17.75" customHeight="1" x14ac:dyDescent="0.3">
      <c r="A104" s="938"/>
      <c r="B104" s="1456" t="str">
        <f>"زربيان لحم  3 / " &amp; COUNTIF(H53:H57, "&gt;0")</f>
        <v>زربيان لحم  3 / 5</v>
      </c>
      <c r="C104" s="1457"/>
      <c r="D104" s="1457"/>
      <c r="E104" s="1457"/>
      <c r="F104" s="1457"/>
      <c r="G104" s="1457"/>
      <c r="H104" s="1457"/>
    </row>
    <row r="105" spans="1:8" ht="17.75" customHeight="1" x14ac:dyDescent="0.3">
      <c r="A105" s="938"/>
      <c r="B105" s="1458" t="str">
        <f>"Beef Zurbian  3 / " &amp; COUNTIF(H53:H57, "&gt;0")</f>
        <v>Beef Zurbian  3 / 5</v>
      </c>
      <c r="C105" s="1459"/>
      <c r="D105" s="1459"/>
      <c r="E105" s="1459"/>
      <c r="F105" s="1459"/>
      <c r="G105" s="1459"/>
      <c r="H105" s="1459"/>
    </row>
    <row r="106" spans="1:8" ht="53" customHeight="1" x14ac:dyDescent="0.3">
      <c r="A106" s="91"/>
      <c r="B106" s="952" t="s">
        <v>253</v>
      </c>
      <c r="C106" s="953" t="s">
        <v>254</v>
      </c>
      <c r="D106" s="952" t="s">
        <v>243</v>
      </c>
      <c r="E106" s="954" t="s">
        <v>246</v>
      </c>
      <c r="F106" s="955" t="s">
        <v>342</v>
      </c>
      <c r="G106" s="952" t="s">
        <v>256</v>
      </c>
      <c r="H106" s="954" t="s">
        <v>257</v>
      </c>
    </row>
    <row r="107" spans="1:8" ht="14.25" customHeight="1" x14ac:dyDescent="0.3">
      <c r="A107" s="219" t="s">
        <v>230</v>
      </c>
      <c r="B107" s="956" t="str">
        <f t="shared" ref="B107:D120" si="21">B5</f>
        <v>Indian Meat Alana  - لحم هندى ألانا</v>
      </c>
      <c r="C107" s="956" t="str">
        <f t="shared" si="21"/>
        <v>gm</v>
      </c>
      <c r="D107" s="956">
        <f t="shared" si="21"/>
        <v>1886.7924528301887</v>
      </c>
      <c r="E107" s="957">
        <f t="shared" ref="E107:E120" si="22">$H$55</f>
        <v>10</v>
      </c>
      <c r="F107" s="956">
        <f t="shared" ref="F107:F120" si="23">F5</f>
        <v>1</v>
      </c>
      <c r="G107" s="956">
        <f t="shared" ref="G107:G120" si="24">D107*E107</f>
        <v>18867.924528301886</v>
      </c>
      <c r="H107" s="958">
        <f t="shared" ref="H107:H120" si="25">G107*F107</f>
        <v>18867.924528301886</v>
      </c>
    </row>
    <row r="108" spans="1:8" ht="14.25" customHeight="1" x14ac:dyDescent="0.3">
      <c r="A108" s="219" t="s">
        <v>13</v>
      </c>
      <c r="B108" s="956" t="str">
        <f t="shared" si="21"/>
        <v>Onion - بصل</v>
      </c>
      <c r="C108" s="956" t="str">
        <f t="shared" si="21"/>
        <v>gm</v>
      </c>
      <c r="D108" s="956">
        <f t="shared" si="21"/>
        <v>200</v>
      </c>
      <c r="E108" s="957">
        <f t="shared" si="22"/>
        <v>10</v>
      </c>
      <c r="F108" s="956">
        <f t="shared" si="23"/>
        <v>1</v>
      </c>
      <c r="G108" s="956">
        <f t="shared" si="24"/>
        <v>2000</v>
      </c>
      <c r="H108" s="958">
        <f t="shared" si="25"/>
        <v>2000</v>
      </c>
    </row>
    <row r="109" spans="1:8" ht="14.25" customHeight="1" x14ac:dyDescent="0.3">
      <c r="A109" s="219" t="s">
        <v>13</v>
      </c>
      <c r="B109" s="956" t="str">
        <f t="shared" si="21"/>
        <v>Tomato - طماطم</v>
      </c>
      <c r="C109" s="956" t="str">
        <f t="shared" si="21"/>
        <v>gm</v>
      </c>
      <c r="D109" s="956">
        <f t="shared" si="21"/>
        <v>120</v>
      </c>
      <c r="E109" s="957">
        <f t="shared" si="22"/>
        <v>10</v>
      </c>
      <c r="F109" s="956">
        <f t="shared" si="23"/>
        <v>1</v>
      </c>
      <c r="G109" s="956">
        <f t="shared" si="24"/>
        <v>1200</v>
      </c>
      <c r="H109" s="958">
        <f t="shared" si="25"/>
        <v>1200</v>
      </c>
    </row>
    <row r="110" spans="1:8" ht="14.25" customHeight="1" x14ac:dyDescent="0.3">
      <c r="A110" s="219" t="s">
        <v>13</v>
      </c>
      <c r="B110" s="956" t="str">
        <f t="shared" si="21"/>
        <v>Garlic - ثوم مقشر</v>
      </c>
      <c r="C110" s="956" t="str">
        <f t="shared" si="21"/>
        <v>gm</v>
      </c>
      <c r="D110" s="956">
        <f t="shared" si="21"/>
        <v>10</v>
      </c>
      <c r="E110" s="957">
        <f t="shared" si="22"/>
        <v>10</v>
      </c>
      <c r="F110" s="956">
        <f t="shared" si="23"/>
        <v>0.65</v>
      </c>
      <c r="G110" s="956">
        <f t="shared" si="24"/>
        <v>100</v>
      </c>
      <c r="H110" s="958">
        <f t="shared" si="25"/>
        <v>65</v>
      </c>
    </row>
    <row r="111" spans="1:8" ht="14.25" customHeight="1" x14ac:dyDescent="0.3">
      <c r="A111" s="219" t="s">
        <v>13</v>
      </c>
      <c r="B111" s="956" t="str">
        <f t="shared" si="21"/>
        <v>Green Bell Pepper - فلفل أخضر رومى</v>
      </c>
      <c r="C111" s="956" t="str">
        <f t="shared" si="21"/>
        <v>gm</v>
      </c>
      <c r="D111" s="956">
        <f t="shared" si="21"/>
        <v>50</v>
      </c>
      <c r="E111" s="957">
        <f t="shared" si="22"/>
        <v>10</v>
      </c>
      <c r="F111" s="956">
        <f t="shared" si="23"/>
        <v>0.75</v>
      </c>
      <c r="G111" s="956">
        <f t="shared" si="24"/>
        <v>500</v>
      </c>
      <c r="H111" s="958">
        <f t="shared" si="25"/>
        <v>375</v>
      </c>
    </row>
    <row r="112" spans="1:8" ht="14.25" customHeight="1" x14ac:dyDescent="0.3">
      <c r="A112" s="219" t="s">
        <v>97</v>
      </c>
      <c r="B112" s="956" t="str">
        <f t="shared" si="21"/>
        <v>Cumin Powder - كمون مطحون</v>
      </c>
      <c r="C112" s="956" t="str">
        <f t="shared" si="21"/>
        <v>gm</v>
      </c>
      <c r="D112" s="956">
        <f t="shared" si="21"/>
        <v>20</v>
      </c>
      <c r="E112" s="957">
        <f t="shared" si="22"/>
        <v>10</v>
      </c>
      <c r="F112" s="956">
        <f t="shared" si="23"/>
        <v>0.7</v>
      </c>
      <c r="G112" s="956">
        <f t="shared" si="24"/>
        <v>200</v>
      </c>
      <c r="H112" s="958">
        <f t="shared" si="25"/>
        <v>140</v>
      </c>
    </row>
    <row r="113" spans="1:8" ht="14.25" customHeight="1" x14ac:dyDescent="0.3">
      <c r="A113" s="219" t="s">
        <v>97</v>
      </c>
      <c r="B113" s="956" t="str">
        <f t="shared" si="21"/>
        <v>Maggi Cubes - مكعبات ماجي</v>
      </c>
      <c r="C113" s="956" t="str">
        <f t="shared" si="21"/>
        <v>gm</v>
      </c>
      <c r="D113" s="956">
        <f t="shared" si="21"/>
        <v>20</v>
      </c>
      <c r="E113" s="957">
        <f t="shared" si="22"/>
        <v>10</v>
      </c>
      <c r="F113" s="956">
        <f t="shared" si="23"/>
        <v>0.65</v>
      </c>
      <c r="G113" s="956">
        <f t="shared" si="24"/>
        <v>200</v>
      </c>
      <c r="H113" s="958">
        <f t="shared" si="25"/>
        <v>130</v>
      </c>
    </row>
    <row r="114" spans="1:8" ht="14.25" customHeight="1" x14ac:dyDescent="0.3">
      <c r="A114" s="219" t="s">
        <v>97</v>
      </c>
      <c r="B114" s="956" t="str">
        <f t="shared" si="21"/>
        <v>Cardamom Whole - هيل حب</v>
      </c>
      <c r="C114" s="956" t="str">
        <f t="shared" si="21"/>
        <v>gm</v>
      </c>
      <c r="D114" s="956">
        <f t="shared" si="21"/>
        <v>10</v>
      </c>
      <c r="E114" s="957">
        <f t="shared" si="22"/>
        <v>10</v>
      </c>
      <c r="F114" s="956">
        <f t="shared" si="23"/>
        <v>0.25</v>
      </c>
      <c r="G114" s="956">
        <f t="shared" si="24"/>
        <v>100</v>
      </c>
      <c r="H114" s="958">
        <f t="shared" si="25"/>
        <v>25</v>
      </c>
    </row>
    <row r="115" spans="1:8" ht="14.25" customHeight="1" x14ac:dyDescent="0.3">
      <c r="A115" s="219" t="s">
        <v>97</v>
      </c>
      <c r="B115" s="956" t="str">
        <f t="shared" si="21"/>
        <v>Coriander Powder - كزبرة مطحونة</v>
      </c>
      <c r="C115" s="956" t="str">
        <f t="shared" si="21"/>
        <v>gm</v>
      </c>
      <c r="D115" s="956">
        <f t="shared" si="21"/>
        <v>20</v>
      </c>
      <c r="E115" s="957">
        <f t="shared" si="22"/>
        <v>10</v>
      </c>
      <c r="F115" s="956">
        <f t="shared" si="23"/>
        <v>0.7</v>
      </c>
      <c r="G115" s="956">
        <f t="shared" si="24"/>
        <v>200</v>
      </c>
      <c r="H115" s="958">
        <f t="shared" si="25"/>
        <v>140</v>
      </c>
    </row>
    <row r="116" spans="1:8" ht="14.25" customHeight="1" x14ac:dyDescent="0.3">
      <c r="A116" s="219" t="s">
        <v>158</v>
      </c>
      <c r="B116" s="956" t="str">
        <f t="shared" si="21"/>
        <v>Yogurt - زبادي</v>
      </c>
      <c r="C116" s="956" t="str">
        <f t="shared" si="21"/>
        <v>gm</v>
      </c>
      <c r="D116" s="956">
        <f t="shared" si="21"/>
        <v>150</v>
      </c>
      <c r="E116" s="957">
        <f t="shared" si="22"/>
        <v>10</v>
      </c>
      <c r="F116" s="956">
        <f t="shared" si="23"/>
        <v>0.85</v>
      </c>
      <c r="G116" s="956">
        <f t="shared" si="24"/>
        <v>1500</v>
      </c>
      <c r="H116" s="958">
        <f t="shared" si="25"/>
        <v>1275</v>
      </c>
    </row>
    <row r="117" spans="1:8" ht="14.25" customHeight="1" x14ac:dyDescent="0.3">
      <c r="A117" s="219" t="s">
        <v>196</v>
      </c>
      <c r="B117" s="956" t="str">
        <f t="shared" si="21"/>
        <v>Tomato Paste - صلصة طماطم</v>
      </c>
      <c r="C117" s="956" t="str">
        <f t="shared" si="21"/>
        <v>gm</v>
      </c>
      <c r="D117" s="956">
        <f t="shared" si="21"/>
        <v>70</v>
      </c>
      <c r="E117" s="957">
        <f t="shared" si="22"/>
        <v>10</v>
      </c>
      <c r="F117" s="956">
        <f t="shared" si="23"/>
        <v>0.8</v>
      </c>
      <c r="G117" s="956">
        <f t="shared" si="24"/>
        <v>700</v>
      </c>
      <c r="H117" s="958">
        <f t="shared" si="25"/>
        <v>560</v>
      </c>
    </row>
    <row r="118" spans="1:8" ht="14.25" customHeight="1" x14ac:dyDescent="0.3">
      <c r="A118" s="219" t="s">
        <v>97</v>
      </c>
      <c r="B118" s="956" t="str">
        <f t="shared" si="21"/>
        <v>Salt - ملح</v>
      </c>
      <c r="C118" s="956" t="str">
        <f t="shared" si="21"/>
        <v>gm</v>
      </c>
      <c r="D118" s="956">
        <f t="shared" si="21"/>
        <v>30</v>
      </c>
      <c r="E118" s="957">
        <f t="shared" si="22"/>
        <v>10</v>
      </c>
      <c r="F118" s="956">
        <f t="shared" si="23"/>
        <v>0.75</v>
      </c>
      <c r="G118" s="956">
        <f t="shared" si="24"/>
        <v>300</v>
      </c>
      <c r="H118" s="958">
        <f t="shared" si="25"/>
        <v>225</v>
      </c>
    </row>
    <row r="119" spans="1:8" ht="14.25" customHeight="1" x14ac:dyDescent="0.3">
      <c r="A119" s="219" t="s">
        <v>210</v>
      </c>
      <c r="B119" s="956" t="str">
        <f t="shared" si="21"/>
        <v>Water - ماء</v>
      </c>
      <c r="C119" s="956" t="str">
        <f t="shared" si="21"/>
        <v>gm</v>
      </c>
      <c r="D119" s="956">
        <f t="shared" si="21"/>
        <v>200</v>
      </c>
      <c r="E119" s="957">
        <f t="shared" si="22"/>
        <v>10</v>
      </c>
      <c r="F119" s="956">
        <f t="shared" si="23"/>
        <v>1</v>
      </c>
      <c r="G119" s="956">
        <f t="shared" si="24"/>
        <v>2000</v>
      </c>
      <c r="H119" s="958">
        <f t="shared" si="25"/>
        <v>2000</v>
      </c>
    </row>
    <row r="120" spans="1:8" ht="25" x14ac:dyDescent="0.3">
      <c r="A120" s="219" t="s">
        <v>220</v>
      </c>
      <c r="B120" s="956" t="str">
        <f t="shared" si="21"/>
        <v>لون صفار زعفران بودر - Saffron yellow color powder</v>
      </c>
      <c r="C120" s="956" t="str">
        <f t="shared" si="21"/>
        <v>gm</v>
      </c>
      <c r="D120" s="956">
        <f t="shared" si="21"/>
        <v>1</v>
      </c>
      <c r="E120" s="957">
        <f t="shared" si="22"/>
        <v>10</v>
      </c>
      <c r="F120" s="956">
        <f t="shared" si="23"/>
        <v>0.3</v>
      </c>
      <c r="G120" s="956">
        <f t="shared" si="24"/>
        <v>10</v>
      </c>
      <c r="H120" s="958">
        <f t="shared" si="25"/>
        <v>3</v>
      </c>
    </row>
    <row r="121" spans="1:8" ht="20.25" customHeight="1" x14ac:dyDescent="0.3">
      <c r="A121" s="79"/>
      <c r="B121" s="959" t="s">
        <v>299</v>
      </c>
      <c r="C121" s="960" t="s">
        <v>285</v>
      </c>
      <c r="D121" s="951"/>
      <c r="E121" s="960" t="s">
        <v>300</v>
      </c>
      <c r="F121" s="951"/>
      <c r="G121" s="961" t="s">
        <v>276</v>
      </c>
      <c r="H121" s="961" t="s">
        <v>733</v>
      </c>
    </row>
    <row r="122" spans="1:8" ht="20" x14ac:dyDescent="0.3">
      <c r="A122" s="79"/>
      <c r="B122" s="948">
        <f>$J$55</f>
        <v>10000</v>
      </c>
      <c r="C122" s="948">
        <f>E122+G122</f>
        <v>0</v>
      </c>
      <c r="D122" s="951"/>
      <c r="E122" s="948">
        <f>$H$55*$S$44</f>
        <v>0</v>
      </c>
      <c r="F122" s="951"/>
      <c r="G122" s="948">
        <f>$H$55*$T$44</f>
        <v>0</v>
      </c>
      <c r="H122" s="948">
        <f>B122+E122</f>
        <v>10000</v>
      </c>
    </row>
    <row r="123" spans="1:8" x14ac:dyDescent="0.3">
      <c r="B123" s="949"/>
      <c r="C123" s="949"/>
      <c r="D123" s="949"/>
      <c r="E123" s="949"/>
      <c r="F123" s="949"/>
      <c r="G123" s="949"/>
      <c r="H123" s="949"/>
    </row>
    <row r="124" spans="1:8" x14ac:dyDescent="0.3">
      <c r="A124" s="938"/>
      <c r="B124" s="1456" t="str">
        <f>"زربيان لحم  4 / " &amp; COUNTIF(H53:H57, "&gt;0")</f>
        <v>زربيان لحم  4 / 5</v>
      </c>
      <c r="C124" s="1457"/>
      <c r="D124" s="1457"/>
      <c r="E124" s="1457"/>
      <c r="F124" s="1457"/>
      <c r="G124" s="1457"/>
      <c r="H124" s="1457"/>
    </row>
    <row r="125" spans="1:8" x14ac:dyDescent="0.3">
      <c r="A125" s="938"/>
      <c r="B125" s="1458" t="str">
        <f>"Beef Zurbian  4 / " &amp; COUNTIF(H53:H57, "&gt;0")</f>
        <v>Beef Zurbian  4 / 5</v>
      </c>
      <c r="C125" s="1459"/>
      <c r="D125" s="1459"/>
      <c r="E125" s="1459"/>
      <c r="F125" s="1459"/>
      <c r="G125" s="1459"/>
      <c r="H125" s="1459"/>
    </row>
    <row r="126" spans="1:8" ht="41" customHeight="1" x14ac:dyDescent="0.3">
      <c r="A126" s="91"/>
      <c r="B126" s="952" t="s">
        <v>253</v>
      </c>
      <c r="C126" s="953" t="s">
        <v>254</v>
      </c>
      <c r="D126" s="952" t="s">
        <v>243</v>
      </c>
      <c r="E126" s="954" t="s">
        <v>246</v>
      </c>
      <c r="F126" s="955" t="s">
        <v>342</v>
      </c>
      <c r="G126" s="952" t="s">
        <v>256</v>
      </c>
      <c r="H126" s="954" t="s">
        <v>257</v>
      </c>
    </row>
    <row r="127" spans="1:8" x14ac:dyDescent="0.3">
      <c r="A127" s="219" t="s">
        <v>230</v>
      </c>
      <c r="B127" s="956" t="str">
        <f t="shared" ref="B127:D140" si="26">B5</f>
        <v>Indian Meat Alana  - لحم هندى ألانا</v>
      </c>
      <c r="C127" s="956" t="str">
        <f t="shared" si="26"/>
        <v>gm</v>
      </c>
      <c r="D127" s="956">
        <f t="shared" si="26"/>
        <v>1886.7924528301887</v>
      </c>
      <c r="E127" s="957">
        <f t="shared" ref="E127:E140" si="27">$H$56</f>
        <v>10</v>
      </c>
      <c r="F127" s="956">
        <f>F5</f>
        <v>1</v>
      </c>
      <c r="G127" s="956">
        <f t="shared" ref="G127:G140" si="28">D127*E127</f>
        <v>18867.924528301886</v>
      </c>
      <c r="H127" s="958">
        <f t="shared" ref="H127:H140" si="29">G127*F127</f>
        <v>18867.924528301886</v>
      </c>
    </row>
    <row r="128" spans="1:8" x14ac:dyDescent="0.3">
      <c r="A128" s="219" t="s">
        <v>13</v>
      </c>
      <c r="B128" s="956" t="str">
        <f t="shared" si="26"/>
        <v>Onion - بصل</v>
      </c>
      <c r="C128" s="956" t="str">
        <f t="shared" si="26"/>
        <v>gm</v>
      </c>
      <c r="D128" s="956">
        <f t="shared" si="26"/>
        <v>200</v>
      </c>
      <c r="E128" s="957">
        <f t="shared" si="27"/>
        <v>10</v>
      </c>
      <c r="F128" s="956">
        <f t="shared" ref="F128:F140" si="30">F6</f>
        <v>1</v>
      </c>
      <c r="G128" s="956">
        <f t="shared" si="28"/>
        <v>2000</v>
      </c>
      <c r="H128" s="958">
        <f t="shared" si="29"/>
        <v>2000</v>
      </c>
    </row>
    <row r="129" spans="1:8" x14ac:dyDescent="0.3">
      <c r="A129" s="219" t="s">
        <v>13</v>
      </c>
      <c r="B129" s="956" t="str">
        <f t="shared" si="26"/>
        <v>Tomato - طماطم</v>
      </c>
      <c r="C129" s="956" t="str">
        <f t="shared" si="26"/>
        <v>gm</v>
      </c>
      <c r="D129" s="956">
        <f t="shared" si="26"/>
        <v>120</v>
      </c>
      <c r="E129" s="957">
        <f t="shared" si="27"/>
        <v>10</v>
      </c>
      <c r="F129" s="956">
        <f t="shared" si="30"/>
        <v>1</v>
      </c>
      <c r="G129" s="956">
        <f t="shared" si="28"/>
        <v>1200</v>
      </c>
      <c r="H129" s="958">
        <f t="shared" si="29"/>
        <v>1200</v>
      </c>
    </row>
    <row r="130" spans="1:8" x14ac:dyDescent="0.3">
      <c r="A130" s="219" t="s">
        <v>13</v>
      </c>
      <c r="B130" s="956" t="str">
        <f t="shared" si="26"/>
        <v>Garlic - ثوم مقشر</v>
      </c>
      <c r="C130" s="956" t="str">
        <f t="shared" si="26"/>
        <v>gm</v>
      </c>
      <c r="D130" s="956">
        <f t="shared" si="26"/>
        <v>10</v>
      </c>
      <c r="E130" s="957">
        <f t="shared" si="27"/>
        <v>10</v>
      </c>
      <c r="F130" s="956">
        <f t="shared" si="30"/>
        <v>0.65</v>
      </c>
      <c r="G130" s="956">
        <f t="shared" si="28"/>
        <v>100</v>
      </c>
      <c r="H130" s="958">
        <f t="shared" si="29"/>
        <v>65</v>
      </c>
    </row>
    <row r="131" spans="1:8" x14ac:dyDescent="0.3">
      <c r="A131" s="219" t="s">
        <v>13</v>
      </c>
      <c r="B131" s="956" t="str">
        <f t="shared" si="26"/>
        <v>Green Bell Pepper - فلفل أخضر رومى</v>
      </c>
      <c r="C131" s="956" t="str">
        <f t="shared" si="26"/>
        <v>gm</v>
      </c>
      <c r="D131" s="956">
        <f t="shared" si="26"/>
        <v>50</v>
      </c>
      <c r="E131" s="957">
        <f t="shared" si="27"/>
        <v>10</v>
      </c>
      <c r="F131" s="956">
        <f t="shared" si="30"/>
        <v>0.75</v>
      </c>
      <c r="G131" s="956">
        <f t="shared" si="28"/>
        <v>500</v>
      </c>
      <c r="H131" s="958">
        <f t="shared" si="29"/>
        <v>375</v>
      </c>
    </row>
    <row r="132" spans="1:8" x14ac:dyDescent="0.3">
      <c r="A132" s="219" t="s">
        <v>97</v>
      </c>
      <c r="B132" s="956" t="str">
        <f t="shared" si="26"/>
        <v>Cumin Powder - كمون مطحون</v>
      </c>
      <c r="C132" s="956" t="str">
        <f t="shared" si="26"/>
        <v>gm</v>
      </c>
      <c r="D132" s="956">
        <f t="shared" si="26"/>
        <v>20</v>
      </c>
      <c r="E132" s="957">
        <f t="shared" si="27"/>
        <v>10</v>
      </c>
      <c r="F132" s="956">
        <f t="shared" si="30"/>
        <v>0.7</v>
      </c>
      <c r="G132" s="956">
        <f t="shared" si="28"/>
        <v>200</v>
      </c>
      <c r="H132" s="958">
        <f t="shared" si="29"/>
        <v>140</v>
      </c>
    </row>
    <row r="133" spans="1:8" x14ac:dyDescent="0.3">
      <c r="A133" s="219" t="s">
        <v>97</v>
      </c>
      <c r="B133" s="956" t="str">
        <f t="shared" si="26"/>
        <v>Maggi Cubes - مكعبات ماجي</v>
      </c>
      <c r="C133" s="956" t="str">
        <f t="shared" si="26"/>
        <v>gm</v>
      </c>
      <c r="D133" s="956">
        <f t="shared" si="26"/>
        <v>20</v>
      </c>
      <c r="E133" s="957">
        <f t="shared" si="27"/>
        <v>10</v>
      </c>
      <c r="F133" s="956">
        <f t="shared" si="30"/>
        <v>0.65</v>
      </c>
      <c r="G133" s="956">
        <f t="shared" si="28"/>
        <v>200</v>
      </c>
      <c r="H133" s="958">
        <f t="shared" si="29"/>
        <v>130</v>
      </c>
    </row>
    <row r="134" spans="1:8" x14ac:dyDescent="0.3">
      <c r="A134" s="219" t="s">
        <v>97</v>
      </c>
      <c r="B134" s="956" t="str">
        <f t="shared" si="26"/>
        <v>Cardamom Whole - هيل حب</v>
      </c>
      <c r="C134" s="956" t="str">
        <f t="shared" si="26"/>
        <v>gm</v>
      </c>
      <c r="D134" s="956">
        <f t="shared" si="26"/>
        <v>10</v>
      </c>
      <c r="E134" s="957">
        <f t="shared" si="27"/>
        <v>10</v>
      </c>
      <c r="F134" s="956">
        <f t="shared" si="30"/>
        <v>0.25</v>
      </c>
      <c r="G134" s="956">
        <f t="shared" si="28"/>
        <v>100</v>
      </c>
      <c r="H134" s="958">
        <f t="shared" si="29"/>
        <v>25</v>
      </c>
    </row>
    <row r="135" spans="1:8" x14ac:dyDescent="0.3">
      <c r="A135" s="219" t="s">
        <v>97</v>
      </c>
      <c r="B135" s="956" t="str">
        <f t="shared" si="26"/>
        <v>Coriander Powder - كزبرة مطحونة</v>
      </c>
      <c r="C135" s="956" t="str">
        <f t="shared" si="26"/>
        <v>gm</v>
      </c>
      <c r="D135" s="956">
        <f t="shared" si="26"/>
        <v>20</v>
      </c>
      <c r="E135" s="957">
        <f t="shared" si="27"/>
        <v>10</v>
      </c>
      <c r="F135" s="956">
        <f t="shared" si="30"/>
        <v>0.7</v>
      </c>
      <c r="G135" s="956">
        <f t="shared" si="28"/>
        <v>200</v>
      </c>
      <c r="H135" s="958">
        <f t="shared" si="29"/>
        <v>140</v>
      </c>
    </row>
    <row r="136" spans="1:8" x14ac:dyDescent="0.3">
      <c r="A136" s="219" t="s">
        <v>158</v>
      </c>
      <c r="B136" s="956" t="str">
        <f t="shared" si="26"/>
        <v>Yogurt - زبادي</v>
      </c>
      <c r="C136" s="956" t="str">
        <f t="shared" si="26"/>
        <v>gm</v>
      </c>
      <c r="D136" s="956">
        <f t="shared" si="26"/>
        <v>150</v>
      </c>
      <c r="E136" s="957">
        <f t="shared" si="27"/>
        <v>10</v>
      </c>
      <c r="F136" s="956">
        <f t="shared" si="30"/>
        <v>0.85</v>
      </c>
      <c r="G136" s="956">
        <f t="shared" si="28"/>
        <v>1500</v>
      </c>
      <c r="H136" s="958">
        <f t="shared" si="29"/>
        <v>1275</v>
      </c>
    </row>
    <row r="137" spans="1:8" x14ac:dyDescent="0.3">
      <c r="A137" s="219" t="s">
        <v>196</v>
      </c>
      <c r="B137" s="956" t="str">
        <f t="shared" si="26"/>
        <v>Tomato Paste - صلصة طماطم</v>
      </c>
      <c r="C137" s="956" t="str">
        <f t="shared" si="26"/>
        <v>gm</v>
      </c>
      <c r="D137" s="956">
        <f t="shared" si="26"/>
        <v>70</v>
      </c>
      <c r="E137" s="957">
        <f t="shared" si="27"/>
        <v>10</v>
      </c>
      <c r="F137" s="956">
        <f t="shared" si="30"/>
        <v>0.8</v>
      </c>
      <c r="G137" s="956">
        <f t="shared" si="28"/>
        <v>700</v>
      </c>
      <c r="H137" s="958">
        <f t="shared" si="29"/>
        <v>560</v>
      </c>
    </row>
    <row r="138" spans="1:8" x14ac:dyDescent="0.3">
      <c r="A138" s="219" t="s">
        <v>97</v>
      </c>
      <c r="B138" s="956" t="str">
        <f t="shared" si="26"/>
        <v>Salt - ملح</v>
      </c>
      <c r="C138" s="956" t="str">
        <f t="shared" si="26"/>
        <v>gm</v>
      </c>
      <c r="D138" s="956">
        <f t="shared" si="26"/>
        <v>30</v>
      </c>
      <c r="E138" s="957">
        <f t="shared" si="27"/>
        <v>10</v>
      </c>
      <c r="F138" s="956">
        <f t="shared" si="30"/>
        <v>0.75</v>
      </c>
      <c r="G138" s="956">
        <f t="shared" si="28"/>
        <v>300</v>
      </c>
      <c r="H138" s="958">
        <f t="shared" si="29"/>
        <v>225</v>
      </c>
    </row>
    <row r="139" spans="1:8" x14ac:dyDescent="0.3">
      <c r="A139" s="219" t="s">
        <v>210</v>
      </c>
      <c r="B139" s="956" t="str">
        <f t="shared" si="26"/>
        <v>Water - ماء</v>
      </c>
      <c r="C139" s="956" t="str">
        <f t="shared" si="26"/>
        <v>gm</v>
      </c>
      <c r="D139" s="956">
        <f t="shared" si="26"/>
        <v>200</v>
      </c>
      <c r="E139" s="957">
        <f t="shared" si="27"/>
        <v>10</v>
      </c>
      <c r="F139" s="956">
        <f t="shared" si="30"/>
        <v>1</v>
      </c>
      <c r="G139" s="956">
        <f t="shared" si="28"/>
        <v>2000</v>
      </c>
      <c r="H139" s="958">
        <f t="shared" si="29"/>
        <v>2000</v>
      </c>
    </row>
    <row r="140" spans="1:8" ht="25" x14ac:dyDescent="0.3">
      <c r="A140" s="219" t="s">
        <v>220</v>
      </c>
      <c r="B140" s="956" t="str">
        <f t="shared" si="26"/>
        <v>لون صفار زعفران بودر - Saffron yellow color powder</v>
      </c>
      <c r="C140" s="956" t="str">
        <f t="shared" si="26"/>
        <v>gm</v>
      </c>
      <c r="D140" s="956">
        <f t="shared" si="26"/>
        <v>1</v>
      </c>
      <c r="E140" s="957">
        <f t="shared" si="27"/>
        <v>10</v>
      </c>
      <c r="F140" s="956">
        <f t="shared" si="30"/>
        <v>0.3</v>
      </c>
      <c r="G140" s="956">
        <f t="shared" si="28"/>
        <v>10</v>
      </c>
      <c r="H140" s="958">
        <f t="shared" si="29"/>
        <v>3</v>
      </c>
    </row>
    <row r="141" spans="1:8" ht="18" x14ac:dyDescent="0.3">
      <c r="A141" s="79"/>
      <c r="B141" s="959" t="s">
        <v>299</v>
      </c>
      <c r="C141" s="960" t="s">
        <v>285</v>
      </c>
      <c r="D141" s="951"/>
      <c r="E141" s="960" t="s">
        <v>300</v>
      </c>
      <c r="F141" s="951"/>
      <c r="G141" s="961" t="s">
        <v>276</v>
      </c>
      <c r="H141" s="961" t="s">
        <v>733</v>
      </c>
    </row>
    <row r="142" spans="1:8" ht="20" x14ac:dyDescent="0.3">
      <c r="A142" s="79"/>
      <c r="B142" s="948">
        <f>$J$56</f>
        <v>10000</v>
      </c>
      <c r="C142" s="948">
        <f>E142+G142</f>
        <v>0</v>
      </c>
      <c r="D142" s="951"/>
      <c r="E142" s="948">
        <f>$H$56*$S$44</f>
        <v>0</v>
      </c>
      <c r="F142" s="951"/>
      <c r="G142" s="948">
        <f>$H$56*$T$44</f>
        <v>0</v>
      </c>
      <c r="H142" s="948">
        <f>B142+E142</f>
        <v>10000</v>
      </c>
    </row>
    <row r="143" spans="1:8" x14ac:dyDescent="0.3">
      <c r="B143" s="949"/>
      <c r="C143" s="949"/>
      <c r="D143" s="949"/>
      <c r="E143" s="949"/>
      <c r="F143" s="949"/>
      <c r="G143" s="949"/>
      <c r="H143" s="949"/>
    </row>
    <row r="144" spans="1:8" x14ac:dyDescent="0.3">
      <c r="A144" s="938"/>
      <c r="B144" s="1456" t="str">
        <f>"زربيان لحم  5 / " &amp; COUNTIF($H$53:$H$57, "&gt;0")</f>
        <v>زربيان لحم  5 / 5</v>
      </c>
      <c r="C144" s="1457"/>
      <c r="D144" s="1457"/>
      <c r="E144" s="1457"/>
      <c r="F144" s="1457"/>
      <c r="G144" s="1457"/>
      <c r="H144" s="1457"/>
    </row>
    <row r="145" spans="1:8" x14ac:dyDescent="0.3">
      <c r="A145" s="938"/>
      <c r="B145" s="1458" t="str">
        <f>"Beef Zurbian 5 / " &amp; COUNTIF($H$53:$H$57, "&gt;0")</f>
        <v>Beef Zurbian 5 / 5</v>
      </c>
      <c r="C145" s="1459"/>
      <c r="D145" s="1459"/>
      <c r="E145" s="1459"/>
      <c r="F145" s="1459"/>
      <c r="G145" s="1459"/>
      <c r="H145" s="1459"/>
    </row>
    <row r="146" spans="1:8" ht="42.5" customHeight="1" x14ac:dyDescent="0.3">
      <c r="A146" s="91"/>
      <c r="B146" s="952" t="s">
        <v>253</v>
      </c>
      <c r="C146" s="953" t="s">
        <v>254</v>
      </c>
      <c r="D146" s="952" t="s">
        <v>243</v>
      </c>
      <c r="E146" s="954" t="s">
        <v>246</v>
      </c>
      <c r="F146" s="955" t="s">
        <v>342</v>
      </c>
      <c r="G146" s="952" t="s">
        <v>256</v>
      </c>
      <c r="H146" s="954" t="s">
        <v>257</v>
      </c>
    </row>
    <row r="147" spans="1:8" x14ac:dyDescent="0.3">
      <c r="A147" s="219" t="s">
        <v>230</v>
      </c>
      <c r="B147" s="956" t="str">
        <f t="shared" ref="B147:D158" si="31">B5</f>
        <v>Indian Meat Alana  - لحم هندى ألانا</v>
      </c>
      <c r="C147" s="956" t="str">
        <f t="shared" si="31"/>
        <v>gm</v>
      </c>
      <c r="D147" s="956">
        <f t="shared" si="31"/>
        <v>1886.7924528301887</v>
      </c>
      <c r="E147" s="957">
        <f t="shared" ref="E147:E160" si="32">$H$57</f>
        <v>6.769999999999996</v>
      </c>
      <c r="F147" s="956">
        <f>F5</f>
        <v>1</v>
      </c>
      <c r="G147" s="956">
        <f t="shared" ref="G147:G160" si="33">D147*E147</f>
        <v>12773.584905660369</v>
      </c>
      <c r="H147" s="958">
        <f t="shared" ref="H147:H160" si="34">G147*F147</f>
        <v>12773.584905660369</v>
      </c>
    </row>
    <row r="148" spans="1:8" x14ac:dyDescent="0.3">
      <c r="A148" s="219" t="s">
        <v>13</v>
      </c>
      <c r="B148" s="956" t="str">
        <f t="shared" si="31"/>
        <v>Onion - بصل</v>
      </c>
      <c r="C148" s="956" t="str">
        <f t="shared" si="31"/>
        <v>gm</v>
      </c>
      <c r="D148" s="956">
        <f t="shared" si="31"/>
        <v>200</v>
      </c>
      <c r="E148" s="957">
        <f t="shared" si="32"/>
        <v>6.769999999999996</v>
      </c>
      <c r="F148" s="956">
        <f t="shared" ref="F148:F160" si="35">F6</f>
        <v>1</v>
      </c>
      <c r="G148" s="956">
        <f t="shared" si="33"/>
        <v>1353.9999999999991</v>
      </c>
      <c r="H148" s="958">
        <f t="shared" si="34"/>
        <v>1353.9999999999991</v>
      </c>
    </row>
    <row r="149" spans="1:8" x14ac:dyDescent="0.3">
      <c r="A149" s="219" t="s">
        <v>13</v>
      </c>
      <c r="B149" s="956" t="str">
        <f t="shared" si="31"/>
        <v>Tomato - طماطم</v>
      </c>
      <c r="C149" s="956" t="str">
        <f t="shared" si="31"/>
        <v>gm</v>
      </c>
      <c r="D149" s="956">
        <f t="shared" si="31"/>
        <v>120</v>
      </c>
      <c r="E149" s="957">
        <f t="shared" si="32"/>
        <v>6.769999999999996</v>
      </c>
      <c r="F149" s="956">
        <f t="shared" si="35"/>
        <v>1</v>
      </c>
      <c r="G149" s="956">
        <f t="shared" si="33"/>
        <v>812.39999999999952</v>
      </c>
      <c r="H149" s="958">
        <f t="shared" si="34"/>
        <v>812.39999999999952</v>
      </c>
    </row>
    <row r="150" spans="1:8" x14ac:dyDescent="0.3">
      <c r="A150" s="219" t="s">
        <v>13</v>
      </c>
      <c r="B150" s="956" t="str">
        <f t="shared" si="31"/>
        <v>Garlic - ثوم مقشر</v>
      </c>
      <c r="C150" s="956" t="str">
        <f t="shared" si="31"/>
        <v>gm</v>
      </c>
      <c r="D150" s="956">
        <f t="shared" si="31"/>
        <v>10</v>
      </c>
      <c r="E150" s="957">
        <f t="shared" si="32"/>
        <v>6.769999999999996</v>
      </c>
      <c r="F150" s="956">
        <f t="shared" si="35"/>
        <v>0.65</v>
      </c>
      <c r="G150" s="956">
        <f t="shared" si="33"/>
        <v>67.69999999999996</v>
      </c>
      <c r="H150" s="958">
        <f t="shared" si="34"/>
        <v>44.004999999999974</v>
      </c>
    </row>
    <row r="151" spans="1:8" x14ac:dyDescent="0.3">
      <c r="A151" s="219" t="s">
        <v>13</v>
      </c>
      <c r="B151" s="956" t="str">
        <f t="shared" si="31"/>
        <v>Green Bell Pepper - فلفل أخضر رومى</v>
      </c>
      <c r="C151" s="956" t="str">
        <f t="shared" si="31"/>
        <v>gm</v>
      </c>
      <c r="D151" s="956">
        <f t="shared" si="31"/>
        <v>50</v>
      </c>
      <c r="E151" s="957">
        <f t="shared" si="32"/>
        <v>6.769999999999996</v>
      </c>
      <c r="F151" s="956">
        <f t="shared" si="35"/>
        <v>0.75</v>
      </c>
      <c r="G151" s="956">
        <f t="shared" si="33"/>
        <v>338.49999999999977</v>
      </c>
      <c r="H151" s="958">
        <f t="shared" si="34"/>
        <v>253.87499999999983</v>
      </c>
    </row>
    <row r="152" spans="1:8" x14ac:dyDescent="0.3">
      <c r="A152" s="219" t="s">
        <v>97</v>
      </c>
      <c r="B152" s="956" t="str">
        <f t="shared" si="31"/>
        <v>Cumin Powder - كمون مطحون</v>
      </c>
      <c r="C152" s="956" t="str">
        <f t="shared" si="31"/>
        <v>gm</v>
      </c>
      <c r="D152" s="956">
        <f t="shared" si="31"/>
        <v>20</v>
      </c>
      <c r="E152" s="957">
        <f t="shared" si="32"/>
        <v>6.769999999999996</v>
      </c>
      <c r="F152" s="956">
        <f t="shared" si="35"/>
        <v>0.7</v>
      </c>
      <c r="G152" s="956">
        <f t="shared" si="33"/>
        <v>135.39999999999992</v>
      </c>
      <c r="H152" s="958">
        <f t="shared" si="34"/>
        <v>94.779999999999944</v>
      </c>
    </row>
    <row r="153" spans="1:8" x14ac:dyDescent="0.3">
      <c r="A153" s="219" t="s">
        <v>97</v>
      </c>
      <c r="B153" s="956" t="str">
        <f t="shared" si="31"/>
        <v>Maggi Cubes - مكعبات ماجي</v>
      </c>
      <c r="C153" s="956" t="str">
        <f t="shared" si="31"/>
        <v>gm</v>
      </c>
      <c r="D153" s="956">
        <f t="shared" si="31"/>
        <v>20</v>
      </c>
      <c r="E153" s="957">
        <f t="shared" si="32"/>
        <v>6.769999999999996</v>
      </c>
      <c r="F153" s="956">
        <f t="shared" si="35"/>
        <v>0.65</v>
      </c>
      <c r="G153" s="956">
        <f t="shared" si="33"/>
        <v>135.39999999999992</v>
      </c>
      <c r="H153" s="958">
        <f t="shared" si="34"/>
        <v>88.009999999999948</v>
      </c>
    </row>
    <row r="154" spans="1:8" x14ac:dyDescent="0.3">
      <c r="A154" s="219" t="s">
        <v>97</v>
      </c>
      <c r="B154" s="956" t="str">
        <f t="shared" si="31"/>
        <v>Cardamom Whole - هيل حب</v>
      </c>
      <c r="C154" s="956" t="str">
        <f t="shared" si="31"/>
        <v>gm</v>
      </c>
      <c r="D154" s="956">
        <f t="shared" si="31"/>
        <v>10</v>
      </c>
      <c r="E154" s="957">
        <f t="shared" si="32"/>
        <v>6.769999999999996</v>
      </c>
      <c r="F154" s="956">
        <f t="shared" si="35"/>
        <v>0.25</v>
      </c>
      <c r="G154" s="956">
        <f t="shared" si="33"/>
        <v>67.69999999999996</v>
      </c>
      <c r="H154" s="958">
        <f t="shared" si="34"/>
        <v>16.92499999999999</v>
      </c>
    </row>
    <row r="155" spans="1:8" x14ac:dyDescent="0.3">
      <c r="A155" s="219" t="s">
        <v>97</v>
      </c>
      <c r="B155" s="956" t="str">
        <f t="shared" si="31"/>
        <v>Coriander Powder - كزبرة مطحونة</v>
      </c>
      <c r="C155" s="956" t="str">
        <f t="shared" si="31"/>
        <v>gm</v>
      </c>
      <c r="D155" s="956">
        <f t="shared" si="31"/>
        <v>20</v>
      </c>
      <c r="E155" s="957">
        <f t="shared" si="32"/>
        <v>6.769999999999996</v>
      </c>
      <c r="F155" s="956">
        <f t="shared" si="35"/>
        <v>0.7</v>
      </c>
      <c r="G155" s="956">
        <f t="shared" si="33"/>
        <v>135.39999999999992</v>
      </c>
      <c r="H155" s="958">
        <f t="shared" si="34"/>
        <v>94.779999999999944</v>
      </c>
    </row>
    <row r="156" spans="1:8" x14ac:dyDescent="0.3">
      <c r="A156" s="219" t="s">
        <v>158</v>
      </c>
      <c r="B156" s="956" t="str">
        <f t="shared" si="31"/>
        <v>Yogurt - زبادي</v>
      </c>
      <c r="C156" s="956" t="str">
        <f t="shared" si="31"/>
        <v>gm</v>
      </c>
      <c r="D156" s="956">
        <f t="shared" si="31"/>
        <v>150</v>
      </c>
      <c r="E156" s="957">
        <f t="shared" si="32"/>
        <v>6.769999999999996</v>
      </c>
      <c r="F156" s="956">
        <f t="shared" si="35"/>
        <v>0.85</v>
      </c>
      <c r="G156" s="956">
        <f t="shared" si="33"/>
        <v>1015.4999999999994</v>
      </c>
      <c r="H156" s="958">
        <f t="shared" si="34"/>
        <v>863.1749999999995</v>
      </c>
    </row>
    <row r="157" spans="1:8" x14ac:dyDescent="0.3">
      <c r="A157" s="219" t="s">
        <v>196</v>
      </c>
      <c r="B157" s="956" t="str">
        <f t="shared" si="31"/>
        <v>Tomato Paste - صلصة طماطم</v>
      </c>
      <c r="C157" s="956" t="str">
        <f t="shared" si="31"/>
        <v>gm</v>
      </c>
      <c r="D157" s="956">
        <f t="shared" si="31"/>
        <v>70</v>
      </c>
      <c r="E157" s="957">
        <f t="shared" si="32"/>
        <v>6.769999999999996</v>
      </c>
      <c r="F157" s="956">
        <f t="shared" si="35"/>
        <v>0.8</v>
      </c>
      <c r="G157" s="956">
        <f t="shared" si="33"/>
        <v>473.89999999999975</v>
      </c>
      <c r="H157" s="958">
        <f t="shared" si="34"/>
        <v>379.11999999999983</v>
      </c>
    </row>
    <row r="158" spans="1:8" x14ac:dyDescent="0.3">
      <c r="A158" s="219" t="s">
        <v>97</v>
      </c>
      <c r="B158" s="956" t="str">
        <f t="shared" si="31"/>
        <v>Salt - ملح</v>
      </c>
      <c r="C158" s="956" t="str">
        <f t="shared" si="31"/>
        <v>gm</v>
      </c>
      <c r="D158" s="956">
        <f t="shared" si="31"/>
        <v>30</v>
      </c>
      <c r="E158" s="957">
        <f t="shared" si="32"/>
        <v>6.769999999999996</v>
      </c>
      <c r="F158" s="956">
        <f t="shared" si="35"/>
        <v>0.75</v>
      </c>
      <c r="G158" s="956">
        <f t="shared" si="33"/>
        <v>203.09999999999988</v>
      </c>
      <c r="H158" s="958">
        <f t="shared" si="34"/>
        <v>152.3249999999999</v>
      </c>
    </row>
    <row r="159" spans="1:8" x14ac:dyDescent="0.3">
      <c r="A159" s="219" t="s">
        <v>210</v>
      </c>
      <c r="B159" s="956" t="str">
        <f t="shared" ref="B159:D160" si="36">B17</f>
        <v>Water - ماء</v>
      </c>
      <c r="C159" s="956" t="str">
        <f t="shared" si="36"/>
        <v>gm</v>
      </c>
      <c r="D159" s="956">
        <f t="shared" si="36"/>
        <v>200</v>
      </c>
      <c r="E159" s="957">
        <f t="shared" si="32"/>
        <v>6.769999999999996</v>
      </c>
      <c r="F159" s="956">
        <f t="shared" si="35"/>
        <v>1</v>
      </c>
      <c r="G159" s="956">
        <f t="shared" si="33"/>
        <v>1353.9999999999991</v>
      </c>
      <c r="H159" s="958">
        <f t="shared" si="34"/>
        <v>1353.9999999999991</v>
      </c>
    </row>
    <row r="160" spans="1:8" ht="25" x14ac:dyDescent="0.3">
      <c r="A160" s="219" t="s">
        <v>220</v>
      </c>
      <c r="B160" s="956" t="str">
        <f>B18</f>
        <v>لون صفار زعفران بودر - Saffron yellow color powder</v>
      </c>
      <c r="C160" s="956" t="str">
        <f t="shared" si="36"/>
        <v>gm</v>
      </c>
      <c r="D160" s="956">
        <f t="shared" si="36"/>
        <v>1</v>
      </c>
      <c r="E160" s="957">
        <f t="shared" si="32"/>
        <v>6.769999999999996</v>
      </c>
      <c r="F160" s="956">
        <f t="shared" si="35"/>
        <v>0.3</v>
      </c>
      <c r="G160" s="956">
        <f t="shared" si="33"/>
        <v>6.769999999999996</v>
      </c>
      <c r="H160" s="958">
        <f t="shared" si="34"/>
        <v>2.0309999999999988</v>
      </c>
    </row>
    <row r="161" spans="1:8" ht="18" x14ac:dyDescent="0.3">
      <c r="A161" s="79"/>
      <c r="B161" s="959" t="s">
        <v>299</v>
      </c>
      <c r="C161" s="960" t="s">
        <v>285</v>
      </c>
      <c r="D161" s="951"/>
      <c r="E161" s="960" t="s">
        <v>300</v>
      </c>
      <c r="F161" s="951"/>
      <c r="G161" s="961" t="s">
        <v>276</v>
      </c>
      <c r="H161" s="961" t="s">
        <v>733</v>
      </c>
    </row>
    <row r="162" spans="1:8" ht="20" x14ac:dyDescent="0.3">
      <c r="A162" s="79"/>
      <c r="B162" s="948">
        <f>$J$57</f>
        <v>6770</v>
      </c>
      <c r="C162" s="948">
        <f>E162+G162</f>
        <v>0</v>
      </c>
      <c r="D162" s="951"/>
      <c r="E162" s="948">
        <f>$H$57*$S$44</f>
        <v>0</v>
      </c>
      <c r="F162" s="951"/>
      <c r="G162" s="948">
        <f>$H$57*$T$44</f>
        <v>0</v>
      </c>
      <c r="H162" s="948">
        <f>B162+E162</f>
        <v>6770</v>
      </c>
    </row>
  </sheetData>
  <mergeCells count="14">
    <mergeCell ref="B104:H104"/>
    <mergeCell ref="B144:H144"/>
    <mergeCell ref="B145:H145"/>
    <mergeCell ref="B124:H124"/>
    <mergeCell ref="B125:H125"/>
    <mergeCell ref="B105:H105"/>
    <mergeCell ref="R25:T25"/>
    <mergeCell ref="B2:K3"/>
    <mergeCell ref="B63:H63"/>
    <mergeCell ref="B83:H83"/>
    <mergeCell ref="B82:H82"/>
    <mergeCell ref="B62:H62"/>
    <mergeCell ref="R26:T26"/>
    <mergeCell ref="B35:F35"/>
  </mergeCells>
  <phoneticPr fontId="67" type="noConversion"/>
  <printOptions horizontalCentered="1"/>
  <pageMargins left="0.5" right="0.5" top="1" bottom="0.5" header="0.3" footer="0.511811023622047"/>
  <pageSetup paperSize="9" scale="31" orientation="portrait"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B131E-DDA5-4DBF-A671-A1899B848539}">
  <sheetPr codeName="Sheet87">
    <tabColor rgb="FFFFFF00"/>
    <pageSetUpPr fitToPage="1"/>
  </sheetPr>
  <dimension ref="A1:AG100"/>
  <sheetViews>
    <sheetView zoomScale="70" zoomScaleNormal="70" workbookViewId="0">
      <selection activeCell="S43" sqref="S43"/>
    </sheetView>
  </sheetViews>
  <sheetFormatPr defaultColWidth="12.5" defaultRowHeight="12.5" x14ac:dyDescent="0.25"/>
  <cols>
    <col min="1" max="1" width="12.5" style="14" customWidth="1"/>
    <col min="2" max="2" width="31.4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6" width="5.5" style="14" customWidth="1"/>
    <col min="17" max="17" width="13" style="14" customWidth="1"/>
    <col min="18" max="18" width="31.5" style="14" customWidth="1"/>
    <col min="19" max="19" width="12.5" style="14" customWidth="1"/>
    <col min="20" max="27" width="12.5" style="14"/>
    <col min="28" max="28" width="6.75" style="14" customWidth="1"/>
    <col min="29" max="16384" width="12.5" style="14"/>
  </cols>
  <sheetData>
    <row r="1" spans="1:33" ht="28.5" customHeight="1" x14ac:dyDescent="0.3">
      <c r="B1" s="80" t="s">
        <v>243</v>
      </c>
      <c r="C1" s="81">
        <v>1000</v>
      </c>
      <c r="D1" s="82" t="s">
        <v>244</v>
      </c>
      <c r="E1" s="117">
        <f>S30</f>
        <v>24750</v>
      </c>
      <c r="F1" s="80" t="s">
        <v>245</v>
      </c>
      <c r="G1" s="117">
        <f>E1/C1</f>
        <v>24.75</v>
      </c>
      <c r="H1" s="80" t="s">
        <v>246</v>
      </c>
      <c r="I1" s="117">
        <f>G1/K1</f>
        <v>24.75</v>
      </c>
      <c r="J1" s="326" t="s">
        <v>247</v>
      </c>
      <c r="K1" s="327">
        <v>1</v>
      </c>
      <c r="L1" s="100"/>
      <c r="M1" s="100"/>
      <c r="N1" s="100"/>
      <c r="O1" s="100"/>
      <c r="P1" s="100"/>
      <c r="Q1" s="93" t="s">
        <v>445</v>
      </c>
      <c r="R1" s="92">
        <v>0.74</v>
      </c>
      <c r="S1" s="93" t="s">
        <v>345</v>
      </c>
      <c r="T1" s="328">
        <v>90</v>
      </c>
      <c r="U1" s="100"/>
      <c r="V1" s="100"/>
      <c r="Y1" s="91" t="s">
        <v>479</v>
      </c>
      <c r="Z1" s="847">
        <v>270</v>
      </c>
      <c r="AA1" s="91" t="s">
        <v>600</v>
      </c>
      <c r="AB1" s="847">
        <v>5</v>
      </c>
      <c r="AC1" s="91" t="s">
        <v>587</v>
      </c>
      <c r="AD1" s="847">
        <v>270</v>
      </c>
    </row>
    <row r="2" spans="1:33" ht="12.75" customHeight="1" x14ac:dyDescent="0.25">
      <c r="A2" s="330"/>
      <c r="B2" s="1408" t="s">
        <v>749</v>
      </c>
      <c r="C2" s="1429"/>
      <c r="D2" s="1429"/>
      <c r="E2" s="1429"/>
      <c r="F2" s="1429"/>
      <c r="G2" s="1429"/>
      <c r="H2" s="1429"/>
      <c r="I2" s="352"/>
      <c r="J2" s="352"/>
      <c r="K2" s="352"/>
      <c r="L2" s="100"/>
      <c r="M2" s="100"/>
      <c r="N2" s="100"/>
      <c r="O2" s="100"/>
      <c r="P2" s="100"/>
      <c r="Q2" s="100"/>
      <c r="R2" s="100"/>
      <c r="S2" s="100"/>
      <c r="T2" s="100"/>
      <c r="U2" s="100"/>
      <c r="AE2" s="1417"/>
      <c r="AF2" s="1389"/>
      <c r="AG2" s="1389"/>
    </row>
    <row r="3" spans="1:33" ht="12.75" customHeight="1" x14ac:dyDescent="0.25">
      <c r="A3" s="330"/>
      <c r="B3" s="1388"/>
      <c r="C3" s="1388"/>
      <c r="D3" s="1388"/>
      <c r="E3" s="1388"/>
      <c r="F3" s="1388"/>
      <c r="G3" s="1388"/>
      <c r="H3" s="1388"/>
      <c r="I3" s="353"/>
      <c r="J3" s="352"/>
      <c r="K3" s="352"/>
      <c r="L3" s="100"/>
      <c r="M3" s="100"/>
      <c r="N3" s="100"/>
      <c r="O3" s="100"/>
      <c r="P3" s="100"/>
      <c r="Q3" s="100"/>
      <c r="R3" s="100"/>
      <c r="S3" s="100"/>
      <c r="T3" s="100"/>
      <c r="U3" s="100"/>
      <c r="AE3" s="1389"/>
      <c r="AF3" s="1389"/>
      <c r="AG3" s="1389"/>
    </row>
    <row r="4" spans="1:33" ht="68.75" customHeight="1" x14ac:dyDescent="0.25">
      <c r="A4" s="91" t="s">
        <v>1</v>
      </c>
      <c r="B4" s="91" t="s">
        <v>253</v>
      </c>
      <c r="C4" s="107" t="s">
        <v>254</v>
      </c>
      <c r="D4" s="91" t="s">
        <v>243</v>
      </c>
      <c r="E4" s="218" t="s">
        <v>246</v>
      </c>
      <c r="F4" s="108" t="s">
        <v>255</v>
      </c>
      <c r="G4" s="91" t="s">
        <v>256</v>
      </c>
      <c r="H4" s="354" t="s">
        <v>347</v>
      </c>
      <c r="I4" s="91" t="s">
        <v>258</v>
      </c>
      <c r="J4" s="91" t="s">
        <v>259</v>
      </c>
      <c r="K4" s="91" t="s">
        <v>260</v>
      </c>
      <c r="L4" s="91" t="s">
        <v>261</v>
      </c>
      <c r="M4" s="100"/>
      <c r="N4" s="100"/>
      <c r="O4" s="100"/>
      <c r="P4" s="100"/>
      <c r="Q4" s="100"/>
      <c r="R4" s="100" t="s">
        <v>840</v>
      </c>
      <c r="S4" s="14" t="s">
        <v>841</v>
      </c>
    </row>
    <row r="5" spans="1:33" ht="14.25" customHeight="1" x14ac:dyDescent="0.25">
      <c r="A5" s="219"/>
      <c r="B5" s="654"/>
      <c r="C5" s="655"/>
      <c r="D5" s="219"/>
      <c r="E5" s="656"/>
      <c r="F5" s="219"/>
      <c r="G5" s="219"/>
      <c r="H5" s="657"/>
      <c r="I5" s="81"/>
      <c r="J5" s="119"/>
      <c r="K5" s="122"/>
      <c r="L5" s="122"/>
      <c r="R5" s="100">
        <v>14000</v>
      </c>
      <c r="S5" s="14">
        <v>8000</v>
      </c>
    </row>
    <row r="6" spans="1:33" ht="14.25" customHeight="1" x14ac:dyDescent="0.25">
      <c r="A6" s="295" t="s">
        <v>13</v>
      </c>
      <c r="B6" s="22" t="s">
        <v>21</v>
      </c>
      <c r="C6" s="124" t="s">
        <v>14</v>
      </c>
      <c r="D6" s="116">
        <v>1400</v>
      </c>
      <c r="E6" s="116">
        <f t="shared" ref="E6:E11" si="0">$I$1</f>
        <v>24.75</v>
      </c>
      <c r="F6" s="127">
        <v>1</v>
      </c>
      <c r="G6" s="119">
        <f t="shared" ref="G6:G11" si="1">D6*E6</f>
        <v>34650</v>
      </c>
      <c r="H6" s="355">
        <f t="shared" ref="H6:H11" si="2">G6*F6</f>
        <v>34650</v>
      </c>
      <c r="I6" s="81">
        <f>VLOOKUP(B6,All_Ingredients!$A$1:$F$151,6,FALSE())</f>
        <v>0.9</v>
      </c>
      <c r="J6" s="119">
        <f>VLOOKUP(B6,All_Ingredients!$A$1:$J$151,10,FALSE())</f>
        <v>2.2999999999999998</v>
      </c>
      <c r="K6" s="122">
        <f t="shared" ref="K6:K11" si="3">(H6/I6)/1000</f>
        <v>38.5</v>
      </c>
      <c r="L6" s="122">
        <f t="shared" ref="L6:L11" si="4">K6*J6</f>
        <v>88.55</v>
      </c>
      <c r="R6" s="100">
        <v>14000</v>
      </c>
      <c r="S6" s="14">
        <v>8000</v>
      </c>
    </row>
    <row r="7" spans="1:33" ht="14.25" customHeight="1" x14ac:dyDescent="0.25">
      <c r="A7" s="295" t="s">
        <v>63</v>
      </c>
      <c r="B7" s="22" t="s">
        <v>114</v>
      </c>
      <c r="C7" s="124" t="s">
        <v>14</v>
      </c>
      <c r="D7" s="116">
        <v>2</v>
      </c>
      <c r="E7" s="116">
        <f t="shared" si="0"/>
        <v>24.75</v>
      </c>
      <c r="F7" s="127">
        <v>1</v>
      </c>
      <c r="G7" s="119">
        <f t="shared" si="1"/>
        <v>49.5</v>
      </c>
      <c r="H7" s="355">
        <f t="shared" si="2"/>
        <v>49.5</v>
      </c>
      <c r="I7" s="81">
        <f>VLOOKUP(B7,All_Ingredients!$A$1:$F$151,6,FALSE())</f>
        <v>1</v>
      </c>
      <c r="J7" s="119">
        <f>VLOOKUP(B7,All_Ingredients!$A$1:$J$151,10,FALSE())</f>
        <v>64.243759177679877</v>
      </c>
      <c r="K7" s="122">
        <f t="shared" si="3"/>
        <v>4.9500000000000002E-2</v>
      </c>
      <c r="L7" s="122">
        <f t="shared" si="4"/>
        <v>3.1800660792951541</v>
      </c>
      <c r="R7" s="100">
        <v>2000</v>
      </c>
      <c r="S7" s="14">
        <v>6300</v>
      </c>
    </row>
    <row r="8" spans="1:33" ht="14.25" customHeight="1" x14ac:dyDescent="0.25">
      <c r="A8" s="295" t="s">
        <v>63</v>
      </c>
      <c r="B8" s="22" t="s">
        <v>85</v>
      </c>
      <c r="C8" s="124" t="s">
        <v>14</v>
      </c>
      <c r="D8" s="116">
        <v>1</v>
      </c>
      <c r="E8" s="116">
        <f t="shared" si="0"/>
        <v>24.75</v>
      </c>
      <c r="F8" s="127">
        <v>1</v>
      </c>
      <c r="G8" s="119">
        <f t="shared" si="1"/>
        <v>24.75</v>
      </c>
      <c r="H8" s="355">
        <f t="shared" si="2"/>
        <v>24.75</v>
      </c>
      <c r="I8" s="81">
        <f>VLOOKUP(B8,All_Ingredients!$A$1:$F$151,6,FALSE())</f>
        <v>1</v>
      </c>
      <c r="J8" s="119">
        <f>VLOOKUP(B8,All_Ingredients!$A$1:$J$151,10,FALSE())</f>
        <v>147.88732394366198</v>
      </c>
      <c r="K8" s="122">
        <f t="shared" si="3"/>
        <v>2.4750000000000001E-2</v>
      </c>
      <c r="L8" s="122">
        <f t="shared" si="4"/>
        <v>3.6602112676056344</v>
      </c>
      <c r="R8" s="100">
        <f>R5+R6+R7</f>
        <v>30000</v>
      </c>
      <c r="S8" s="100">
        <f>S5+S6+S7</f>
        <v>22300</v>
      </c>
      <c r="T8" s="14">
        <f>S8/R8</f>
        <v>0.74333333333333329</v>
      </c>
    </row>
    <row r="9" spans="1:33" ht="14.25" customHeight="1" x14ac:dyDescent="0.25">
      <c r="A9" s="295" t="s">
        <v>97</v>
      </c>
      <c r="B9" s="22" t="s">
        <v>96</v>
      </c>
      <c r="C9" s="124" t="s">
        <v>14</v>
      </c>
      <c r="D9" s="116">
        <v>2</v>
      </c>
      <c r="E9" s="116">
        <f t="shared" si="0"/>
        <v>24.75</v>
      </c>
      <c r="F9" s="127">
        <v>0.75</v>
      </c>
      <c r="G9" s="119">
        <f t="shared" si="1"/>
        <v>49.5</v>
      </c>
      <c r="H9" s="355">
        <f t="shared" si="2"/>
        <v>37.125</v>
      </c>
      <c r="I9" s="81">
        <f>VLOOKUP(B9,All_Ingredients!$A$1:$F$151,6,FALSE())</f>
        <v>1</v>
      </c>
      <c r="J9" s="119">
        <f>VLOOKUP(B9,All_Ingredients!$A$1:$J$151,10,FALSE())</f>
        <v>0.74</v>
      </c>
      <c r="K9" s="122">
        <f t="shared" si="3"/>
        <v>3.7124999999999998E-2</v>
      </c>
      <c r="L9" s="122">
        <f t="shared" si="4"/>
        <v>2.7472499999999997E-2</v>
      </c>
    </row>
    <row r="10" spans="1:33" ht="14.25" customHeight="1" x14ac:dyDescent="0.25">
      <c r="A10" s="295" t="s">
        <v>83</v>
      </c>
      <c r="B10" s="22" t="s">
        <v>102</v>
      </c>
      <c r="C10" s="124" t="s">
        <v>14</v>
      </c>
      <c r="D10" s="223">
        <v>0.5</v>
      </c>
      <c r="E10" s="116">
        <f t="shared" si="0"/>
        <v>24.75</v>
      </c>
      <c r="F10" s="127">
        <v>0.75</v>
      </c>
      <c r="G10" s="119">
        <f t="shared" si="1"/>
        <v>12.375</v>
      </c>
      <c r="H10" s="355">
        <f t="shared" si="2"/>
        <v>9.28125</v>
      </c>
      <c r="I10" s="81">
        <f>VLOOKUP(B10,All_Ingredients!$A$1:$F$151,6,FALSE())</f>
        <v>1</v>
      </c>
      <c r="J10" s="119">
        <f>VLOOKUP(B10,All_Ingredients!$A$1:$J$151,10,FALSE())</f>
        <v>31</v>
      </c>
      <c r="K10" s="122">
        <f t="shared" si="3"/>
        <v>9.2812499999999996E-3</v>
      </c>
      <c r="L10" s="122">
        <f t="shared" si="4"/>
        <v>0.28771874999999997</v>
      </c>
    </row>
    <row r="11" spans="1:33" ht="14.25" customHeight="1" x14ac:dyDescent="0.25">
      <c r="A11" s="295" t="s">
        <v>97</v>
      </c>
      <c r="B11" s="323" t="s">
        <v>219</v>
      </c>
      <c r="C11" s="124" t="s">
        <v>165</v>
      </c>
      <c r="D11" s="116">
        <v>10</v>
      </c>
      <c r="E11" s="116">
        <f t="shared" si="0"/>
        <v>24.75</v>
      </c>
      <c r="F11" s="127">
        <v>1</v>
      </c>
      <c r="G11" s="119">
        <f t="shared" si="1"/>
        <v>247.5</v>
      </c>
      <c r="H11" s="355">
        <f t="shared" si="2"/>
        <v>247.5</v>
      </c>
      <c r="I11" s="81">
        <f>VLOOKUP(B11,All_Ingredients!$A$1:$F$151,6,FALSE())</f>
        <v>1</v>
      </c>
      <c r="J11" s="119">
        <f>VLOOKUP(B11,All_Ingredients!$A$1:$J$151,10,FALSE())</f>
        <v>5</v>
      </c>
      <c r="K11" s="122">
        <f t="shared" si="3"/>
        <v>0.2475</v>
      </c>
      <c r="L11" s="122">
        <f t="shared" si="4"/>
        <v>1.2375</v>
      </c>
    </row>
    <row r="12" spans="1:33" ht="14.25" customHeight="1" x14ac:dyDescent="0.25">
      <c r="B12" s="356"/>
      <c r="C12" s="357"/>
      <c r="D12" s="358"/>
      <c r="E12" s="359"/>
      <c r="F12" s="360"/>
      <c r="G12" s="361"/>
      <c r="H12" s="361"/>
      <c r="I12" s="92"/>
    </row>
    <row r="13" spans="1:33" ht="14.25" customHeight="1" x14ac:dyDescent="0.25">
      <c r="E13" s="100"/>
      <c r="F13" s="100"/>
      <c r="I13" s="92"/>
      <c r="J13" s="139"/>
    </row>
    <row r="14" spans="1:33" ht="14.25" customHeight="1" x14ac:dyDescent="0.25">
      <c r="E14" s="100"/>
      <c r="F14" s="100"/>
      <c r="I14" s="92"/>
      <c r="J14" s="139"/>
    </row>
    <row r="15" spans="1:33" ht="14.25" customHeight="1" x14ac:dyDescent="0.25">
      <c r="B15" s="349"/>
      <c r="C15" s="133"/>
      <c r="D15" s="254"/>
      <c r="E15" s="225"/>
      <c r="F15" s="136"/>
      <c r="G15" s="140"/>
      <c r="H15" s="138"/>
    </row>
    <row r="16" spans="1:33" ht="14.25" customHeight="1" x14ac:dyDescent="0.25">
      <c r="E16" s="100"/>
      <c r="F16" s="100"/>
    </row>
    <row r="17" spans="2:29" ht="14.25" customHeight="1" x14ac:dyDescent="0.25">
      <c r="E17" s="100"/>
      <c r="F17" s="100"/>
    </row>
    <row r="18" spans="2:29" ht="14.25" customHeight="1" x14ac:dyDescent="0.25">
      <c r="E18" s="100"/>
      <c r="F18" s="100"/>
    </row>
    <row r="19" spans="2:29" ht="14.25" customHeight="1" x14ac:dyDescent="0.3">
      <c r="E19" s="100"/>
      <c r="F19" s="100"/>
      <c r="G19" s="11"/>
      <c r="H19" s="336"/>
      <c r="I19" s="337"/>
      <c r="J19" s="100"/>
      <c r="K19" s="100"/>
    </row>
    <row r="20" spans="2:29" ht="14.25" customHeight="1" x14ac:dyDescent="0.3">
      <c r="B20" s="11"/>
      <c r="C20" s="336"/>
      <c r="D20" s="337"/>
      <c r="E20" s="100"/>
      <c r="F20" s="100"/>
      <c r="G20" s="11"/>
      <c r="H20" s="336"/>
      <c r="I20" s="337"/>
      <c r="J20" s="100"/>
      <c r="K20" s="100"/>
      <c r="N20" s="363"/>
    </row>
    <row r="21" spans="2:29" ht="14.25" customHeight="1" x14ac:dyDescent="0.3">
      <c r="B21" s="11"/>
      <c r="C21" s="336"/>
      <c r="D21" s="337"/>
      <c r="E21" s="100"/>
      <c r="F21" s="100"/>
      <c r="G21" s="11"/>
      <c r="H21" s="336"/>
      <c r="I21" s="337"/>
      <c r="J21" s="100"/>
      <c r="K21" s="100"/>
    </row>
    <row r="22" spans="2:29" ht="14.25" customHeight="1" x14ac:dyDescent="0.3">
      <c r="B22" s="11"/>
      <c r="C22" s="336"/>
      <c r="D22" s="337"/>
      <c r="E22" s="100"/>
      <c r="F22" s="100"/>
      <c r="G22" s="11"/>
      <c r="H22" s="336"/>
      <c r="I22" s="337"/>
      <c r="J22" s="100"/>
      <c r="K22" s="100"/>
    </row>
    <row r="23" spans="2:29" ht="18" customHeight="1" x14ac:dyDescent="0.3">
      <c r="B23" s="11"/>
      <c r="C23" s="336"/>
      <c r="D23" s="337"/>
      <c r="E23" s="100"/>
      <c r="F23" s="100"/>
      <c r="G23" s="11"/>
      <c r="H23" s="336"/>
      <c r="I23" s="337"/>
      <c r="J23" s="100"/>
      <c r="K23" s="100"/>
    </row>
    <row r="24" spans="2:29" ht="14.25" customHeight="1" x14ac:dyDescent="0.3">
      <c r="B24" s="11"/>
      <c r="C24" s="336"/>
      <c r="D24" s="337"/>
      <c r="E24" s="100"/>
      <c r="F24" s="100"/>
      <c r="G24" s="11"/>
      <c r="H24" s="336"/>
      <c r="I24" s="337"/>
      <c r="J24" s="100"/>
      <c r="K24" s="100"/>
      <c r="Z24" s="1234"/>
    </row>
    <row r="25" spans="2:29" ht="14.25" customHeight="1" x14ac:dyDescent="0.3">
      <c r="B25" s="11"/>
      <c r="C25" s="336"/>
      <c r="D25" s="337"/>
      <c r="E25" s="100"/>
      <c r="F25" s="100"/>
      <c r="G25" s="11"/>
      <c r="H25" s="336"/>
      <c r="I25" s="337"/>
      <c r="J25" s="100"/>
      <c r="K25" s="100"/>
      <c r="R25" s="1430" t="s">
        <v>750</v>
      </c>
      <c r="S25" s="1388"/>
      <c r="T25" s="1388"/>
      <c r="Z25" s="141" t="s">
        <v>14</v>
      </c>
      <c r="AA25" s="142">
        <v>24660</v>
      </c>
      <c r="AB25" s="141" t="s">
        <v>261</v>
      </c>
      <c r="AC25" s="143">
        <f>(S31/S30)*AA25</f>
        <v>96.590448711093856</v>
      </c>
    </row>
    <row r="26" spans="2:29" ht="14.25" customHeight="1" x14ac:dyDescent="0.3">
      <c r="B26" s="11"/>
      <c r="C26" s="336"/>
      <c r="D26" s="337"/>
      <c r="E26" s="100"/>
      <c r="F26" s="100"/>
      <c r="G26" s="140"/>
      <c r="H26" s="138"/>
      <c r="N26" s="363"/>
      <c r="R26" s="1438" t="s">
        <v>350</v>
      </c>
      <c r="S26" s="1410"/>
      <c r="T26" s="1410"/>
    </row>
    <row r="27" spans="2:29" ht="14.25" customHeight="1" x14ac:dyDescent="0.3">
      <c r="B27" s="11"/>
      <c r="C27" s="336"/>
      <c r="D27" s="337"/>
      <c r="E27" s="100"/>
      <c r="F27" s="100"/>
      <c r="R27" s="145" t="s">
        <v>266</v>
      </c>
      <c r="S27" s="145" t="s">
        <v>351</v>
      </c>
      <c r="T27" s="145" t="s">
        <v>269</v>
      </c>
    </row>
    <row r="28" spans="2:29" ht="14.25" customHeight="1" x14ac:dyDescent="0.3">
      <c r="B28" s="11"/>
      <c r="C28" s="336"/>
      <c r="D28" s="337"/>
      <c r="E28" s="100"/>
      <c r="R28" s="145" t="s">
        <v>275</v>
      </c>
      <c r="S28" s="1303">
        <f>$Z$1*$T$1</f>
        <v>24300</v>
      </c>
      <c r="T28" s="339">
        <f>S28</f>
        <v>24300</v>
      </c>
    </row>
    <row r="29" spans="2:29" ht="14.25" customHeight="1" x14ac:dyDescent="0.3">
      <c r="B29" s="11"/>
      <c r="C29" s="336"/>
      <c r="D29" s="337"/>
      <c r="E29" s="100"/>
      <c r="R29" s="145" t="s">
        <v>277</v>
      </c>
      <c r="S29" s="1303">
        <f>$AB$1*$T$1</f>
        <v>450</v>
      </c>
      <c r="T29" s="294">
        <f>S29</f>
        <v>450</v>
      </c>
    </row>
    <row r="30" spans="2:29" ht="14.25" customHeight="1" thickBot="1" x14ac:dyDescent="0.35">
      <c r="B30" s="11"/>
      <c r="C30" s="336"/>
      <c r="D30" s="337"/>
      <c r="E30" s="100"/>
      <c r="R30" s="145" t="s">
        <v>269</v>
      </c>
      <c r="S30" s="339">
        <f>SUM(S28:S29)</f>
        <v>24750</v>
      </c>
      <c r="T30" s="339">
        <f>S30</f>
        <v>24750</v>
      </c>
    </row>
    <row r="31" spans="2:29" ht="14.25" customHeight="1" thickBot="1" x14ac:dyDescent="0.35">
      <c r="B31" s="11"/>
      <c r="C31" s="336"/>
      <c r="D31" s="337"/>
      <c r="E31" s="100"/>
      <c r="R31" s="163" t="s">
        <v>261</v>
      </c>
      <c r="S31" s="1144">
        <f>SUM(L6:L11)</f>
        <v>96.942968596900783</v>
      </c>
      <c r="T31" s="1220">
        <f>S31</f>
        <v>96.942968596900783</v>
      </c>
    </row>
    <row r="32" spans="2:29" ht="14.25" customHeight="1" x14ac:dyDescent="0.3">
      <c r="B32" s="11"/>
      <c r="C32" s="336"/>
      <c r="D32" s="337"/>
      <c r="E32" s="100"/>
      <c r="F32" s="100"/>
      <c r="N32" s="339"/>
    </row>
    <row r="33" spans="2:8" ht="14.25" customHeight="1" x14ac:dyDescent="0.3">
      <c r="B33" s="11"/>
      <c r="C33" s="336"/>
      <c r="D33" s="337"/>
      <c r="E33" s="100"/>
      <c r="F33" s="100"/>
      <c r="H33"/>
    </row>
    <row r="34" spans="2:8" ht="14.25" customHeight="1" x14ac:dyDescent="0.3">
      <c r="B34" s="11"/>
      <c r="C34" s="336"/>
      <c r="D34" s="337"/>
      <c r="E34" s="100"/>
      <c r="F34" s="100"/>
      <c r="H34"/>
    </row>
    <row r="35" spans="2:8" ht="14.25" customHeight="1" x14ac:dyDescent="0.3">
      <c r="B35" s="11"/>
      <c r="C35" s="336"/>
      <c r="D35" s="337"/>
      <c r="E35" s="100"/>
      <c r="F35" s="100"/>
    </row>
    <row r="36" spans="2:8" ht="14.25" customHeight="1" x14ac:dyDescent="0.3">
      <c r="B36" s="11"/>
      <c r="C36" s="336"/>
      <c r="D36" s="337"/>
      <c r="E36" s="100"/>
      <c r="F36" s="100"/>
    </row>
    <row r="37" spans="2:8" ht="18" customHeight="1" x14ac:dyDescent="0.3">
      <c r="B37" s="11"/>
      <c r="C37" s="336"/>
      <c r="D37" s="337"/>
      <c r="E37" s="100"/>
      <c r="F37" s="100"/>
    </row>
    <row r="38" spans="2:8" ht="12.75" customHeight="1" x14ac:dyDescent="0.25">
      <c r="B38" s="100"/>
      <c r="E38" s="100"/>
      <c r="F38" s="100"/>
    </row>
    <row r="39" spans="2:8" x14ac:dyDescent="0.25">
      <c r="B39" s="100"/>
      <c r="E39" s="100"/>
      <c r="F39" s="100"/>
    </row>
    <row r="44" spans="2:8" ht="14" customHeight="1" x14ac:dyDescent="0.25"/>
    <row r="45" spans="2:8" ht="14" customHeight="1" x14ac:dyDescent="0.25"/>
    <row r="50" spans="1:8" ht="14" x14ac:dyDescent="0.3">
      <c r="B50" s="226"/>
      <c r="C50" s="226" t="s">
        <v>245</v>
      </c>
      <c r="D50" s="226" t="s">
        <v>291</v>
      </c>
    </row>
    <row r="51" spans="1:8" ht="14" x14ac:dyDescent="0.3">
      <c r="B51" s="180" t="s">
        <v>295</v>
      </c>
      <c r="C51" s="181">
        <f>10/$K$1</f>
        <v>10</v>
      </c>
      <c r="D51" s="182">
        <f>$C$1*10</f>
        <v>10000</v>
      </c>
    </row>
    <row r="52" spans="1:8" ht="18" customHeight="1" x14ac:dyDescent="0.3">
      <c r="B52" s="231" t="s">
        <v>269</v>
      </c>
      <c r="C52" s="233">
        <f>I1</f>
        <v>24.75</v>
      </c>
      <c r="D52" s="233">
        <f>E1</f>
        <v>24750</v>
      </c>
    </row>
    <row r="53" spans="1:8" ht="14" x14ac:dyDescent="0.3">
      <c r="B53" s="231" t="s">
        <v>296</v>
      </c>
      <c r="C53" s="234">
        <f>MIN($C$52, $C$51)</f>
        <v>10</v>
      </c>
      <c r="D53" s="233">
        <f>(C53*$K$1)*$C$1</f>
        <v>10000</v>
      </c>
    </row>
    <row r="54" spans="1:8" ht="14" x14ac:dyDescent="0.3">
      <c r="B54" s="231" t="s">
        <v>297</v>
      </c>
      <c r="C54" s="234">
        <f>MIN(MAX($C$52-C53,0),$C$51)</f>
        <v>10</v>
      </c>
      <c r="D54" s="233">
        <f>(C54*$K$1)*$C$1</f>
        <v>10000</v>
      </c>
    </row>
    <row r="55" spans="1:8" ht="14" x14ac:dyDescent="0.3">
      <c r="B55" s="231" t="s">
        <v>298</v>
      </c>
      <c r="C55" s="234">
        <f>MIN(MAX($C$52-C53-C54,0),$C$51)</f>
        <v>4.75</v>
      </c>
      <c r="D55" s="233">
        <f>(C55*$K$1)*$C$1</f>
        <v>4750</v>
      </c>
    </row>
    <row r="62" spans="1:8" ht="18" customHeight="1" x14ac:dyDescent="0.3">
      <c r="A62" s="942"/>
      <c r="B62" s="1382" t="s">
        <v>857</v>
      </c>
      <c r="C62" s="1383"/>
      <c r="D62" s="1383"/>
      <c r="E62" s="1383"/>
      <c r="F62" s="1383"/>
      <c r="G62" s="1383"/>
      <c r="H62" s="1383"/>
    </row>
    <row r="63" spans="1:8" ht="14" x14ac:dyDescent="0.3">
      <c r="A63" s="942"/>
      <c r="B63" s="1384" t="s">
        <v>749</v>
      </c>
      <c r="C63" s="1385"/>
      <c r="D63" s="1385"/>
      <c r="E63" s="1385"/>
      <c r="F63" s="1385"/>
      <c r="G63" s="1385"/>
      <c r="H63" s="1385"/>
    </row>
    <row r="64" spans="1:8" ht="50.75" customHeight="1" x14ac:dyDescent="0.25">
      <c r="A64" s="91"/>
      <c r="B64" s="243" t="s">
        <v>253</v>
      </c>
      <c r="C64" s="244" t="s">
        <v>254</v>
      </c>
      <c r="D64" s="245" t="s">
        <v>243</v>
      </c>
      <c r="E64" s="218" t="s">
        <v>246</v>
      </c>
      <c r="F64" s="218" t="s">
        <v>255</v>
      </c>
      <c r="G64" s="245" t="s">
        <v>256</v>
      </c>
      <c r="H64" s="218" t="s">
        <v>257</v>
      </c>
    </row>
    <row r="65" spans="1:8" ht="14" customHeight="1" x14ac:dyDescent="0.25">
      <c r="A65" s="295" t="s">
        <v>13</v>
      </c>
      <c r="B65" s="323" t="str">
        <f t="shared" ref="B65:D70" si="5">B6</f>
        <v>Potato - بطاطس</v>
      </c>
      <c r="C65" s="124" t="str">
        <f t="shared" si="5"/>
        <v>gm</v>
      </c>
      <c r="D65" s="125">
        <f t="shared" si="5"/>
        <v>1400</v>
      </c>
      <c r="E65" s="116">
        <f>$C$52</f>
        <v>24.75</v>
      </c>
      <c r="F65" s="127">
        <f t="shared" ref="F65:F70" si="6">F6</f>
        <v>1</v>
      </c>
      <c r="G65" s="119">
        <f t="shared" ref="G65:G70" si="7">D65*E65</f>
        <v>34650</v>
      </c>
      <c r="H65" s="120">
        <f t="shared" ref="H65:H70" si="8">G65*F65</f>
        <v>34650</v>
      </c>
    </row>
    <row r="66" spans="1:8" ht="14" customHeight="1" x14ac:dyDescent="0.25">
      <c r="A66" s="295" t="s">
        <v>63</v>
      </c>
      <c r="B66" s="323" t="str">
        <f t="shared" si="5"/>
        <v>Paprika Powder - بابريكا مطحون</v>
      </c>
      <c r="C66" s="124" t="str">
        <f t="shared" si="5"/>
        <v>gm</v>
      </c>
      <c r="D66" s="125">
        <f t="shared" si="5"/>
        <v>2</v>
      </c>
      <c r="E66" s="116">
        <f t="shared" ref="E66:E70" si="9">$C$52</f>
        <v>24.75</v>
      </c>
      <c r="F66" s="127">
        <f t="shared" si="6"/>
        <v>1</v>
      </c>
      <c r="G66" s="119">
        <f t="shared" si="7"/>
        <v>49.5</v>
      </c>
      <c r="H66" s="120">
        <f t="shared" si="8"/>
        <v>49.5</v>
      </c>
    </row>
    <row r="67" spans="1:8" ht="14.25" customHeight="1" x14ac:dyDescent="0.25">
      <c r="A67" s="295" t="s">
        <v>63</v>
      </c>
      <c r="B67" s="323" t="str">
        <f t="shared" si="5"/>
        <v>Dry Oregano - أوريجانو مجفف</v>
      </c>
      <c r="C67" s="124" t="str">
        <f t="shared" si="5"/>
        <v>gm</v>
      </c>
      <c r="D67" s="125">
        <f t="shared" si="5"/>
        <v>1</v>
      </c>
      <c r="E67" s="116">
        <f t="shared" si="9"/>
        <v>24.75</v>
      </c>
      <c r="F67" s="127">
        <f t="shared" si="6"/>
        <v>1</v>
      </c>
      <c r="G67" s="119">
        <f t="shared" si="7"/>
        <v>24.75</v>
      </c>
      <c r="H67" s="120">
        <f t="shared" si="8"/>
        <v>24.75</v>
      </c>
    </row>
    <row r="68" spans="1:8" ht="18" customHeight="1" x14ac:dyDescent="0.25">
      <c r="A68" s="295" t="s">
        <v>97</v>
      </c>
      <c r="B68" s="323" t="str">
        <f t="shared" si="5"/>
        <v>Salt - ملح</v>
      </c>
      <c r="C68" s="124" t="str">
        <f t="shared" si="5"/>
        <v>gm</v>
      </c>
      <c r="D68" s="125">
        <f t="shared" si="5"/>
        <v>2</v>
      </c>
      <c r="E68" s="116">
        <f t="shared" si="9"/>
        <v>24.75</v>
      </c>
      <c r="F68" s="127">
        <f t="shared" si="6"/>
        <v>0.75</v>
      </c>
      <c r="G68" s="119">
        <f t="shared" si="7"/>
        <v>49.5</v>
      </c>
      <c r="H68" s="120">
        <f t="shared" si="8"/>
        <v>37.125</v>
      </c>
    </row>
    <row r="69" spans="1:8" ht="14.25" customHeight="1" x14ac:dyDescent="0.25">
      <c r="A69" s="295" t="s">
        <v>83</v>
      </c>
      <c r="B69" s="323" t="str">
        <f t="shared" si="5"/>
        <v>Black Pepper Powder - فلفل أسود مطحون</v>
      </c>
      <c r="C69" s="124" t="str">
        <f t="shared" si="5"/>
        <v>gm</v>
      </c>
      <c r="D69" s="125">
        <f t="shared" si="5"/>
        <v>0.5</v>
      </c>
      <c r="E69" s="116">
        <f t="shared" si="9"/>
        <v>24.75</v>
      </c>
      <c r="F69" s="127">
        <f t="shared" si="6"/>
        <v>0.75</v>
      </c>
      <c r="G69" s="119">
        <f t="shared" si="7"/>
        <v>12.375</v>
      </c>
      <c r="H69" s="120">
        <f t="shared" si="8"/>
        <v>9.28125</v>
      </c>
    </row>
    <row r="70" spans="1:8" ht="14.25" customHeight="1" x14ac:dyDescent="0.25">
      <c r="A70" s="295" t="s">
        <v>97</v>
      </c>
      <c r="B70" s="323" t="str">
        <f t="shared" si="5"/>
        <v>Lemon Juice - عصير ليمون</v>
      </c>
      <c r="C70" s="124" t="str">
        <f t="shared" si="5"/>
        <v>ml</v>
      </c>
      <c r="D70" s="125">
        <f t="shared" si="5"/>
        <v>10</v>
      </c>
      <c r="E70" s="116">
        <f t="shared" si="9"/>
        <v>24.75</v>
      </c>
      <c r="F70" s="127">
        <f t="shared" si="6"/>
        <v>1</v>
      </c>
      <c r="G70" s="119">
        <f t="shared" si="7"/>
        <v>247.5</v>
      </c>
      <c r="H70" s="120">
        <f t="shared" si="8"/>
        <v>247.5</v>
      </c>
    </row>
    <row r="71" spans="1:8" ht="21" customHeight="1" x14ac:dyDescent="0.25">
      <c r="B71" s="198" t="s">
        <v>769</v>
      </c>
      <c r="C71" s="100"/>
      <c r="D71" s="100"/>
      <c r="E71" s="100"/>
      <c r="F71" s="100"/>
      <c r="G71" s="100"/>
      <c r="H71" s="100"/>
    </row>
    <row r="72" spans="1:8" ht="19.5" customHeight="1" x14ac:dyDescent="0.4">
      <c r="B72" s="199">
        <f>D52</f>
        <v>24750</v>
      </c>
      <c r="C72" s="100"/>
      <c r="D72" s="100"/>
      <c r="E72" s="100"/>
      <c r="F72" s="100"/>
      <c r="G72" s="100"/>
    </row>
    <row r="73" spans="1:8" ht="12.75" customHeight="1" x14ac:dyDescent="0.25">
      <c r="B73" s="100"/>
      <c r="C73" s="100"/>
      <c r="D73" s="100"/>
      <c r="E73" s="100"/>
      <c r="F73" s="100"/>
      <c r="G73" s="100"/>
      <c r="H73" s="100"/>
    </row>
    <row r="74" spans="1:8" ht="12.75" customHeight="1" x14ac:dyDescent="0.3">
      <c r="A74" s="1253"/>
      <c r="B74" s="1439"/>
      <c r="C74" s="1440"/>
      <c r="D74" s="1440"/>
      <c r="E74" s="1440"/>
      <c r="F74" s="1440"/>
      <c r="G74" s="1440"/>
      <c r="H74" s="1440"/>
    </row>
    <row r="75" spans="1:8" ht="17.75" customHeight="1" x14ac:dyDescent="0.3">
      <c r="A75" s="1253"/>
      <c r="B75" s="1439"/>
      <c r="C75" s="1440"/>
      <c r="D75" s="1440"/>
      <c r="E75" s="1440"/>
      <c r="F75" s="1440"/>
      <c r="G75" s="1440"/>
      <c r="H75" s="1440"/>
    </row>
    <row r="76" spans="1:8" ht="33.5" customHeight="1" x14ac:dyDescent="0.25">
      <c r="A76" s="1258"/>
      <c r="B76" s="1268"/>
      <c r="C76" s="1269"/>
      <c r="D76" s="1268"/>
      <c r="E76" s="1270"/>
      <c r="F76" s="1270"/>
      <c r="G76" s="1268"/>
      <c r="H76" s="1270"/>
    </row>
    <row r="77" spans="1:8" ht="14" x14ac:dyDescent="0.25">
      <c r="A77" s="881"/>
      <c r="B77" s="1271"/>
      <c r="C77" s="1271"/>
      <c r="D77" s="1271"/>
      <c r="E77" s="1272"/>
      <c r="F77" s="1273"/>
      <c r="G77" s="1274"/>
      <c r="H77" s="1275"/>
    </row>
    <row r="78" spans="1:8" ht="14" x14ac:dyDescent="0.25">
      <c r="A78" s="881"/>
      <c r="B78" s="1271"/>
      <c r="C78" s="1271"/>
      <c r="D78" s="1271"/>
      <c r="E78" s="1272"/>
      <c r="F78" s="1273"/>
      <c r="G78" s="1274"/>
      <c r="H78" s="1275"/>
    </row>
    <row r="79" spans="1:8" ht="14.25" customHeight="1" x14ac:dyDescent="0.25">
      <c r="A79" s="881"/>
      <c r="B79" s="1271"/>
      <c r="C79" s="1271"/>
      <c r="D79" s="1271"/>
      <c r="E79" s="1272"/>
      <c r="F79" s="1273"/>
      <c r="G79" s="1274"/>
      <c r="H79" s="1275"/>
    </row>
    <row r="80" spans="1:8" ht="14.25" customHeight="1" x14ac:dyDescent="0.25">
      <c r="A80" s="881"/>
      <c r="B80" s="1271"/>
      <c r="C80" s="1271"/>
      <c r="D80" s="1271"/>
      <c r="E80" s="1272"/>
      <c r="F80" s="1273"/>
      <c r="G80" s="1274"/>
      <c r="H80" s="1275"/>
    </row>
    <row r="81" spans="1:8" ht="14.25" customHeight="1" x14ac:dyDescent="0.25">
      <c r="A81" s="881"/>
      <c r="B81" s="1271"/>
      <c r="C81" s="1271"/>
      <c r="D81" s="1271"/>
      <c r="E81" s="1272"/>
      <c r="F81" s="1273"/>
      <c r="G81" s="1274"/>
      <c r="H81" s="1275"/>
    </row>
    <row r="82" spans="1:8" ht="14.25" customHeight="1" x14ac:dyDescent="0.25">
      <c r="A82" s="881"/>
      <c r="B82" s="1271"/>
      <c r="C82" s="1271"/>
      <c r="D82" s="1271"/>
      <c r="E82" s="1272"/>
      <c r="F82" s="1273"/>
      <c r="G82" s="1274"/>
      <c r="H82" s="1275"/>
    </row>
    <row r="83" spans="1:8" ht="22.25" customHeight="1" x14ac:dyDescent="0.25">
      <c r="A83" s="881"/>
      <c r="B83" s="900"/>
      <c r="C83" s="875"/>
      <c r="D83" s="875"/>
      <c r="E83" s="875"/>
      <c r="F83" s="875"/>
      <c r="G83" s="875"/>
      <c r="H83" s="875"/>
    </row>
    <row r="84" spans="1:8" ht="19.5" customHeight="1" x14ac:dyDescent="0.4">
      <c r="A84" s="881"/>
      <c r="B84" s="901"/>
      <c r="C84" s="875"/>
      <c r="D84" s="875"/>
      <c r="E84" s="875"/>
      <c r="F84" s="875"/>
      <c r="G84" s="875"/>
      <c r="H84" s="881"/>
    </row>
    <row r="85" spans="1:8" ht="14.25" customHeight="1" x14ac:dyDescent="0.25">
      <c r="A85" s="881"/>
      <c r="B85" s="875"/>
      <c r="C85" s="875"/>
      <c r="D85" s="875"/>
      <c r="E85" s="875"/>
      <c r="F85" s="875"/>
      <c r="G85" s="875"/>
      <c r="H85" s="875"/>
    </row>
    <row r="86" spans="1:8" ht="12.75" customHeight="1" x14ac:dyDescent="0.25">
      <c r="A86" s="881"/>
      <c r="B86" s="875"/>
      <c r="C86" s="875"/>
      <c r="D86" s="875"/>
      <c r="E86" s="875"/>
      <c r="F86" s="875"/>
      <c r="G86" s="875"/>
      <c r="H86" s="875"/>
    </row>
    <row r="87" spans="1:8" ht="12.75" customHeight="1" x14ac:dyDescent="0.3">
      <c r="A87" s="1253"/>
      <c r="B87" s="1439"/>
      <c r="C87" s="1440"/>
      <c r="D87" s="1440"/>
      <c r="E87" s="1440"/>
      <c r="F87" s="1440"/>
      <c r="G87" s="1440"/>
      <c r="H87" s="1440"/>
    </row>
    <row r="88" spans="1:8" ht="12.75" customHeight="1" x14ac:dyDescent="0.3">
      <c r="A88" s="1253"/>
      <c r="B88" s="1439"/>
      <c r="C88" s="1440"/>
      <c r="D88" s="1440"/>
      <c r="E88" s="1440"/>
      <c r="F88" s="1440"/>
      <c r="G88" s="1440"/>
      <c r="H88" s="1440"/>
    </row>
    <row r="89" spans="1:8" ht="38" customHeight="1" x14ac:dyDescent="0.25">
      <c r="A89" s="1258"/>
      <c r="B89" s="1268"/>
      <c r="C89" s="1269"/>
      <c r="D89" s="1268"/>
      <c r="E89" s="1270"/>
      <c r="F89" s="1270"/>
      <c r="G89" s="1268"/>
      <c r="H89" s="1270"/>
    </row>
    <row r="90" spans="1:8" ht="17.75" customHeight="1" x14ac:dyDescent="0.25">
      <c r="A90" s="881"/>
      <c r="B90" s="1271"/>
      <c r="C90" s="1271"/>
      <c r="D90" s="1271"/>
      <c r="E90" s="1272"/>
      <c r="F90" s="1273"/>
      <c r="G90" s="1274"/>
      <c r="H90" s="1275"/>
    </row>
    <row r="91" spans="1:8" ht="14" x14ac:dyDescent="0.25">
      <c r="A91" s="881"/>
      <c r="B91" s="1271"/>
      <c r="C91" s="1271"/>
      <c r="D91" s="1271"/>
      <c r="E91" s="1272"/>
      <c r="F91" s="1273"/>
      <c r="G91" s="1274"/>
      <c r="H91" s="1275"/>
    </row>
    <row r="92" spans="1:8" ht="14" x14ac:dyDescent="0.25">
      <c r="A92" s="881"/>
      <c r="B92" s="1271"/>
      <c r="C92" s="1271"/>
      <c r="D92" s="1271"/>
      <c r="E92" s="1272"/>
      <c r="F92" s="1273"/>
      <c r="G92" s="1274"/>
      <c r="H92" s="1275"/>
    </row>
    <row r="93" spans="1:8" ht="14" x14ac:dyDescent="0.25">
      <c r="A93" s="881"/>
      <c r="B93" s="1271"/>
      <c r="C93" s="1271"/>
      <c r="D93" s="1271"/>
      <c r="E93" s="1272"/>
      <c r="F93" s="1273"/>
      <c r="G93" s="1274"/>
      <c r="H93" s="1275"/>
    </row>
    <row r="94" spans="1:8" ht="14.25" customHeight="1" x14ac:dyDescent="0.25">
      <c r="A94" s="881"/>
      <c r="B94" s="1271"/>
      <c r="C94" s="1271"/>
      <c r="D94" s="1271"/>
      <c r="E94" s="1272"/>
      <c r="F94" s="1273"/>
      <c r="G94" s="1274"/>
      <c r="H94" s="1275"/>
    </row>
    <row r="95" spans="1:8" ht="14.25" customHeight="1" x14ac:dyDescent="0.25">
      <c r="A95" s="881"/>
      <c r="B95" s="1271"/>
      <c r="C95" s="1271"/>
      <c r="D95" s="1271"/>
      <c r="E95" s="1272"/>
      <c r="F95" s="1273"/>
      <c r="G95" s="1274"/>
      <c r="H95" s="1275"/>
    </row>
    <row r="96" spans="1:8" ht="19.25" customHeight="1" x14ac:dyDescent="0.25">
      <c r="A96" s="881"/>
      <c r="B96" s="900"/>
      <c r="C96" s="881"/>
      <c r="D96" s="881"/>
      <c r="E96" s="881"/>
      <c r="F96" s="881"/>
      <c r="G96" s="881"/>
      <c r="H96" s="881"/>
    </row>
    <row r="97" spans="1:8" ht="21" customHeight="1" x14ac:dyDescent="0.4">
      <c r="A97" s="881"/>
      <c r="B97" s="901"/>
      <c r="C97" s="881"/>
      <c r="D97" s="881"/>
      <c r="E97" s="881"/>
      <c r="F97" s="881"/>
      <c r="G97" s="881"/>
      <c r="H97" s="881"/>
    </row>
    <row r="98" spans="1:8" ht="14.25" customHeight="1" x14ac:dyDescent="0.25"/>
    <row r="99" spans="1:8" ht="14.25" customHeight="1" x14ac:dyDescent="0.25"/>
    <row r="100" spans="1:8" ht="14.25" customHeight="1" x14ac:dyDescent="0.25"/>
  </sheetData>
  <mergeCells count="10">
    <mergeCell ref="B74:H74"/>
    <mergeCell ref="B75:H75"/>
    <mergeCell ref="B87:H87"/>
    <mergeCell ref="B88:H88"/>
    <mergeCell ref="B2:H3"/>
    <mergeCell ref="AE2:AG3"/>
    <mergeCell ref="R25:T25"/>
    <mergeCell ref="R26:T26"/>
    <mergeCell ref="B62:H62"/>
    <mergeCell ref="B63:H63"/>
  </mergeCells>
  <printOptions horizontalCentered="1"/>
  <pageMargins left="0.5" right="0.5" top="1" bottom="0.5" header="0.3" footer="0.511811023622047"/>
  <pageSetup paperSize="9" scale="33"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rgb="FFFFFF00"/>
    <pageSetUpPr fitToPage="1"/>
  </sheetPr>
  <dimension ref="A1:AG105"/>
  <sheetViews>
    <sheetView topLeftCell="G1" zoomScaleNormal="100" workbookViewId="0">
      <selection activeCell="J21" sqref="J21"/>
    </sheetView>
  </sheetViews>
  <sheetFormatPr defaultColWidth="12.5" defaultRowHeight="12.5" x14ac:dyDescent="0.25"/>
  <cols>
    <col min="1" max="1" width="12.5" style="14" customWidth="1"/>
    <col min="2" max="2" width="31.4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6" width="4.75" style="14" customWidth="1"/>
    <col min="17" max="27" width="12.5" style="14"/>
    <col min="28" max="28" width="6.75" style="14" customWidth="1"/>
    <col min="29" max="16384" width="12.5" style="14"/>
  </cols>
  <sheetData>
    <row r="1" spans="1:33" ht="28.5" customHeight="1" x14ac:dyDescent="0.25">
      <c r="B1" s="80" t="s">
        <v>243</v>
      </c>
      <c r="C1" s="81">
        <v>1000</v>
      </c>
      <c r="D1" s="82" t="s">
        <v>244</v>
      </c>
      <c r="E1" s="117">
        <f>S30</f>
        <v>15600</v>
      </c>
      <c r="F1" s="80" t="s">
        <v>245</v>
      </c>
      <c r="G1" s="117">
        <f>E1/C1</f>
        <v>15.6</v>
      </c>
      <c r="H1" s="80" t="s">
        <v>246</v>
      </c>
      <c r="I1" s="117">
        <f>G1/K1</f>
        <v>15.6</v>
      </c>
      <c r="J1" s="326" t="s">
        <v>247</v>
      </c>
      <c r="K1" s="327">
        <v>1</v>
      </c>
      <c r="L1" s="100"/>
      <c r="M1" s="100" t="s">
        <v>384</v>
      </c>
      <c r="N1" s="100"/>
      <c r="O1" s="100"/>
      <c r="P1" s="100"/>
      <c r="Q1" s="100"/>
      <c r="R1" s="100"/>
      <c r="S1" s="100"/>
      <c r="T1" s="100"/>
      <c r="U1" s="100"/>
      <c r="V1" s="100"/>
      <c r="Y1" s="91" t="s">
        <v>479</v>
      </c>
      <c r="Z1" s="847">
        <v>15600</v>
      </c>
      <c r="AA1" s="91" t="s">
        <v>600</v>
      </c>
      <c r="AB1" s="847">
        <v>0</v>
      </c>
      <c r="AC1" s="91" t="s">
        <v>587</v>
      </c>
      <c r="AD1" s="847">
        <v>104</v>
      </c>
    </row>
    <row r="2" spans="1:33" ht="12.75" customHeight="1" x14ac:dyDescent="0.25">
      <c r="A2" s="330"/>
      <c r="B2" s="1408" t="s">
        <v>385</v>
      </c>
      <c r="C2" s="1429"/>
      <c r="D2" s="1429"/>
      <c r="E2" s="1429"/>
      <c r="F2" s="1429"/>
      <c r="G2" s="1429"/>
      <c r="H2" s="1429"/>
      <c r="I2" s="352"/>
      <c r="J2" s="352"/>
      <c r="K2" s="352"/>
      <c r="L2" s="100"/>
      <c r="M2" s="100"/>
      <c r="N2" s="100"/>
      <c r="O2" s="100"/>
      <c r="P2" s="100"/>
      <c r="Q2" s="100"/>
      <c r="R2" s="100"/>
      <c r="S2" s="100"/>
      <c r="T2" s="100"/>
      <c r="U2" s="100"/>
      <c r="AE2" s="1417"/>
      <c r="AF2" s="1389"/>
      <c r="AG2" s="1389"/>
    </row>
    <row r="3" spans="1:33" ht="12.75" customHeight="1" x14ac:dyDescent="0.25">
      <c r="A3" s="330"/>
      <c r="B3" s="1388"/>
      <c r="C3" s="1388"/>
      <c r="D3" s="1388"/>
      <c r="E3" s="1388"/>
      <c r="F3" s="1388"/>
      <c r="G3" s="1388"/>
      <c r="H3" s="1388"/>
      <c r="I3" s="100"/>
      <c r="J3" s="100"/>
      <c r="K3" s="100"/>
      <c r="L3" s="100"/>
      <c r="M3" s="100"/>
      <c r="N3" s="100"/>
      <c r="O3" s="100"/>
      <c r="P3" s="100"/>
      <c r="Q3" s="100"/>
      <c r="R3" s="100"/>
      <c r="S3" s="100"/>
      <c r="T3" s="100"/>
      <c r="U3" s="100"/>
      <c r="AE3" s="1389"/>
      <c r="AF3" s="1389"/>
      <c r="AG3" s="1389"/>
    </row>
    <row r="4" spans="1:33" ht="68.75" customHeight="1" x14ac:dyDescent="0.25">
      <c r="A4" s="91" t="s">
        <v>1</v>
      </c>
      <c r="B4" s="91" t="s">
        <v>253</v>
      </c>
      <c r="C4" s="107" t="s">
        <v>254</v>
      </c>
      <c r="D4" s="91" t="s">
        <v>243</v>
      </c>
      <c r="E4" s="218" t="s">
        <v>246</v>
      </c>
      <c r="F4" s="108" t="s">
        <v>255</v>
      </c>
      <c r="G4" s="91" t="s">
        <v>256</v>
      </c>
      <c r="H4" s="107" t="s">
        <v>347</v>
      </c>
      <c r="I4" s="91" t="s">
        <v>258</v>
      </c>
      <c r="J4" s="91" t="s">
        <v>259</v>
      </c>
      <c r="K4" s="91" t="s">
        <v>260</v>
      </c>
      <c r="L4" s="91" t="s">
        <v>261</v>
      </c>
      <c r="M4" s="100"/>
      <c r="N4" s="100"/>
      <c r="O4" s="100"/>
      <c r="P4" s="100"/>
      <c r="Q4" s="100"/>
      <c r="R4" s="100"/>
      <c r="S4" s="100"/>
      <c r="T4" s="100"/>
      <c r="U4" s="100"/>
    </row>
    <row r="5" spans="1:33" ht="14.25" customHeight="1" x14ac:dyDescent="0.25">
      <c r="A5" s="219"/>
      <c r="B5" s="654"/>
      <c r="C5" s="655"/>
      <c r="D5" s="219"/>
      <c r="E5" s="656"/>
      <c r="F5" s="219"/>
      <c r="G5" s="219"/>
      <c r="H5" s="655"/>
      <c r="I5" s="81"/>
      <c r="J5" s="121"/>
      <c r="K5" s="122"/>
      <c r="L5" s="122"/>
      <c r="M5" s="100"/>
    </row>
    <row r="6" spans="1:33" ht="14.25" customHeight="1" x14ac:dyDescent="0.25">
      <c r="A6" s="295" t="s">
        <v>13</v>
      </c>
      <c r="B6" s="22" t="s">
        <v>19</v>
      </c>
      <c r="C6" s="124" t="s">
        <v>14</v>
      </c>
      <c r="D6" s="1142">
        <v>450</v>
      </c>
      <c r="E6" s="116">
        <f t="shared" ref="E6:E13" si="0">$I$1</f>
        <v>15.6</v>
      </c>
      <c r="F6" s="127">
        <v>1</v>
      </c>
      <c r="G6" s="119">
        <f t="shared" ref="G6:G13" si="1">D6*E6</f>
        <v>7020</v>
      </c>
      <c r="H6" s="120">
        <f t="shared" ref="H6:H13" si="2">G6*F6</f>
        <v>7020</v>
      </c>
      <c r="I6" s="81">
        <f>VLOOKUP(B6,All_Ingredients!$A$1:$F$151,6,FALSE())</f>
        <v>0.84</v>
      </c>
      <c r="J6" s="121">
        <f>VLOOKUP(B6,All_Ingredients!$A$1:$J$151,10,FALSE())</f>
        <v>2.6</v>
      </c>
      <c r="K6" s="122">
        <f t="shared" ref="K6:K13" si="3">(H6/I6)/1000</f>
        <v>8.3571428571428577</v>
      </c>
      <c r="L6" s="122">
        <f t="shared" ref="L6:L13" si="4">K6*J6</f>
        <v>21.728571428571431</v>
      </c>
    </row>
    <row r="7" spans="1:33" ht="14.25" customHeight="1" x14ac:dyDescent="0.25">
      <c r="A7" s="295" t="s">
        <v>13</v>
      </c>
      <c r="B7" s="22" t="s">
        <v>47</v>
      </c>
      <c r="C7" s="124" t="s">
        <v>14</v>
      </c>
      <c r="D7" s="1142">
        <v>450</v>
      </c>
      <c r="E7" s="116">
        <f t="shared" si="0"/>
        <v>15.6</v>
      </c>
      <c r="F7" s="127">
        <v>1</v>
      </c>
      <c r="G7" s="119">
        <f t="shared" si="1"/>
        <v>7020</v>
      </c>
      <c r="H7" s="120">
        <f t="shared" si="2"/>
        <v>7020</v>
      </c>
      <c r="I7" s="81">
        <f>VLOOKUP(B7,All_Ingredients!$A$1:$F$151,6,FALSE())</f>
        <v>0.78</v>
      </c>
      <c r="J7" s="121">
        <f>VLOOKUP(B7,All_Ingredients!$A$1:$J$151,10,FALSE())</f>
        <v>3.7</v>
      </c>
      <c r="K7" s="122">
        <f t="shared" si="3"/>
        <v>9</v>
      </c>
      <c r="L7" s="122">
        <f t="shared" si="4"/>
        <v>33.300000000000004</v>
      </c>
    </row>
    <row r="8" spans="1:33" ht="14.25" customHeight="1" x14ac:dyDescent="0.25">
      <c r="A8" s="295" t="s">
        <v>13</v>
      </c>
      <c r="B8" s="22" t="s">
        <v>28</v>
      </c>
      <c r="C8" s="124" t="s">
        <v>14</v>
      </c>
      <c r="D8" s="1142">
        <v>80</v>
      </c>
      <c r="E8" s="116">
        <f t="shared" si="0"/>
        <v>15.6</v>
      </c>
      <c r="F8" s="127">
        <v>1</v>
      </c>
      <c r="G8" s="119">
        <f t="shared" si="1"/>
        <v>1248</v>
      </c>
      <c r="H8" s="120">
        <f t="shared" si="2"/>
        <v>1248</v>
      </c>
      <c r="I8" s="81">
        <f>VLOOKUP(B8,All_Ingredients!$A$1:$F$151,6,FALSE())</f>
        <v>0.56999999999999995</v>
      </c>
      <c r="J8" s="121">
        <f>VLOOKUP(B8,All_Ingredients!$A$1:$J$151,10,FALSE())</f>
        <v>8.5</v>
      </c>
      <c r="K8" s="122">
        <f t="shared" si="3"/>
        <v>2.1894736842105269</v>
      </c>
      <c r="L8" s="122">
        <f t="shared" si="4"/>
        <v>18.610526315789478</v>
      </c>
    </row>
    <row r="9" spans="1:33" ht="14.25" customHeight="1" x14ac:dyDescent="0.25">
      <c r="A9" s="295" t="s">
        <v>13</v>
      </c>
      <c r="B9" s="22" t="s">
        <v>30</v>
      </c>
      <c r="C9" s="124" t="s">
        <v>14</v>
      </c>
      <c r="D9" s="1142">
        <v>80</v>
      </c>
      <c r="E9" s="116">
        <f t="shared" si="0"/>
        <v>15.6</v>
      </c>
      <c r="F9" s="127">
        <v>1</v>
      </c>
      <c r="G9" s="119">
        <f t="shared" si="1"/>
        <v>1248</v>
      </c>
      <c r="H9" s="120">
        <f t="shared" si="2"/>
        <v>1248</v>
      </c>
      <c r="I9" s="81">
        <f>VLOOKUP(B9,All_Ingredients!$A$1:$F$151,6,FALSE())</f>
        <v>0.56999999999999995</v>
      </c>
      <c r="J9" s="121">
        <f>VLOOKUP(B9,All_Ingredients!$A$1:$J$151,10,FALSE())</f>
        <v>8.5</v>
      </c>
      <c r="K9" s="122">
        <f t="shared" si="3"/>
        <v>2.1894736842105269</v>
      </c>
      <c r="L9" s="122">
        <f t="shared" si="4"/>
        <v>18.610526315789478</v>
      </c>
    </row>
    <row r="10" spans="1:33" ht="14.25" customHeight="1" x14ac:dyDescent="0.25">
      <c r="A10" s="295" t="s">
        <v>13</v>
      </c>
      <c r="B10" s="22" t="s">
        <v>32</v>
      </c>
      <c r="C10" s="124" t="s">
        <v>14</v>
      </c>
      <c r="D10" s="1142">
        <v>80</v>
      </c>
      <c r="E10" s="116">
        <f t="shared" si="0"/>
        <v>15.6</v>
      </c>
      <c r="F10" s="127">
        <v>1</v>
      </c>
      <c r="G10" s="119">
        <f t="shared" si="1"/>
        <v>1248</v>
      </c>
      <c r="H10" s="120">
        <f t="shared" si="2"/>
        <v>1248</v>
      </c>
      <c r="I10" s="81">
        <f>VLOOKUP(B10,All_Ingredients!$A$1:$F$151,6,FALSE())</f>
        <v>0.96</v>
      </c>
      <c r="J10" s="121">
        <f>VLOOKUP(B10,All_Ingredients!$A$1:$J$151,10,FALSE())</f>
        <v>4</v>
      </c>
      <c r="K10" s="122">
        <f t="shared" si="3"/>
        <v>1.3</v>
      </c>
      <c r="L10" s="122">
        <f t="shared" si="4"/>
        <v>5.2</v>
      </c>
    </row>
    <row r="11" spans="1:33" ht="14.25" customHeight="1" x14ac:dyDescent="0.25">
      <c r="A11" s="295" t="s">
        <v>13</v>
      </c>
      <c r="B11" s="22" t="s">
        <v>51</v>
      </c>
      <c r="C11" s="124" t="s">
        <v>14</v>
      </c>
      <c r="D11" s="1142">
        <v>80</v>
      </c>
      <c r="E11" s="116">
        <f t="shared" si="0"/>
        <v>15.6</v>
      </c>
      <c r="F11" s="127">
        <v>1</v>
      </c>
      <c r="G11" s="119">
        <f t="shared" si="1"/>
        <v>1248</v>
      </c>
      <c r="H11" s="120">
        <f t="shared" si="2"/>
        <v>1248</v>
      </c>
      <c r="I11" s="81">
        <f>VLOOKUP(B11,All_Ingredients!$A$1:$F$151,6,FALSE())</f>
        <v>0.75</v>
      </c>
      <c r="J11" s="121">
        <f>VLOOKUP(B11,All_Ingredients!$A$1:$J$151,10,FALSE())</f>
        <v>20</v>
      </c>
      <c r="K11" s="122">
        <f t="shared" si="3"/>
        <v>1.6639999999999999</v>
      </c>
      <c r="L11" s="122">
        <f t="shared" si="4"/>
        <v>33.28</v>
      </c>
    </row>
    <row r="12" spans="1:33" ht="14.25" customHeight="1" x14ac:dyDescent="0.25">
      <c r="A12" s="295" t="s">
        <v>97</v>
      </c>
      <c r="B12" s="22" t="s">
        <v>96</v>
      </c>
      <c r="C12" s="124" t="s">
        <v>14</v>
      </c>
      <c r="D12" s="116">
        <v>4</v>
      </c>
      <c r="E12" s="116">
        <f t="shared" si="0"/>
        <v>15.6</v>
      </c>
      <c r="F12" s="127">
        <v>0.75</v>
      </c>
      <c r="G12" s="119">
        <f t="shared" si="1"/>
        <v>62.4</v>
      </c>
      <c r="H12" s="120">
        <f t="shared" si="2"/>
        <v>46.8</v>
      </c>
      <c r="I12" s="81">
        <f>VLOOKUP(B12,All_Ingredients!$A$1:$F$151,6,FALSE())</f>
        <v>1</v>
      </c>
      <c r="J12" s="121">
        <f>VLOOKUP(B12,All_Ingredients!$A$1:$J$151,10,FALSE())</f>
        <v>0.74</v>
      </c>
      <c r="K12" s="122">
        <f t="shared" si="3"/>
        <v>4.6799999999999994E-2</v>
      </c>
      <c r="L12" s="122">
        <f t="shared" si="4"/>
        <v>3.4631999999999996E-2</v>
      </c>
    </row>
    <row r="13" spans="1:33" ht="14.25" customHeight="1" x14ac:dyDescent="0.25">
      <c r="A13" s="295" t="s">
        <v>97</v>
      </c>
      <c r="B13" s="323" t="s">
        <v>102</v>
      </c>
      <c r="C13" s="124" t="s">
        <v>14</v>
      </c>
      <c r="D13" s="197">
        <v>0.5</v>
      </c>
      <c r="E13" s="116">
        <f t="shared" si="0"/>
        <v>15.6</v>
      </c>
      <c r="F13" s="127">
        <v>1</v>
      </c>
      <c r="G13" s="119">
        <f t="shared" si="1"/>
        <v>7.8</v>
      </c>
      <c r="H13" s="120">
        <f t="shared" si="2"/>
        <v>7.8</v>
      </c>
      <c r="I13" s="81">
        <f>VLOOKUP(B13,All_Ingredients!$A$1:$F$151,6,FALSE())</f>
        <v>1</v>
      </c>
      <c r="J13" s="121">
        <f>VLOOKUP(B13,All_Ingredients!$A$1:$J$151,10,FALSE())</f>
        <v>31</v>
      </c>
      <c r="K13" s="122">
        <f t="shared" si="3"/>
        <v>7.7999999999999996E-3</v>
      </c>
      <c r="L13" s="122">
        <f t="shared" si="4"/>
        <v>0.24179999999999999</v>
      </c>
    </row>
    <row r="14" spans="1:33" ht="14.25" customHeight="1" x14ac:dyDescent="0.25">
      <c r="B14" s="356"/>
      <c r="C14" s="357"/>
      <c r="D14" s="359"/>
      <c r="E14" s="359"/>
      <c r="F14" s="360"/>
      <c r="G14" s="361"/>
      <c r="H14" s="362"/>
    </row>
    <row r="15" spans="1:33" ht="14.25" customHeight="1" x14ac:dyDescent="0.25">
      <c r="B15" s="349"/>
      <c r="C15" s="133"/>
      <c r="D15" s="254"/>
      <c r="E15" s="225"/>
      <c r="F15" s="136"/>
      <c r="G15" s="140"/>
      <c r="H15" s="138"/>
    </row>
    <row r="16" spans="1:33" ht="14.25" customHeight="1" x14ac:dyDescent="0.25">
      <c r="E16" s="100"/>
      <c r="F16" s="100"/>
    </row>
    <row r="17" spans="2:29" ht="14.25" customHeight="1" x14ac:dyDescent="0.25">
      <c r="E17" s="100"/>
      <c r="F17" s="100"/>
    </row>
    <row r="18" spans="2:29" ht="14.25" customHeight="1" x14ac:dyDescent="0.25">
      <c r="E18" s="100"/>
      <c r="F18" s="100"/>
    </row>
    <row r="19" spans="2:29" ht="14.25" customHeight="1" x14ac:dyDescent="0.25">
      <c r="E19" s="100"/>
      <c r="F19" s="100"/>
    </row>
    <row r="20" spans="2:29" ht="14.25" customHeight="1" x14ac:dyDescent="0.25">
      <c r="E20" s="100"/>
      <c r="F20" s="100"/>
    </row>
    <row r="21" spans="2:29" ht="14.25" customHeight="1" x14ac:dyDescent="0.25">
      <c r="E21" s="100"/>
      <c r="F21" s="100"/>
    </row>
    <row r="22" spans="2:29" ht="14.25" customHeight="1" x14ac:dyDescent="0.3">
      <c r="B22" s="11"/>
      <c r="C22" s="336"/>
      <c r="D22" s="337"/>
      <c r="E22" s="100"/>
      <c r="F22" s="100"/>
    </row>
    <row r="23" spans="2:29" ht="14.25" customHeight="1" x14ac:dyDescent="0.3">
      <c r="B23" s="11"/>
      <c r="C23" s="336"/>
      <c r="D23" s="337"/>
      <c r="E23" s="100"/>
      <c r="F23" s="100"/>
    </row>
    <row r="24" spans="2:29" ht="14.25" customHeight="1" x14ac:dyDescent="0.3">
      <c r="B24" s="11"/>
      <c r="C24" s="336"/>
      <c r="D24" s="337"/>
      <c r="E24" s="100"/>
      <c r="F24" s="100"/>
      <c r="Z24" s="1234"/>
    </row>
    <row r="25" spans="2:29" ht="14.25" customHeight="1" x14ac:dyDescent="0.3">
      <c r="B25" s="11"/>
      <c r="C25" s="336"/>
      <c r="D25" s="337"/>
      <c r="E25" s="100"/>
      <c r="F25" s="100"/>
      <c r="R25" s="1445" t="s">
        <v>386</v>
      </c>
      <c r="S25" s="1410"/>
      <c r="T25" s="1446"/>
      <c r="Z25" s="141" t="s">
        <v>14</v>
      </c>
      <c r="AA25" s="142">
        <v>18150</v>
      </c>
      <c r="AB25" s="141" t="s">
        <v>261</v>
      </c>
      <c r="AC25" s="143">
        <f>(S31/S30)*AA25</f>
        <v>152.42050753152114</v>
      </c>
    </row>
    <row r="26" spans="2:29" ht="14.25" customHeight="1" x14ac:dyDescent="0.3">
      <c r="B26" s="11"/>
      <c r="C26" s="336"/>
      <c r="D26" s="337"/>
      <c r="E26" s="100"/>
      <c r="F26" s="100"/>
      <c r="R26" s="1445" t="s">
        <v>350</v>
      </c>
      <c r="S26" s="1410"/>
      <c r="T26" s="1446"/>
    </row>
    <row r="27" spans="2:29" ht="14.25" customHeight="1" x14ac:dyDescent="0.3">
      <c r="B27" s="11"/>
      <c r="C27" s="336"/>
      <c r="D27" s="337"/>
      <c r="E27" s="100"/>
      <c r="F27" s="100"/>
      <c r="R27" s="145" t="s">
        <v>266</v>
      </c>
      <c r="S27" s="145" t="s">
        <v>351</v>
      </c>
      <c r="T27" s="145" t="s">
        <v>269</v>
      </c>
    </row>
    <row r="28" spans="2:29" ht="14.25" customHeight="1" x14ac:dyDescent="0.3">
      <c r="B28" s="11"/>
      <c r="C28" s="336"/>
      <c r="D28" s="337"/>
      <c r="E28" s="100"/>
      <c r="F28" s="100"/>
      <c r="R28" s="145" t="s">
        <v>275</v>
      </c>
      <c r="S28" s="792">
        <f>T28</f>
        <v>15600</v>
      </c>
      <c r="T28" s="790">
        <f>$Z$1</f>
        <v>15600</v>
      </c>
    </row>
    <row r="29" spans="2:29" ht="14.25" customHeight="1" x14ac:dyDescent="0.3">
      <c r="B29" s="11"/>
      <c r="C29" s="336"/>
      <c r="D29" s="337"/>
      <c r="E29" s="100"/>
      <c r="F29" s="100"/>
      <c r="R29" s="145" t="s">
        <v>277</v>
      </c>
      <c r="S29" s="790">
        <f>$AB$1</f>
        <v>0</v>
      </c>
      <c r="T29" s="793">
        <f>S29</f>
        <v>0</v>
      </c>
    </row>
    <row r="30" spans="2:29" ht="14.25" customHeight="1" thickBot="1" x14ac:dyDescent="0.35">
      <c r="B30" s="11"/>
      <c r="C30" s="336"/>
      <c r="D30" s="337"/>
      <c r="E30" s="100"/>
      <c r="F30" s="100"/>
      <c r="R30" s="145" t="s">
        <v>269</v>
      </c>
      <c r="S30" s="339">
        <f>SUM(S28:S29)</f>
        <v>15600</v>
      </c>
      <c r="T30" s="339">
        <f>S30</f>
        <v>15600</v>
      </c>
    </row>
    <row r="31" spans="2:29" ht="14.25" customHeight="1" thickBot="1" x14ac:dyDescent="0.35">
      <c r="B31" s="100"/>
      <c r="E31" s="100"/>
      <c r="F31" s="100"/>
      <c r="R31" s="163" t="s">
        <v>261</v>
      </c>
      <c r="S31" s="1144">
        <f>SUM(L6:L13)</f>
        <v>131.0060560601504</v>
      </c>
      <c r="T31" s="1220">
        <f>S31</f>
        <v>131.0060560601504</v>
      </c>
    </row>
    <row r="32" spans="2:29" ht="14.25" customHeight="1" x14ac:dyDescent="0.25">
      <c r="B32" s="100"/>
      <c r="E32" s="100"/>
      <c r="F32" s="100"/>
    </row>
    <row r="41" ht="14" customHeight="1" x14ac:dyDescent="0.25"/>
    <row r="42" ht="14" customHeight="1" x14ac:dyDescent="0.25"/>
    <row r="50" spans="1:8" ht="14" x14ac:dyDescent="0.3">
      <c r="B50" s="226"/>
      <c r="C50" s="226" t="s">
        <v>245</v>
      </c>
      <c r="D50" s="226" t="s">
        <v>291</v>
      </c>
    </row>
    <row r="51" spans="1:8" ht="14" x14ac:dyDescent="0.3">
      <c r="B51" s="180" t="s">
        <v>295</v>
      </c>
      <c r="C51" s="181">
        <f>10/$K$1</f>
        <v>10</v>
      </c>
      <c r="D51" s="182">
        <f>$C$1*10</f>
        <v>10000</v>
      </c>
    </row>
    <row r="52" spans="1:8" ht="14" x14ac:dyDescent="0.3">
      <c r="B52" s="231" t="s">
        <v>269</v>
      </c>
      <c r="C52" s="233">
        <f>G1</f>
        <v>15.6</v>
      </c>
      <c r="D52" s="233">
        <f>E1</f>
        <v>15600</v>
      </c>
    </row>
    <row r="53" spans="1:8" ht="14" x14ac:dyDescent="0.3">
      <c r="B53" s="231" t="s">
        <v>296</v>
      </c>
      <c r="C53" s="234">
        <f>MIN($C$52, $C$51)</f>
        <v>10</v>
      </c>
      <c r="D53" s="233">
        <f>(C53*$K$1)*$C$1</f>
        <v>10000</v>
      </c>
    </row>
    <row r="54" spans="1:8" ht="14" x14ac:dyDescent="0.3">
      <c r="B54" s="231" t="s">
        <v>297</v>
      </c>
      <c r="C54" s="234">
        <f>MIN(MAX($C$52-C53,0),$C$51)</f>
        <v>5.6</v>
      </c>
      <c r="D54" s="233">
        <f>(C54*$K$1)*$C$1</f>
        <v>5600</v>
      </c>
    </row>
    <row r="55" spans="1:8" ht="14" x14ac:dyDescent="0.3">
      <c r="B55" s="231" t="s">
        <v>298</v>
      </c>
      <c r="C55" s="234">
        <f>MIN(MAX($C$52-C53-C54,0),$C$51)</f>
        <v>0</v>
      </c>
      <c r="D55" s="233">
        <f>(C55*$K$1)*$C$1</f>
        <v>0</v>
      </c>
    </row>
    <row r="61" spans="1:8" ht="14" customHeight="1" x14ac:dyDescent="0.25"/>
    <row r="62" spans="1:8" ht="17.75" customHeight="1" x14ac:dyDescent="0.3">
      <c r="A62" s="942"/>
      <c r="B62" s="1382" t="s">
        <v>859</v>
      </c>
      <c r="C62" s="1383"/>
      <c r="D62" s="1383"/>
      <c r="E62" s="1383"/>
      <c r="F62" s="1383"/>
      <c r="G62" s="1383"/>
      <c r="H62" s="1383"/>
    </row>
    <row r="63" spans="1:8" ht="14" x14ac:dyDescent="0.3">
      <c r="A63" s="942"/>
      <c r="B63" s="1384" t="s">
        <v>385</v>
      </c>
      <c r="C63" s="1385"/>
      <c r="D63" s="1385"/>
      <c r="E63" s="1385"/>
      <c r="F63" s="1385"/>
      <c r="G63" s="1385"/>
      <c r="H63" s="1385"/>
    </row>
    <row r="64" spans="1:8" ht="52.5" customHeight="1" x14ac:dyDescent="0.25">
      <c r="A64" s="91"/>
      <c r="B64" s="408" t="s">
        <v>253</v>
      </c>
      <c r="C64" s="409" t="s">
        <v>254</v>
      </c>
      <c r="D64" s="410" t="s">
        <v>243</v>
      </c>
      <c r="E64" s="411" t="s">
        <v>246</v>
      </c>
      <c r="F64" s="411" t="s">
        <v>255</v>
      </c>
      <c r="G64" s="410" t="s">
        <v>256</v>
      </c>
      <c r="H64" s="411" t="s">
        <v>257</v>
      </c>
    </row>
    <row r="65" spans="1:8" ht="14.25" customHeight="1" x14ac:dyDescent="0.25">
      <c r="A65" s="295" t="s">
        <v>13</v>
      </c>
      <c r="B65" s="323" t="str">
        <f t="shared" ref="B65:D72" si="5">B6</f>
        <v>Carrot - جزر</v>
      </c>
      <c r="C65" s="124" t="str">
        <f t="shared" si="5"/>
        <v>gm</v>
      </c>
      <c r="D65" s="116">
        <f t="shared" si="5"/>
        <v>450</v>
      </c>
      <c r="E65" s="116">
        <f>$C$52</f>
        <v>15.6</v>
      </c>
      <c r="F65" s="127">
        <f t="shared" ref="F65:F72" si="6">F6</f>
        <v>1</v>
      </c>
      <c r="G65" s="119">
        <f t="shared" ref="G65:G72" si="7">D65*E65</f>
        <v>7020</v>
      </c>
      <c r="H65" s="120">
        <f t="shared" ref="H65:H72" si="8">G65*F65</f>
        <v>7020</v>
      </c>
    </row>
    <row r="66" spans="1:8" ht="14.25" customHeight="1" x14ac:dyDescent="0.25">
      <c r="A66" s="295" t="s">
        <v>13</v>
      </c>
      <c r="B66" s="323" t="str">
        <f t="shared" si="5"/>
        <v>Zucchini - كوسة</v>
      </c>
      <c r="C66" s="124" t="str">
        <f t="shared" si="5"/>
        <v>gm</v>
      </c>
      <c r="D66" s="116">
        <f t="shared" si="5"/>
        <v>450</v>
      </c>
      <c r="E66" s="116">
        <f t="shared" ref="E66:E72" si="9">$C$52</f>
        <v>15.6</v>
      </c>
      <c r="F66" s="127">
        <f t="shared" si="6"/>
        <v>1</v>
      </c>
      <c r="G66" s="119">
        <f t="shared" si="7"/>
        <v>7020</v>
      </c>
      <c r="H66" s="120">
        <f t="shared" si="8"/>
        <v>7020</v>
      </c>
    </row>
    <row r="67" spans="1:8" ht="14.25" customHeight="1" x14ac:dyDescent="0.25">
      <c r="A67" s="295" t="s">
        <v>13</v>
      </c>
      <c r="B67" s="323" t="str">
        <f t="shared" si="5"/>
        <v xml:space="preserve">Red Bell Pepper - فلفل أحمر </v>
      </c>
      <c r="C67" s="124" t="str">
        <f t="shared" si="5"/>
        <v>gm</v>
      </c>
      <c r="D67" s="116">
        <f t="shared" si="5"/>
        <v>80</v>
      </c>
      <c r="E67" s="116">
        <f t="shared" si="9"/>
        <v>15.6</v>
      </c>
      <c r="F67" s="127">
        <f t="shared" si="6"/>
        <v>1</v>
      </c>
      <c r="G67" s="119">
        <f t="shared" si="7"/>
        <v>1248</v>
      </c>
      <c r="H67" s="120">
        <f t="shared" si="8"/>
        <v>1248</v>
      </c>
    </row>
    <row r="68" spans="1:8" ht="14.25" customHeight="1" x14ac:dyDescent="0.25">
      <c r="A68" s="295" t="s">
        <v>13</v>
      </c>
      <c r="B68" s="323" t="str">
        <f t="shared" si="5"/>
        <v xml:space="preserve">Yellow Bell Pepper - فلفل أصفر </v>
      </c>
      <c r="C68" s="124" t="str">
        <f t="shared" si="5"/>
        <v>gm</v>
      </c>
      <c r="D68" s="116">
        <f t="shared" si="5"/>
        <v>80</v>
      </c>
      <c r="E68" s="116">
        <f t="shared" si="9"/>
        <v>15.6</v>
      </c>
      <c r="F68" s="127">
        <f t="shared" si="6"/>
        <v>1</v>
      </c>
      <c r="G68" s="119">
        <f t="shared" si="7"/>
        <v>1248</v>
      </c>
      <c r="H68" s="120">
        <f t="shared" si="8"/>
        <v>1248</v>
      </c>
    </row>
    <row r="69" spans="1:8" ht="14.25" customHeight="1" x14ac:dyDescent="0.25">
      <c r="A69" s="295" t="s">
        <v>13</v>
      </c>
      <c r="B69" s="323" t="str">
        <f t="shared" si="5"/>
        <v>Green Bell Pepper - فلفل أخضر رومى</v>
      </c>
      <c r="C69" s="124" t="str">
        <f t="shared" si="5"/>
        <v>gm</v>
      </c>
      <c r="D69" s="116">
        <f t="shared" si="5"/>
        <v>80</v>
      </c>
      <c r="E69" s="116">
        <f t="shared" si="9"/>
        <v>15.6</v>
      </c>
      <c r="F69" s="127">
        <f t="shared" si="6"/>
        <v>1</v>
      </c>
      <c r="G69" s="119">
        <f t="shared" si="7"/>
        <v>1248</v>
      </c>
      <c r="H69" s="120">
        <f t="shared" si="8"/>
        <v>1248</v>
      </c>
    </row>
    <row r="70" spans="1:8" ht="14.25" customHeight="1" x14ac:dyDescent="0.25">
      <c r="A70" s="295" t="s">
        <v>13</v>
      </c>
      <c r="B70" s="323" t="str">
        <f t="shared" si="5"/>
        <v>Chinese Cabbage - ملفوف صيني</v>
      </c>
      <c r="C70" s="124" t="str">
        <f t="shared" si="5"/>
        <v>gm</v>
      </c>
      <c r="D70" s="116">
        <f t="shared" si="5"/>
        <v>80</v>
      </c>
      <c r="E70" s="116">
        <f t="shared" si="9"/>
        <v>15.6</v>
      </c>
      <c r="F70" s="127">
        <f t="shared" si="6"/>
        <v>1</v>
      </c>
      <c r="G70" s="119">
        <f t="shared" si="7"/>
        <v>1248</v>
      </c>
      <c r="H70" s="120">
        <f t="shared" si="8"/>
        <v>1248</v>
      </c>
    </row>
    <row r="71" spans="1:8" ht="14.25" customHeight="1" x14ac:dyDescent="0.25">
      <c r="A71" s="295" t="s">
        <v>97</v>
      </c>
      <c r="B71" s="323" t="str">
        <f t="shared" si="5"/>
        <v>Salt - ملح</v>
      </c>
      <c r="C71" s="124" t="str">
        <f t="shared" si="5"/>
        <v>gm</v>
      </c>
      <c r="D71" s="116">
        <f t="shared" si="5"/>
        <v>4</v>
      </c>
      <c r="E71" s="116">
        <f t="shared" si="9"/>
        <v>15.6</v>
      </c>
      <c r="F71" s="127">
        <f t="shared" si="6"/>
        <v>0.75</v>
      </c>
      <c r="G71" s="119">
        <f t="shared" si="7"/>
        <v>62.4</v>
      </c>
      <c r="H71" s="120">
        <f t="shared" si="8"/>
        <v>46.8</v>
      </c>
    </row>
    <row r="72" spans="1:8" ht="12.75" customHeight="1" x14ac:dyDescent="0.25">
      <c r="A72" s="295" t="s">
        <v>97</v>
      </c>
      <c r="B72" s="323" t="str">
        <f t="shared" si="5"/>
        <v>Black Pepper Powder - فلفل أسود مطحون</v>
      </c>
      <c r="C72" s="124" t="str">
        <f t="shared" si="5"/>
        <v>gm</v>
      </c>
      <c r="D72" s="223">
        <f t="shared" si="5"/>
        <v>0.5</v>
      </c>
      <c r="E72" s="116">
        <f t="shared" si="9"/>
        <v>15.6</v>
      </c>
      <c r="F72" s="127">
        <f t="shared" si="6"/>
        <v>1</v>
      </c>
      <c r="G72" s="119">
        <f t="shared" si="7"/>
        <v>7.8</v>
      </c>
      <c r="H72" s="120">
        <f t="shared" si="8"/>
        <v>7.8</v>
      </c>
    </row>
    <row r="73" spans="1:8" ht="14.25" customHeight="1" x14ac:dyDescent="0.25">
      <c r="B73" s="198" t="s">
        <v>770</v>
      </c>
      <c r="E73" s="100"/>
      <c r="F73" s="100"/>
    </row>
    <row r="74" spans="1:8" ht="23.75" customHeight="1" x14ac:dyDescent="0.4">
      <c r="B74" s="199">
        <f>D52</f>
        <v>15600</v>
      </c>
      <c r="C74" s="208"/>
      <c r="D74" s="4"/>
      <c r="E74" s="100"/>
      <c r="F74" s="183"/>
    </row>
    <row r="75" spans="1:8" ht="12.75" customHeight="1" x14ac:dyDescent="0.25">
      <c r="B75" s="100"/>
      <c r="E75" s="100"/>
      <c r="F75" s="100"/>
    </row>
    <row r="76" spans="1:8" ht="12.75" customHeight="1" x14ac:dyDescent="0.25">
      <c r="B76" s="100"/>
      <c r="C76" s="100"/>
      <c r="D76" s="346"/>
      <c r="E76" s="100"/>
      <c r="F76" s="100"/>
      <c r="G76" s="100"/>
      <c r="H76" s="100"/>
    </row>
    <row r="77" spans="1:8" ht="17.75" customHeight="1" x14ac:dyDescent="0.25">
      <c r="B77" s="100"/>
      <c r="C77" s="100"/>
      <c r="D77" s="100"/>
      <c r="E77" s="100"/>
      <c r="F77" s="100"/>
      <c r="G77" s="100"/>
      <c r="H77" s="100"/>
    </row>
    <row r="78" spans="1:8" ht="17.75" customHeight="1" x14ac:dyDescent="0.3">
      <c r="A78" s="1253"/>
      <c r="B78" s="1439"/>
      <c r="C78" s="1440"/>
      <c r="D78" s="1440"/>
      <c r="E78" s="1440"/>
      <c r="F78" s="1440"/>
      <c r="G78" s="1440"/>
      <c r="H78" s="1440"/>
    </row>
    <row r="79" spans="1:8" ht="18" x14ac:dyDescent="0.3">
      <c r="A79" s="1253"/>
      <c r="B79" s="1439"/>
      <c r="C79" s="1440"/>
      <c r="D79" s="1440"/>
      <c r="E79" s="1440"/>
      <c r="F79" s="1440"/>
      <c r="G79" s="1440"/>
      <c r="H79" s="1440"/>
    </row>
    <row r="80" spans="1:8" ht="48" customHeight="1" x14ac:dyDescent="0.25">
      <c r="A80" s="1258"/>
      <c r="B80" s="1268"/>
      <c r="C80" s="1269"/>
      <c r="D80" s="1268"/>
      <c r="E80" s="1270"/>
      <c r="F80" s="1270"/>
      <c r="G80" s="1268"/>
      <c r="H80" s="1270"/>
    </row>
    <row r="81" spans="1:8" ht="14.25" customHeight="1" x14ac:dyDescent="0.25">
      <c r="A81" s="881"/>
      <c r="B81" s="1271"/>
      <c r="C81" s="1271"/>
      <c r="D81" s="1276"/>
      <c r="E81" s="1276"/>
      <c r="F81" s="1273"/>
      <c r="G81" s="1274"/>
      <c r="H81" s="1275"/>
    </row>
    <row r="82" spans="1:8" ht="14.25" customHeight="1" x14ac:dyDescent="0.25">
      <c r="A82" s="881"/>
      <c r="B82" s="1271"/>
      <c r="C82" s="1271"/>
      <c r="D82" s="1276"/>
      <c r="E82" s="1276"/>
      <c r="F82" s="1273"/>
      <c r="G82" s="1274"/>
      <c r="H82" s="1275"/>
    </row>
    <row r="83" spans="1:8" ht="14.25" customHeight="1" x14ac:dyDescent="0.25">
      <c r="A83" s="881"/>
      <c r="B83" s="1271"/>
      <c r="C83" s="1271"/>
      <c r="D83" s="1276"/>
      <c r="E83" s="1276"/>
      <c r="F83" s="1273"/>
      <c r="G83" s="1274"/>
      <c r="H83" s="1275"/>
    </row>
    <row r="84" spans="1:8" ht="14.25" customHeight="1" x14ac:dyDescent="0.25">
      <c r="A84" s="881"/>
      <c r="B84" s="1271"/>
      <c r="C84" s="1271"/>
      <c r="D84" s="1276"/>
      <c r="E84" s="1276"/>
      <c r="F84" s="1273"/>
      <c r="G84" s="1274"/>
      <c r="H84" s="1275"/>
    </row>
    <row r="85" spans="1:8" ht="14.25" customHeight="1" x14ac:dyDescent="0.25">
      <c r="A85" s="881"/>
      <c r="B85" s="1271"/>
      <c r="C85" s="1271"/>
      <c r="D85" s="1276"/>
      <c r="E85" s="1276"/>
      <c r="F85" s="1273"/>
      <c r="G85" s="1274"/>
      <c r="H85" s="1275"/>
    </row>
    <row r="86" spans="1:8" ht="14.25" customHeight="1" x14ac:dyDescent="0.25">
      <c r="A86" s="881"/>
      <c r="B86" s="1271"/>
      <c r="C86" s="1271"/>
      <c r="D86" s="1276"/>
      <c r="E86" s="1276"/>
      <c r="F86" s="1273"/>
      <c r="G86" s="1274"/>
      <c r="H86" s="1275"/>
    </row>
    <row r="87" spans="1:8" ht="14.25" customHeight="1" x14ac:dyDescent="0.25">
      <c r="A87" s="881"/>
      <c r="B87" s="1271"/>
      <c r="C87" s="1271"/>
      <c r="D87" s="1276"/>
      <c r="E87" s="1276"/>
      <c r="F87" s="1273"/>
      <c r="G87" s="1274"/>
      <c r="H87" s="1275"/>
    </row>
    <row r="88" spans="1:8" ht="12.75" customHeight="1" x14ac:dyDescent="0.25">
      <c r="A88" s="881"/>
      <c r="B88" s="1271"/>
      <c r="C88" s="1271"/>
      <c r="D88" s="1277"/>
      <c r="E88" s="1276"/>
      <c r="F88" s="1273"/>
      <c r="G88" s="1274"/>
      <c r="H88" s="1275"/>
    </row>
    <row r="89" spans="1:8" ht="14.25" customHeight="1" x14ac:dyDescent="0.25">
      <c r="A89" s="881"/>
      <c r="B89" s="900"/>
      <c r="C89" s="881"/>
      <c r="D89" s="881"/>
      <c r="E89" s="875"/>
      <c r="F89" s="875"/>
      <c r="G89" s="881"/>
      <c r="H89" s="881"/>
    </row>
    <row r="90" spans="1:8" ht="20.75" customHeight="1" x14ac:dyDescent="0.4">
      <c r="A90" s="881"/>
      <c r="B90" s="901"/>
      <c r="C90" s="905"/>
      <c r="D90" s="1279"/>
      <c r="E90" s="875"/>
      <c r="F90" s="1280"/>
      <c r="G90" s="881"/>
      <c r="H90" s="881"/>
    </row>
    <row r="91" spans="1:8" ht="12.75" customHeight="1" x14ac:dyDescent="0.25">
      <c r="A91" s="881"/>
      <c r="B91" s="875"/>
      <c r="C91" s="875"/>
      <c r="D91" s="875"/>
      <c r="E91" s="875"/>
      <c r="F91" s="875"/>
      <c r="G91" s="875"/>
      <c r="H91" s="875"/>
    </row>
    <row r="92" spans="1:8" ht="17.75" customHeight="1" x14ac:dyDescent="0.25">
      <c r="A92" s="881"/>
      <c r="B92" s="875"/>
      <c r="C92" s="875"/>
      <c r="D92" s="875"/>
      <c r="E92" s="875"/>
      <c r="F92" s="875"/>
      <c r="G92" s="875"/>
      <c r="H92" s="875"/>
    </row>
    <row r="93" spans="1:8" ht="17.75" customHeight="1" x14ac:dyDescent="0.3">
      <c r="A93" s="1253"/>
      <c r="B93" s="1439"/>
      <c r="C93" s="1440"/>
      <c r="D93" s="1440"/>
      <c r="E93" s="1440"/>
      <c r="F93" s="1440"/>
      <c r="G93" s="1440"/>
      <c r="H93" s="1440"/>
    </row>
    <row r="94" spans="1:8" ht="18" x14ac:dyDescent="0.3">
      <c r="A94" s="1253"/>
      <c r="B94" s="1439"/>
      <c r="C94" s="1440"/>
      <c r="D94" s="1440"/>
      <c r="E94" s="1440"/>
      <c r="F94" s="1440"/>
      <c r="G94" s="1440"/>
      <c r="H94" s="1440"/>
    </row>
    <row r="95" spans="1:8" ht="57.5" customHeight="1" x14ac:dyDescent="0.25">
      <c r="A95" s="1258"/>
      <c r="B95" s="1268"/>
      <c r="C95" s="1269"/>
      <c r="D95" s="1268"/>
      <c r="E95" s="1270"/>
      <c r="F95" s="1270"/>
      <c r="G95" s="1268"/>
      <c r="H95" s="1270"/>
    </row>
    <row r="96" spans="1:8" ht="14.25" customHeight="1" x14ac:dyDescent="0.25">
      <c r="A96" s="881"/>
      <c r="B96" s="1271"/>
      <c r="C96" s="1271"/>
      <c r="D96" s="1271"/>
      <c r="E96" s="1272"/>
      <c r="F96" s="1273"/>
      <c r="G96" s="1274"/>
      <c r="H96" s="1275"/>
    </row>
    <row r="97" spans="1:8" ht="14.25" customHeight="1" x14ac:dyDescent="0.25">
      <c r="A97" s="881"/>
      <c r="B97" s="1271"/>
      <c r="C97" s="1271"/>
      <c r="D97" s="1271"/>
      <c r="E97" s="1272"/>
      <c r="F97" s="1273"/>
      <c r="G97" s="1274"/>
      <c r="H97" s="1275"/>
    </row>
    <row r="98" spans="1:8" ht="14.25" customHeight="1" x14ac:dyDescent="0.25">
      <c r="A98" s="881"/>
      <c r="B98" s="1271"/>
      <c r="C98" s="1271"/>
      <c r="D98" s="1271"/>
      <c r="E98" s="1272"/>
      <c r="F98" s="1273"/>
      <c r="G98" s="1274"/>
      <c r="H98" s="1275"/>
    </row>
    <row r="99" spans="1:8" ht="14.25" customHeight="1" x14ac:dyDescent="0.25">
      <c r="A99" s="881"/>
      <c r="B99" s="1271"/>
      <c r="C99" s="1271"/>
      <c r="D99" s="1271"/>
      <c r="E99" s="1272"/>
      <c r="F99" s="1273"/>
      <c r="G99" s="1274"/>
      <c r="H99" s="1275"/>
    </row>
    <row r="100" spans="1:8" ht="14.25" customHeight="1" x14ac:dyDescent="0.25">
      <c r="A100" s="881"/>
      <c r="B100" s="1271"/>
      <c r="C100" s="1271"/>
      <c r="D100" s="1271"/>
      <c r="E100" s="1272"/>
      <c r="F100" s="1273"/>
      <c r="G100" s="1274"/>
      <c r="H100" s="1275"/>
    </row>
    <row r="101" spans="1:8" ht="14.25" customHeight="1" x14ac:dyDescent="0.25">
      <c r="A101" s="881"/>
      <c r="B101" s="1271"/>
      <c r="C101" s="1271"/>
      <c r="D101" s="1271"/>
      <c r="E101" s="1272"/>
      <c r="F101" s="1273"/>
      <c r="G101" s="1274"/>
      <c r="H101" s="1275"/>
    </row>
    <row r="102" spans="1:8" ht="14.25" customHeight="1" x14ac:dyDescent="0.25">
      <c r="A102" s="881"/>
      <c r="B102" s="1271"/>
      <c r="C102" s="1271"/>
      <c r="D102" s="1271"/>
      <c r="E102" s="1272"/>
      <c r="F102" s="1273"/>
      <c r="G102" s="1274"/>
      <c r="H102" s="1275"/>
    </row>
    <row r="103" spans="1:8" ht="14" x14ac:dyDescent="0.25">
      <c r="A103" s="881"/>
      <c r="B103" s="1271"/>
      <c r="C103" s="1271"/>
      <c r="D103" s="1271"/>
      <c r="E103" s="1272"/>
      <c r="F103" s="1273"/>
      <c r="G103" s="1274"/>
      <c r="H103" s="1275"/>
    </row>
    <row r="104" spans="1:8" ht="15.5" x14ac:dyDescent="0.25">
      <c r="A104" s="881"/>
      <c r="B104" s="900"/>
      <c r="C104" s="881"/>
      <c r="D104" s="881"/>
      <c r="E104" s="881"/>
      <c r="F104" s="881"/>
      <c r="G104" s="881"/>
      <c r="H104" s="881"/>
    </row>
    <row r="105" spans="1:8" ht="20" x14ac:dyDescent="0.4">
      <c r="A105" s="881"/>
      <c r="B105" s="901"/>
      <c r="C105" s="881"/>
      <c r="D105" s="881"/>
      <c r="E105" s="881"/>
      <c r="F105" s="881"/>
      <c r="G105" s="881"/>
      <c r="H105" s="881"/>
    </row>
  </sheetData>
  <mergeCells count="10">
    <mergeCell ref="AE2:AG3"/>
    <mergeCell ref="B93:H93"/>
    <mergeCell ref="B94:H94"/>
    <mergeCell ref="B79:H79"/>
    <mergeCell ref="B62:H62"/>
    <mergeCell ref="R26:T26"/>
    <mergeCell ref="B78:H78"/>
    <mergeCell ref="B2:H3"/>
    <mergeCell ref="R25:T25"/>
    <mergeCell ref="B63:H63"/>
  </mergeCells>
  <printOptions horizontalCentered="1"/>
  <pageMargins left="0.5" right="0.5" top="1" bottom="0.5" header="0.3" footer="0.511811023622047"/>
  <pageSetup paperSize="9" scale="33"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rgb="FFBF9000"/>
    <pageSetUpPr fitToPage="1"/>
  </sheetPr>
  <dimension ref="A1:AT80"/>
  <sheetViews>
    <sheetView zoomScale="70" zoomScaleNormal="70" workbookViewId="0">
      <selection activeCell="T28" sqref="S28:T30"/>
    </sheetView>
  </sheetViews>
  <sheetFormatPr defaultColWidth="12.5" defaultRowHeight="14" x14ac:dyDescent="0.3"/>
  <cols>
    <col min="1" max="1" width="12.5" style="79" customWidth="1"/>
    <col min="2" max="2" width="29.75" style="14" customWidth="1"/>
    <col min="3" max="3" width="23.9140625" style="14" customWidth="1"/>
    <col min="4" max="4" width="19" style="14" customWidth="1"/>
    <col min="5" max="5" width="16.1640625" style="297" customWidth="1"/>
    <col min="6" max="6" width="23.08203125" style="14" customWidth="1"/>
    <col min="7" max="7" width="25.1640625" style="14" customWidth="1"/>
    <col min="8" max="8" width="36.1640625" style="14" customWidth="1"/>
    <col min="9" max="9" width="12.5" style="14" customWidth="1"/>
    <col min="10" max="10" width="12.75" style="14" customWidth="1"/>
    <col min="11" max="11" width="12.5" style="14" customWidth="1"/>
    <col min="12" max="12" width="8.33203125" style="14" customWidth="1"/>
    <col min="13" max="14" width="3.4140625" style="14" customWidth="1"/>
    <col min="15" max="17" width="12.5" style="14" customWidth="1"/>
    <col min="18" max="18" width="32.33203125" style="14" customWidth="1"/>
    <col min="19" max="27" width="12.5" style="14" customWidth="1"/>
    <col min="28" max="28" width="7.1640625" style="14" bestFit="1" customWidth="1"/>
    <col min="29" max="35" width="12.5" style="14" customWidth="1"/>
    <col min="36" max="36" width="33.83203125" style="14" customWidth="1"/>
    <col min="37" max="37" width="12.5" style="14" customWidth="1"/>
    <col min="38" max="16384" width="12.5" style="14"/>
  </cols>
  <sheetData>
    <row r="1" spans="1:46" ht="35.25" customHeight="1" x14ac:dyDescent="0.3">
      <c r="B1" s="80" t="s">
        <v>243</v>
      </c>
      <c r="C1" s="81">
        <v>1000</v>
      </c>
      <c r="D1" s="82" t="s">
        <v>244</v>
      </c>
      <c r="E1" s="83">
        <f>T32</f>
        <v>5943.2768264999995</v>
      </c>
      <c r="F1" s="386" t="s">
        <v>245</v>
      </c>
      <c r="G1" s="289">
        <f>E1/C1</f>
        <v>5.9432768264999991</v>
      </c>
      <c r="H1" s="80" t="s">
        <v>246</v>
      </c>
      <c r="I1" s="85">
        <f>G1</f>
        <v>5.9432768264999991</v>
      </c>
      <c r="J1" s="86" t="s">
        <v>561</v>
      </c>
      <c r="K1" s="400">
        <v>0.6</v>
      </c>
      <c r="L1" s="400"/>
      <c r="M1" s="89"/>
      <c r="N1" s="90"/>
      <c r="O1" s="91" t="s">
        <v>248</v>
      </c>
      <c r="P1" s="92" t="s">
        <v>311</v>
      </c>
      <c r="Q1" s="93" t="s">
        <v>250</v>
      </c>
      <c r="R1" s="92">
        <v>0.78</v>
      </c>
      <c r="Y1" s="91" t="s">
        <v>479</v>
      </c>
      <c r="Z1" s="847">
        <v>36050</v>
      </c>
      <c r="AA1" s="91" t="s">
        <v>600</v>
      </c>
      <c r="AB1" s="847">
        <v>1000</v>
      </c>
      <c r="AC1" s="91" t="s">
        <v>587</v>
      </c>
      <c r="AD1" s="847">
        <v>237</v>
      </c>
      <c r="AE1" s="250"/>
      <c r="AF1" s="252"/>
      <c r="AG1" s="92"/>
      <c r="AI1" s="79"/>
      <c r="AJ1" s="110" t="s">
        <v>262</v>
      </c>
      <c r="AK1" s="94">
        <v>10000</v>
      </c>
      <c r="AL1" s="628" t="s">
        <v>520</v>
      </c>
      <c r="AM1" s="629">
        <f>$S$32</f>
        <v>31106.698349999999</v>
      </c>
      <c r="AN1" s="94" t="s">
        <v>251</v>
      </c>
      <c r="AO1" s="96">
        <f>($S$32/$R$1)/$AK$1</f>
        <v>3.9880382499999998</v>
      </c>
      <c r="AP1" s="95"/>
    </row>
    <row r="2" spans="1:46" ht="12.75" customHeight="1" x14ac:dyDescent="0.3">
      <c r="A2" s="97"/>
      <c r="B2" s="1460" t="s">
        <v>392</v>
      </c>
      <c r="C2" s="1460"/>
      <c r="D2" s="1460"/>
      <c r="E2" s="1460"/>
      <c r="F2" s="1460"/>
      <c r="G2" s="1460"/>
      <c r="H2" s="1460"/>
      <c r="I2" s="293"/>
      <c r="J2" s="293"/>
      <c r="K2" s="293"/>
      <c r="L2" s="293"/>
      <c r="M2" s="131"/>
      <c r="N2" s="131"/>
      <c r="O2" s="100"/>
      <c r="P2" s="100"/>
      <c r="Q2" s="100"/>
      <c r="R2" s="100"/>
      <c r="AC2" s="99"/>
      <c r="AD2" s="99"/>
      <c r="AE2" s="1391"/>
      <c r="AF2" s="1389"/>
      <c r="AG2" s="1389"/>
      <c r="AI2" s="79"/>
      <c r="AJ2" s="101"/>
      <c r="AK2" s="1386" t="s">
        <v>392</v>
      </c>
      <c r="AL2" s="1386"/>
      <c r="AM2" s="1386"/>
      <c r="AN2" s="102"/>
      <c r="AO2" s="101"/>
      <c r="AP2" s="101"/>
    </row>
    <row r="3" spans="1:46" ht="12.75" customHeight="1" x14ac:dyDescent="0.3">
      <c r="A3" s="97"/>
      <c r="B3" s="1387"/>
      <c r="C3" s="1387"/>
      <c r="D3" s="1387"/>
      <c r="E3" s="1387"/>
      <c r="F3" s="1387"/>
      <c r="G3" s="1387"/>
      <c r="H3" s="1387"/>
      <c r="I3" s="293"/>
      <c r="J3" s="293"/>
      <c r="K3" s="293"/>
      <c r="L3" s="293"/>
      <c r="M3" s="131"/>
      <c r="N3" s="131"/>
      <c r="O3" s="100"/>
      <c r="P3" s="100"/>
      <c r="Q3" s="100"/>
      <c r="R3" s="100"/>
      <c r="AC3" s="99"/>
      <c r="AD3" s="99"/>
      <c r="AE3" s="1389"/>
      <c r="AF3" s="1389"/>
      <c r="AG3" s="1389"/>
      <c r="AI3" s="79"/>
      <c r="AJ3" s="104"/>
      <c r="AK3" s="104"/>
      <c r="AL3" s="105"/>
      <c r="AM3" s="105"/>
      <c r="AN3" s="105"/>
      <c r="AO3" s="104"/>
      <c r="AP3" s="104"/>
    </row>
    <row r="4" spans="1:46" ht="69" customHeight="1" x14ac:dyDescent="0.3">
      <c r="A4" s="91" t="s">
        <v>1</v>
      </c>
      <c r="B4" s="91" t="s">
        <v>253</v>
      </c>
      <c r="C4" s="107" t="s">
        <v>254</v>
      </c>
      <c r="D4" s="91" t="s">
        <v>243</v>
      </c>
      <c r="E4" s="108" t="s">
        <v>246</v>
      </c>
      <c r="F4" s="108" t="s">
        <v>255</v>
      </c>
      <c r="G4" s="91" t="s">
        <v>256</v>
      </c>
      <c r="H4" s="109" t="s">
        <v>257</v>
      </c>
      <c r="I4" s="91" t="s">
        <v>258</v>
      </c>
      <c r="J4" s="91" t="s">
        <v>259</v>
      </c>
      <c r="K4" s="91" t="s">
        <v>260</v>
      </c>
      <c r="L4" s="91" t="s">
        <v>261</v>
      </c>
      <c r="M4" s="131"/>
      <c r="N4" s="131"/>
      <c r="O4" s="100"/>
      <c r="P4" s="100"/>
      <c r="Q4" s="100"/>
      <c r="R4" s="100"/>
      <c r="AC4" s="251"/>
      <c r="AD4" s="253"/>
      <c r="AE4" s="251"/>
      <c r="AF4" s="251"/>
      <c r="AG4" s="251"/>
      <c r="AI4" s="79"/>
      <c r="AJ4" s="110" t="s">
        <v>253</v>
      </c>
      <c r="AK4" s="111" t="s">
        <v>254</v>
      </c>
      <c r="AL4" s="110" t="s">
        <v>262</v>
      </c>
      <c r="AM4" s="110" t="s">
        <v>246</v>
      </c>
      <c r="AN4" s="110" t="s">
        <v>255</v>
      </c>
      <c r="AO4" s="110" t="s">
        <v>256</v>
      </c>
      <c r="AP4" s="112" t="s">
        <v>257</v>
      </c>
      <c r="AQ4" s="91" t="s">
        <v>258</v>
      </c>
      <c r="AR4" s="91" t="s">
        <v>259</v>
      </c>
      <c r="AS4" s="91" t="s">
        <v>260</v>
      </c>
      <c r="AT4" s="91" t="s">
        <v>261</v>
      </c>
    </row>
    <row r="5" spans="1:46" ht="14.25" customHeight="1" x14ac:dyDescent="0.3">
      <c r="A5" s="266" t="s">
        <v>230</v>
      </c>
      <c r="B5" s="309" t="s">
        <v>229</v>
      </c>
      <c r="C5" s="115" t="s">
        <v>14</v>
      </c>
      <c r="D5" s="121">
        <f>I51/10</f>
        <v>4999.3589743589746</v>
      </c>
      <c r="E5" s="117">
        <f>H52</f>
        <v>7.9770992050262848</v>
      </c>
      <c r="F5" s="127">
        <v>1</v>
      </c>
      <c r="G5" s="121">
        <f>D5*E5</f>
        <v>39880.3825</v>
      </c>
      <c r="H5" s="120">
        <f>G5*F5</f>
        <v>39880.3825</v>
      </c>
      <c r="I5" s="81">
        <f>VLOOKUP(B5,All_Ingredients!$A$1:$F$151,6,FALSE())</f>
        <v>0.86</v>
      </c>
      <c r="J5" s="121">
        <f>VLOOKUP(B5,All_Ingredients!$A$1:$J$151,10,FALSE())</f>
        <v>17.100000000000001</v>
      </c>
      <c r="K5" s="122">
        <f>(H5/I5)/1000</f>
        <v>46.37253779069767</v>
      </c>
      <c r="L5" s="122">
        <f>K5*J5</f>
        <v>792.97039622093018</v>
      </c>
      <c r="O5" s="100"/>
      <c r="P5" s="100"/>
      <c r="Q5" s="100"/>
      <c r="R5" s="100"/>
      <c r="AC5" s="92"/>
      <c r="AD5" s="133"/>
      <c r="AE5" s="254"/>
      <c r="AF5" s="135"/>
      <c r="AG5" s="136"/>
      <c r="AI5" s="79"/>
      <c r="AJ5" s="123" t="s">
        <v>229</v>
      </c>
      <c r="AK5" s="124" t="s">
        <v>238</v>
      </c>
      <c r="AL5" s="116">
        <v>10</v>
      </c>
      <c r="AM5" s="126">
        <f t="shared" ref="AM5:AM16" si="0">$AO$1</f>
        <v>3.9880382499999998</v>
      </c>
      <c r="AN5" s="127">
        <v>1</v>
      </c>
      <c r="AO5" s="121">
        <f t="shared" ref="AO5:AO15" si="1">AL5*AM5</f>
        <v>39.880382499999996</v>
      </c>
      <c r="AP5" s="120">
        <f t="shared" ref="AP5:AP15" si="2">AO5*AN5</f>
        <v>39.880382499999996</v>
      </c>
      <c r="AQ5" s="295"/>
      <c r="AR5" s="1171"/>
      <c r="AS5" s="175"/>
      <c r="AT5" s="1172"/>
    </row>
    <row r="6" spans="1:46" ht="14.25" customHeight="1" x14ac:dyDescent="0.3">
      <c r="A6" s="128" t="s">
        <v>192</v>
      </c>
      <c r="B6" s="222" t="s">
        <v>194</v>
      </c>
      <c r="C6" s="124" t="s">
        <v>14</v>
      </c>
      <c r="D6" s="692">
        <f>600/K1</f>
        <v>1000</v>
      </c>
      <c r="E6" s="126">
        <f>$I$1</f>
        <v>5.9432768264999991</v>
      </c>
      <c r="F6" s="127">
        <v>1</v>
      </c>
      <c r="G6" s="121">
        <f>D6*E6</f>
        <v>5943.2768264999995</v>
      </c>
      <c r="H6" s="120">
        <f>G6*F6</f>
        <v>5943.2768264999995</v>
      </c>
      <c r="I6" s="81">
        <f>VLOOKUP(B6,All_Ingredients!$A$1:$F$151,6,FALSE())</f>
        <v>1</v>
      </c>
      <c r="J6" s="121">
        <f>VLOOKUP(B6,All_Ingredients!$A$1:$J$151,10,FALSE())</f>
        <v>8.5</v>
      </c>
      <c r="K6" s="122">
        <f t="shared" ref="K6:K8" si="3">(H6/I6)/1000</f>
        <v>5.9432768264999991</v>
      </c>
      <c r="L6" s="122">
        <f t="shared" ref="L6:L8" si="4">K6*J6</f>
        <v>50.517853025249991</v>
      </c>
      <c r="AI6" s="79" t="s">
        <v>57</v>
      </c>
      <c r="AJ6" s="323" t="s">
        <v>56</v>
      </c>
      <c r="AK6" s="124" t="s">
        <v>14</v>
      </c>
      <c r="AL6" s="116">
        <v>100</v>
      </c>
      <c r="AM6" s="126">
        <f t="shared" si="0"/>
        <v>3.9880382499999998</v>
      </c>
      <c r="AN6" s="127">
        <v>1</v>
      </c>
      <c r="AO6" s="121">
        <f t="shared" si="1"/>
        <v>398.80382499999996</v>
      </c>
      <c r="AP6" s="120">
        <f t="shared" si="2"/>
        <v>398.80382499999996</v>
      </c>
      <c r="AQ6" s="1172">
        <f>VLOOKUP(AJ6,Marination_Ordering!$A:$J,6,FALSE)</f>
        <v>0.87</v>
      </c>
      <c r="AR6" s="1172">
        <f>VLOOKUP(AJ6,Marination_Ordering!$A:$J,10,FALSE)</f>
        <v>3.2</v>
      </c>
      <c r="AS6" s="175">
        <f>AP6/AQ6</f>
        <v>458.39520114942525</v>
      </c>
      <c r="AT6" s="1172">
        <f>AR6*(AS6/1000)</f>
        <v>1.4668646436781607</v>
      </c>
    </row>
    <row r="7" spans="1:46" ht="14.25" customHeight="1" x14ac:dyDescent="0.3">
      <c r="A7" s="128" t="s">
        <v>183</v>
      </c>
      <c r="B7" s="222" t="s">
        <v>182</v>
      </c>
      <c r="C7" s="124" t="s">
        <v>14</v>
      </c>
      <c r="D7" s="692">
        <f>400/K1</f>
        <v>666.66666666666674</v>
      </c>
      <c r="E7" s="126">
        <f>$I$1</f>
        <v>5.9432768264999991</v>
      </c>
      <c r="F7" s="127">
        <v>1</v>
      </c>
      <c r="G7" s="121">
        <f>D7*E7</f>
        <v>3962.1845509999998</v>
      </c>
      <c r="H7" s="120">
        <f>G7*F7</f>
        <v>3962.1845509999998</v>
      </c>
      <c r="I7" s="81">
        <f>VLOOKUP(B7,All_Ingredients!$A$1:$F$151,6,FALSE())</f>
        <v>1</v>
      </c>
      <c r="J7" s="121">
        <f>VLOOKUP(B7,All_Ingredients!$A$1:$J$151,10,FALSE())</f>
        <v>39</v>
      </c>
      <c r="K7" s="122">
        <f t="shared" si="3"/>
        <v>3.962184551</v>
      </c>
      <c r="L7" s="122">
        <f t="shared" si="4"/>
        <v>154.52519748899999</v>
      </c>
      <c r="AI7" s="79" t="s">
        <v>13</v>
      </c>
      <c r="AJ7" s="323" t="s">
        <v>792</v>
      </c>
      <c r="AK7" s="124" t="s">
        <v>14</v>
      </c>
      <c r="AL7" s="116">
        <v>100</v>
      </c>
      <c r="AM7" s="126">
        <f t="shared" si="0"/>
        <v>3.9880382499999998</v>
      </c>
      <c r="AN7" s="127">
        <v>1</v>
      </c>
      <c r="AO7" s="121">
        <f t="shared" si="1"/>
        <v>398.80382499999996</v>
      </c>
      <c r="AP7" s="120">
        <f t="shared" si="2"/>
        <v>398.80382499999996</v>
      </c>
      <c r="AQ7" s="1172">
        <f>VLOOKUP(AJ7,Marination_Ordering!$A:$J,6,FALSE)</f>
        <v>1</v>
      </c>
      <c r="AR7" s="1172">
        <f>VLOOKUP(AJ7,Marination_Ordering!$A:$J,10,FALSE)</f>
        <v>10.5</v>
      </c>
      <c r="AS7" s="175">
        <f t="shared" ref="AS7:AS9" si="5">AP7/AQ7</f>
        <v>398.80382499999996</v>
      </c>
      <c r="AT7" s="1172">
        <f t="shared" ref="AT7:AT9" si="6">AR7*(AS7/1000)</f>
        <v>4.1874401624999997</v>
      </c>
    </row>
    <row r="8" spans="1:46" ht="14.25" customHeight="1" x14ac:dyDescent="0.3">
      <c r="A8" s="128" t="s">
        <v>97</v>
      </c>
      <c r="B8" s="222" t="s">
        <v>114</v>
      </c>
      <c r="C8" s="124" t="s">
        <v>14</v>
      </c>
      <c r="D8" s="692">
        <f>20/K1</f>
        <v>33.333333333333336</v>
      </c>
      <c r="E8" s="126">
        <f>$I$1</f>
        <v>5.9432768264999991</v>
      </c>
      <c r="F8" s="127">
        <v>0.75</v>
      </c>
      <c r="G8" s="121">
        <f>D8*E8</f>
        <v>198.10922754999999</v>
      </c>
      <c r="H8" s="120">
        <f>G8*F8</f>
        <v>148.58192066249998</v>
      </c>
      <c r="I8" s="81">
        <f>VLOOKUP(B8,All_Ingredients!$A$1:$F$151,6,FALSE())</f>
        <v>1</v>
      </c>
      <c r="J8" s="121">
        <f>VLOOKUP(B8,All_Ingredients!$A$1:$J$151,10,FALSE())</f>
        <v>64.243759177679877</v>
      </c>
      <c r="K8" s="122">
        <f t="shared" si="3"/>
        <v>0.14858192066249998</v>
      </c>
      <c r="L8" s="122">
        <f t="shared" si="4"/>
        <v>9.5454611291987863</v>
      </c>
      <c r="P8" s="402">
        <v>24350</v>
      </c>
      <c r="AI8" s="79" t="s">
        <v>210</v>
      </c>
      <c r="AJ8" s="323" t="s">
        <v>219</v>
      </c>
      <c r="AK8" s="124" t="s">
        <v>165</v>
      </c>
      <c r="AL8" s="116">
        <v>500</v>
      </c>
      <c r="AM8" s="126">
        <f t="shared" si="0"/>
        <v>3.9880382499999998</v>
      </c>
      <c r="AN8" s="127">
        <v>1</v>
      </c>
      <c r="AO8" s="121">
        <f t="shared" si="1"/>
        <v>1994.0191249999998</v>
      </c>
      <c r="AP8" s="120">
        <f t="shared" si="2"/>
        <v>1994.0191249999998</v>
      </c>
      <c r="AQ8" s="1172">
        <f>VLOOKUP(AJ8,Marination_Ordering!$A:$J,6,FALSE)</f>
        <v>1</v>
      </c>
      <c r="AR8" s="1172">
        <f>VLOOKUP(AJ8,Marination_Ordering!$A:$J,10,FALSE)</f>
        <v>5</v>
      </c>
      <c r="AS8" s="175">
        <f t="shared" si="5"/>
        <v>1994.0191249999998</v>
      </c>
      <c r="AT8" s="1172">
        <f t="shared" si="6"/>
        <v>9.970095624999999</v>
      </c>
    </row>
    <row r="9" spans="1:46" ht="14.25" customHeight="1" x14ac:dyDescent="0.3">
      <c r="B9" s="171"/>
      <c r="C9" s="171"/>
      <c r="D9" s="171"/>
      <c r="E9" s="171"/>
      <c r="F9" s="171"/>
      <c r="G9" s="171"/>
      <c r="H9" s="171"/>
      <c r="I9" s="171"/>
      <c r="J9" s="171"/>
      <c r="K9" s="171"/>
      <c r="L9" s="297"/>
      <c r="P9" s="402">
        <v>36610</v>
      </c>
      <c r="AI9" s="79" t="s">
        <v>210</v>
      </c>
      <c r="AJ9" s="323" t="s">
        <v>215</v>
      </c>
      <c r="AK9" s="124" t="s">
        <v>165</v>
      </c>
      <c r="AL9" s="223">
        <v>200</v>
      </c>
      <c r="AM9" s="126">
        <f t="shared" si="0"/>
        <v>3.9880382499999998</v>
      </c>
      <c r="AN9" s="127">
        <v>1</v>
      </c>
      <c r="AO9" s="121">
        <f t="shared" si="1"/>
        <v>797.60764999999992</v>
      </c>
      <c r="AP9" s="120">
        <f t="shared" si="2"/>
        <v>797.60764999999992</v>
      </c>
      <c r="AQ9" s="1172">
        <f>VLOOKUP(AJ9,Marination_Ordering!$A:$J,6,FALSE)</f>
        <v>1</v>
      </c>
      <c r="AR9" s="1172">
        <f>VLOOKUP(AJ9,Marination_Ordering!$A:$J,10,FALSE)</f>
        <v>2.1621621621621623</v>
      </c>
      <c r="AS9" s="175">
        <f t="shared" si="5"/>
        <v>797.60764999999992</v>
      </c>
      <c r="AT9" s="1172">
        <f t="shared" si="6"/>
        <v>1.7245570810810809</v>
      </c>
    </row>
    <row r="10" spans="1:46" ht="14.25" customHeight="1" x14ac:dyDescent="0.3">
      <c r="B10" s="100"/>
      <c r="C10" s="171"/>
      <c r="D10" s="171"/>
      <c r="E10" s="346"/>
      <c r="F10" s="100"/>
      <c r="G10" s="171"/>
      <c r="L10" s="297"/>
      <c r="M10" s="298"/>
      <c r="P10" s="402">
        <v>47350</v>
      </c>
      <c r="AI10" s="79" t="s">
        <v>97</v>
      </c>
      <c r="AJ10" s="323" t="s">
        <v>96</v>
      </c>
      <c r="AK10" s="124" t="s">
        <v>14</v>
      </c>
      <c r="AL10" s="116">
        <v>25</v>
      </c>
      <c r="AM10" s="126">
        <f t="shared" si="0"/>
        <v>3.9880382499999998</v>
      </c>
      <c r="AN10" s="127">
        <v>1</v>
      </c>
      <c r="AO10" s="121">
        <f t="shared" si="1"/>
        <v>99.70095624999999</v>
      </c>
      <c r="AP10" s="120">
        <f t="shared" si="2"/>
        <v>99.70095624999999</v>
      </c>
      <c r="AQ10" s="1172">
        <f>VLOOKUP(AJ10,Marination_Ordering!$A:$J,6,FALSE)</f>
        <v>1</v>
      </c>
      <c r="AR10" s="1172">
        <f>VLOOKUP(AJ10,Marination_Ordering!$A:$J,10,FALSE)</f>
        <v>0.74</v>
      </c>
      <c r="AS10" s="175">
        <f t="shared" ref="AS10:AS16" si="7">AP10/AQ10</f>
        <v>99.70095624999999</v>
      </c>
      <c r="AT10" s="1172">
        <f t="shared" ref="AT10:AT16" si="8">AR10*(AS10/1000)</f>
        <v>7.3778707624999995E-2</v>
      </c>
    </row>
    <row r="11" spans="1:46" ht="14.25" customHeight="1" x14ac:dyDescent="0.3">
      <c r="L11" s="297"/>
      <c r="AI11" s="79" t="s">
        <v>97</v>
      </c>
      <c r="AJ11" s="374" t="s">
        <v>114</v>
      </c>
      <c r="AK11" s="124" t="s">
        <v>14</v>
      </c>
      <c r="AL11" s="116">
        <v>25</v>
      </c>
      <c r="AM11" s="126">
        <f t="shared" si="0"/>
        <v>3.9880382499999998</v>
      </c>
      <c r="AN11" s="127">
        <v>1</v>
      </c>
      <c r="AO11" s="121">
        <f t="shared" si="1"/>
        <v>99.70095624999999</v>
      </c>
      <c r="AP11" s="120">
        <f t="shared" si="2"/>
        <v>99.70095624999999</v>
      </c>
      <c r="AQ11" s="1172">
        <f>VLOOKUP(AJ11,Marination_Ordering!$A:$J,6,FALSE)</f>
        <v>1</v>
      </c>
      <c r="AR11" s="1172">
        <f>VLOOKUP(AJ11,Marination_Ordering!$A:$J,10,FALSE)</f>
        <v>64.243759177679877</v>
      </c>
      <c r="AS11" s="175">
        <f t="shared" si="7"/>
        <v>99.70095624999999</v>
      </c>
      <c r="AT11" s="1172">
        <f t="shared" si="8"/>
        <v>6.4051642231093968</v>
      </c>
    </row>
    <row r="12" spans="1:46" ht="29.75" customHeight="1" x14ac:dyDescent="0.3">
      <c r="L12" s="297"/>
      <c r="AI12" s="79" t="s">
        <v>97</v>
      </c>
      <c r="AJ12" s="323" t="s">
        <v>108</v>
      </c>
      <c r="AK12" s="124" t="s">
        <v>14</v>
      </c>
      <c r="AL12" s="116">
        <v>30</v>
      </c>
      <c r="AM12" s="126">
        <f t="shared" si="0"/>
        <v>3.9880382499999998</v>
      </c>
      <c r="AN12" s="127">
        <v>1</v>
      </c>
      <c r="AO12" s="121">
        <f t="shared" si="1"/>
        <v>119.64114749999999</v>
      </c>
      <c r="AP12" s="120">
        <f t="shared" si="2"/>
        <v>119.64114749999999</v>
      </c>
      <c r="AQ12" s="1172">
        <f>VLOOKUP(AJ12,Marination_Ordering!$A:$J,6,FALSE)</f>
        <v>1</v>
      </c>
      <c r="AR12" s="1172">
        <f>VLOOKUP(AJ12,Marination_Ordering!$A:$J,10,FALSE)</f>
        <v>15</v>
      </c>
      <c r="AS12" s="175">
        <f t="shared" si="7"/>
        <v>119.64114749999999</v>
      </c>
      <c r="AT12" s="1172">
        <f t="shared" si="8"/>
        <v>1.7946172124999999</v>
      </c>
    </row>
    <row r="13" spans="1:46" ht="14.25" customHeight="1" x14ac:dyDescent="0.3">
      <c r="L13" s="297"/>
      <c r="P13" s="14" t="s">
        <v>371</v>
      </c>
      <c r="Q13" s="14" t="s">
        <v>387</v>
      </c>
      <c r="R13" s="14" t="s">
        <v>388</v>
      </c>
      <c r="S13" s="14" t="s">
        <v>389</v>
      </c>
      <c r="T13" s="14" t="s">
        <v>6</v>
      </c>
      <c r="AI13" s="79" t="s">
        <v>97</v>
      </c>
      <c r="AJ13" s="412" t="s">
        <v>110</v>
      </c>
      <c r="AK13" s="124" t="s">
        <v>14</v>
      </c>
      <c r="AL13" s="125">
        <v>40</v>
      </c>
      <c r="AM13" s="126">
        <f t="shared" si="0"/>
        <v>3.9880382499999998</v>
      </c>
      <c r="AN13" s="127">
        <v>1</v>
      </c>
      <c r="AO13" s="121">
        <f t="shared" si="1"/>
        <v>159.52152999999998</v>
      </c>
      <c r="AP13" s="120">
        <f t="shared" si="2"/>
        <v>159.52152999999998</v>
      </c>
      <c r="AQ13" s="1172">
        <f>VLOOKUP(AJ13,Marination_Ordering!$A:$J,6,FALSE)</f>
        <v>1</v>
      </c>
      <c r="AR13" s="1172">
        <f>VLOOKUP(AJ13,Marination_Ordering!$A:$J,10,FALSE)</f>
        <v>8</v>
      </c>
      <c r="AS13" s="175">
        <f t="shared" si="7"/>
        <v>159.52152999999998</v>
      </c>
      <c r="AT13" s="1172">
        <f t="shared" si="8"/>
        <v>1.27617224</v>
      </c>
    </row>
    <row r="14" spans="1:46" ht="14.25" customHeight="1" x14ac:dyDescent="0.3">
      <c r="L14" s="297"/>
      <c r="P14" s="413">
        <v>41100</v>
      </c>
      <c r="Q14" s="413">
        <v>10540</v>
      </c>
      <c r="R14" s="413">
        <f>P14+Q14</f>
        <v>51640</v>
      </c>
      <c r="S14" s="14">
        <v>39100</v>
      </c>
      <c r="T14" s="298">
        <f>S14/R14</f>
        <v>0.75716498838109991</v>
      </c>
      <c r="AI14" s="79" t="s">
        <v>97</v>
      </c>
      <c r="AJ14" s="412" t="s">
        <v>126</v>
      </c>
      <c r="AK14" s="124" t="s">
        <v>14</v>
      </c>
      <c r="AL14" s="224">
        <v>5</v>
      </c>
      <c r="AM14" s="126">
        <f t="shared" si="0"/>
        <v>3.9880382499999998</v>
      </c>
      <c r="AN14" s="127">
        <v>1</v>
      </c>
      <c r="AO14" s="121">
        <f t="shared" si="1"/>
        <v>19.940191249999998</v>
      </c>
      <c r="AP14" s="120">
        <f t="shared" si="2"/>
        <v>19.940191249999998</v>
      </c>
      <c r="AQ14" s="1172">
        <f>VLOOKUP(AJ14,Marination_Ordering!$A:$J,6,FALSE)</f>
        <v>1</v>
      </c>
      <c r="AR14" s="1172">
        <f>VLOOKUP(AJ14,Marination_Ordering!$A:$J,10,FALSE)</f>
        <v>14</v>
      </c>
      <c r="AS14" s="175">
        <f t="shared" si="7"/>
        <v>19.940191249999998</v>
      </c>
      <c r="AT14" s="1172">
        <f t="shared" si="8"/>
        <v>0.27916267750000001</v>
      </c>
    </row>
    <row r="15" spans="1:46" ht="14.25" customHeight="1" x14ac:dyDescent="0.3">
      <c r="L15" s="297"/>
      <c r="AI15" s="79" t="s">
        <v>97</v>
      </c>
      <c r="AJ15" s="412" t="s">
        <v>117</v>
      </c>
      <c r="AK15" s="124" t="s">
        <v>14</v>
      </c>
      <c r="AL15" s="224">
        <v>25</v>
      </c>
      <c r="AM15" s="126">
        <f t="shared" si="0"/>
        <v>3.9880382499999998</v>
      </c>
      <c r="AN15" s="127">
        <v>1</v>
      </c>
      <c r="AO15" s="121">
        <f t="shared" si="1"/>
        <v>99.70095624999999</v>
      </c>
      <c r="AP15" s="120">
        <f t="shared" si="2"/>
        <v>99.70095624999999</v>
      </c>
      <c r="AQ15" s="1172">
        <f>VLOOKUP(AJ15,Marination_Ordering!$A:$J,6,FALSE)</f>
        <v>1</v>
      </c>
      <c r="AR15" s="1172">
        <f>VLOOKUP(AJ15,Marination_Ordering!$A:$J,10,FALSE)</f>
        <v>20</v>
      </c>
      <c r="AS15" s="175">
        <f t="shared" si="7"/>
        <v>99.70095624999999</v>
      </c>
      <c r="AT15" s="1172">
        <f t="shared" si="8"/>
        <v>1.9940191249999997</v>
      </c>
    </row>
    <row r="16" spans="1:46" ht="14.25" customHeight="1" x14ac:dyDescent="0.3">
      <c r="L16" s="297"/>
      <c r="P16" s="14">
        <f>P14/R14</f>
        <v>0.79589465530596437</v>
      </c>
      <c r="Q16" s="14">
        <f>Q14/R14</f>
        <v>0.20410534469403563</v>
      </c>
      <c r="AJ16" s="412" t="s">
        <v>815</v>
      </c>
      <c r="AK16" s="124" t="s">
        <v>14</v>
      </c>
      <c r="AL16" s="224">
        <v>3</v>
      </c>
      <c r="AM16" s="126">
        <f t="shared" si="0"/>
        <v>3.9880382499999998</v>
      </c>
      <c r="AN16" s="127">
        <v>1</v>
      </c>
      <c r="AO16" s="121">
        <f>AL16*AM16</f>
        <v>11.96411475</v>
      </c>
      <c r="AP16" s="120">
        <f>AO16*AN16</f>
        <v>11.96411475</v>
      </c>
      <c r="AQ16" s="1172">
        <f>VLOOKUP(AJ16,Marination_Ordering!$A:$J,6,FALSE)</f>
        <v>1</v>
      </c>
      <c r="AR16" s="1172">
        <f>VLOOKUP(AJ16,Marination_Ordering!$A:$J,10,FALSE)</f>
        <v>22.5</v>
      </c>
      <c r="AS16" s="175">
        <f t="shared" si="7"/>
        <v>11.96411475</v>
      </c>
      <c r="AT16" s="1172">
        <f t="shared" si="8"/>
        <v>0.269192581875</v>
      </c>
    </row>
    <row r="19" spans="18:31" ht="14.25" customHeight="1" x14ac:dyDescent="0.3">
      <c r="R19" s="414" t="s">
        <v>390</v>
      </c>
    </row>
    <row r="23" spans="18:31" ht="14.25" customHeight="1" x14ac:dyDescent="0.3"/>
    <row r="24" spans="18:31" ht="14.25" customHeight="1" x14ac:dyDescent="0.3">
      <c r="Z24" s="1234"/>
    </row>
    <row r="25" spans="18:31" ht="14.25" customHeight="1" x14ac:dyDescent="0.35">
      <c r="R25" s="1411" t="s">
        <v>392</v>
      </c>
      <c r="S25" s="1388"/>
      <c r="T25" s="1388"/>
      <c r="U25" s="1388"/>
      <c r="V25" s="1151"/>
      <c r="Z25" s="141" t="s">
        <v>264</v>
      </c>
      <c r="AA25" s="142">
        <v>36190</v>
      </c>
      <c r="AB25" s="141" t="s">
        <v>261</v>
      </c>
      <c r="AC25" s="143">
        <f>(AA25)*AE30+(AA30*(AB28/R1))</f>
        <v>1028.9567559275356</v>
      </c>
    </row>
    <row r="26" spans="18:31" ht="14.25" customHeight="1" x14ac:dyDescent="0.3">
      <c r="R26" s="1423" t="s">
        <v>303</v>
      </c>
      <c r="S26" s="1388"/>
      <c r="T26" s="1388"/>
      <c r="U26" s="1388"/>
      <c r="V26" s="1151"/>
    </row>
    <row r="27" spans="18:31" ht="14" customHeight="1" thickBot="1" x14ac:dyDescent="0.35">
      <c r="R27" s="145" t="s">
        <v>266</v>
      </c>
      <c r="S27" s="146" t="s">
        <v>267</v>
      </c>
      <c r="T27" s="146" t="s">
        <v>391</v>
      </c>
      <c r="U27" s="146" t="s">
        <v>269</v>
      </c>
      <c r="V27" s="146" t="s">
        <v>839</v>
      </c>
      <c r="W27" s="146" t="s">
        <v>848</v>
      </c>
      <c r="Z27" s="141" t="s">
        <v>270</v>
      </c>
      <c r="AA27" s="1185" t="s">
        <v>324</v>
      </c>
      <c r="AB27" s="147" t="s">
        <v>271</v>
      </c>
      <c r="AC27" s="147" t="s">
        <v>391</v>
      </c>
      <c r="AD27" s="1186" t="s">
        <v>848</v>
      </c>
      <c r="AE27" s="147" t="s">
        <v>274</v>
      </c>
    </row>
    <row r="28" spans="18:31" ht="16.25" customHeight="1" thickBot="1" x14ac:dyDescent="0.35">
      <c r="R28" s="148" t="s">
        <v>275</v>
      </c>
      <c r="S28" s="760">
        <f>U28*S40</f>
        <v>30267.111349999999</v>
      </c>
      <c r="T28" s="760">
        <f>U28*U40</f>
        <v>5782.8644964999994</v>
      </c>
      <c r="U28" s="766">
        <f>$Z$1</f>
        <v>36050</v>
      </c>
      <c r="V28" s="149">
        <f>SUM(AP5:AP13)</f>
        <v>4107.6793975000001</v>
      </c>
      <c r="W28" s="149">
        <f>H37</f>
        <v>237</v>
      </c>
      <c r="Z28" s="151"/>
      <c r="AA28" s="1188"/>
      <c r="AB28" s="152">
        <f>AA25*S40</f>
        <v>30384.65353</v>
      </c>
      <c r="AC28" s="152">
        <f>AA25*U40</f>
        <v>5805.3222226999997</v>
      </c>
      <c r="AD28" s="1188"/>
      <c r="AE28" s="154">
        <f>SUM(AB28:AC28)</f>
        <v>36189.975752699997</v>
      </c>
    </row>
    <row r="29" spans="18:31" ht="17.25" customHeight="1" thickBot="1" x14ac:dyDescent="0.35">
      <c r="R29" s="148" t="s">
        <v>276</v>
      </c>
      <c r="S29" s="762"/>
      <c r="T29" s="760"/>
      <c r="U29" s="149">
        <f>T29</f>
        <v>0</v>
      </c>
      <c r="V29" s="149"/>
      <c r="W29" s="149"/>
      <c r="Z29" s="151"/>
      <c r="AA29" s="1192"/>
      <c r="AB29" s="156">
        <f>AB28/$AE$28</f>
        <v>0.83958756252366695</v>
      </c>
      <c r="AC29" s="156">
        <f>AC28/$AE$28</f>
        <v>0.1604124374763331</v>
      </c>
      <c r="AD29" s="1192"/>
      <c r="AE29" s="156">
        <f>AE28/$AE$28</f>
        <v>1</v>
      </c>
    </row>
    <row r="30" spans="18:31" ht="14.25" customHeight="1" thickBot="1" x14ac:dyDescent="0.35">
      <c r="R30" s="148" t="s">
        <v>277</v>
      </c>
      <c r="S30" s="1362">
        <f>U30*S40</f>
        <v>839.58699999999999</v>
      </c>
      <c r="T30" s="1362">
        <f>U30*U40</f>
        <v>160.41233</v>
      </c>
      <c r="U30" s="766">
        <f>$AB$1</f>
        <v>1000</v>
      </c>
      <c r="V30" s="1143"/>
      <c r="W30" s="1143"/>
      <c r="Z30" s="141" t="s">
        <v>278</v>
      </c>
      <c r="AA30" s="1196">
        <f>V35/(S32/R1)</f>
        <v>7.3823425038284526E-4</v>
      </c>
      <c r="AB30" s="157">
        <f>S35/(S32)</f>
        <v>2.5491949910554562E-2</v>
      </c>
      <c r="AC30" s="157">
        <f>T35/(T32)</f>
        <v>3.6106093979441999E-2</v>
      </c>
      <c r="AD30" s="1199">
        <f>W35/U32</f>
        <v>4.4285269386483954E-4</v>
      </c>
      <c r="AE30" s="1201">
        <f>SUMPRODUCT(AB30:AC30,AB29:AC29)+AD30</f>
        <v>2.7637443326234603E-2</v>
      </c>
    </row>
    <row r="31" spans="18:31" ht="14.25" customHeight="1" thickBot="1" x14ac:dyDescent="0.35">
      <c r="R31" s="148" t="s">
        <v>279</v>
      </c>
      <c r="S31" s="155"/>
      <c r="T31" s="149"/>
      <c r="U31" s="149"/>
      <c r="V31" s="149"/>
      <c r="W31" s="149"/>
    </row>
    <row r="32" spans="18:31" ht="14.25" customHeight="1" thickBot="1" x14ac:dyDescent="0.35">
      <c r="R32" s="160" t="s">
        <v>269</v>
      </c>
      <c r="S32" s="149">
        <f>S28+S30</f>
        <v>31106.698349999999</v>
      </c>
      <c r="T32" s="149">
        <f>SUM(T28:T30)</f>
        <v>5943.2768264999995</v>
      </c>
      <c r="U32" s="149">
        <f>U28+U30</f>
        <v>37050</v>
      </c>
      <c r="V32" s="149"/>
      <c r="W32" s="149">
        <f>SUM(W28:W30)</f>
        <v>237</v>
      </c>
    </row>
    <row r="33" spans="2:23" ht="14.25" customHeight="1" thickBot="1" x14ac:dyDescent="0.35">
      <c r="R33" s="161" t="s">
        <v>280</v>
      </c>
      <c r="S33" s="155"/>
      <c r="T33" s="155"/>
      <c r="U33" s="155"/>
      <c r="V33" s="155"/>
      <c r="W33" s="155"/>
    </row>
    <row r="34" spans="2:23" ht="14.25" customHeight="1" thickBot="1" x14ac:dyDescent="0.35">
      <c r="R34" s="162" t="s">
        <v>281</v>
      </c>
      <c r="S34" s="155"/>
      <c r="T34" s="149"/>
      <c r="U34" s="155"/>
      <c r="V34" s="155"/>
      <c r="W34" s="155"/>
    </row>
    <row r="35" spans="2:23" ht="14.25" customHeight="1" thickBot="1" x14ac:dyDescent="0.35">
      <c r="B35" s="1394" t="s">
        <v>689</v>
      </c>
      <c r="C35" s="1394"/>
      <c r="D35" s="1394"/>
      <c r="E35" s="1394"/>
      <c r="F35" s="1394"/>
      <c r="G35" s="882"/>
      <c r="H35" s="882"/>
      <c r="I35" s="889"/>
      <c r="J35" s="889"/>
      <c r="K35" s="889"/>
      <c r="L35" s="889"/>
      <c r="R35" s="163" t="s">
        <v>261</v>
      </c>
      <c r="S35" s="1144">
        <f>$L$5</f>
        <v>792.97039622093018</v>
      </c>
      <c r="T35" s="1144">
        <f>SUM(L6:L8)</f>
        <v>214.58851164344878</v>
      </c>
      <c r="U35" s="1144">
        <f>S35+T35+V35+W35</f>
        <v>1053.4076644519398</v>
      </c>
      <c r="V35" s="1144">
        <f>SUM(AT6:AT16)</f>
        <v>29.441064279868641</v>
      </c>
      <c r="W35" s="1144">
        <f>L37</f>
        <v>16.407692307692304</v>
      </c>
    </row>
    <row r="36" spans="2:23" ht="46.5" x14ac:dyDescent="0.3">
      <c r="B36" s="860" t="s">
        <v>253</v>
      </c>
      <c r="C36" s="860" t="s">
        <v>329</v>
      </c>
      <c r="D36" s="862" t="s">
        <v>671</v>
      </c>
      <c r="E36" s="859" t="s">
        <v>672</v>
      </c>
      <c r="F36" s="862" t="s">
        <v>673</v>
      </c>
      <c r="G36" s="882"/>
      <c r="H36" s="862" t="s">
        <v>673</v>
      </c>
      <c r="I36" s="862" t="s">
        <v>258</v>
      </c>
      <c r="J36" s="862" t="s">
        <v>259</v>
      </c>
      <c r="K36" s="862" t="s">
        <v>260</v>
      </c>
      <c r="L36" s="862" t="s">
        <v>261</v>
      </c>
    </row>
    <row r="37" spans="2:23" x14ac:dyDescent="0.3">
      <c r="B37" s="855" t="s">
        <v>746</v>
      </c>
      <c r="C37" s="856" t="s">
        <v>14</v>
      </c>
      <c r="D37" s="857">
        <v>1</v>
      </c>
      <c r="E37" s="855">
        <f>$AD$1</f>
        <v>237</v>
      </c>
      <c r="F37" s="855">
        <f>D37*E37</f>
        <v>237</v>
      </c>
      <c r="H37" s="855">
        <f>F37</f>
        <v>237</v>
      </c>
      <c r="I37" s="855">
        <f>VLOOKUP(B37,All_Ingredients!$A$1:$F$151,6,FALSE())</f>
        <v>0.65</v>
      </c>
      <c r="J37" s="855">
        <f>VLOOKUP(B37,All_Ingredients!$A$1:$J$151,10,FALSE())</f>
        <v>45</v>
      </c>
      <c r="K37" s="855">
        <f>(H37/I37)/1000</f>
        <v>0.36461538461538456</v>
      </c>
      <c r="L37" s="855">
        <f t="shared" ref="L37" si="9">K37*J37</f>
        <v>16.407692307692304</v>
      </c>
    </row>
    <row r="38" spans="2:23" ht="14.25" customHeight="1" x14ac:dyDescent="0.3">
      <c r="U38" s="696"/>
    </row>
    <row r="39" spans="2:23" ht="14" customHeight="1" x14ac:dyDescent="0.3">
      <c r="S39" s="697"/>
    </row>
    <row r="40" spans="2:23" ht="16.5" customHeight="1" x14ac:dyDescent="0.3">
      <c r="R40" s="165" t="s">
        <v>282</v>
      </c>
      <c r="S40" s="239">
        <v>0.83958699999999997</v>
      </c>
      <c r="T40" s="165" t="s">
        <v>283</v>
      </c>
      <c r="U40" s="239">
        <v>0.16041232999999999</v>
      </c>
      <c r="V40" s="168">
        <f>S40+U40</f>
        <v>0.99999932999999996</v>
      </c>
    </row>
    <row r="41" spans="2:23" ht="14.25" customHeight="1" x14ac:dyDescent="0.3">
      <c r="U41" s="169"/>
    </row>
    <row r="42" spans="2:23" ht="14.25" customHeight="1" x14ac:dyDescent="0.3"/>
    <row r="43" spans="2:23" ht="14.25" customHeight="1" x14ac:dyDescent="0.3">
      <c r="Q43" s="170" t="s">
        <v>284</v>
      </c>
      <c r="R43" s="170" t="s">
        <v>285</v>
      </c>
      <c r="S43" s="170" t="s">
        <v>286</v>
      </c>
      <c r="T43" s="170" t="s">
        <v>287</v>
      </c>
      <c r="U43" s="170" t="s">
        <v>288</v>
      </c>
      <c r="V43" s="170" t="s">
        <v>289</v>
      </c>
      <c r="W43" s="258" t="s">
        <v>290</v>
      </c>
    </row>
    <row r="44" spans="2:23" ht="14.25" customHeight="1" x14ac:dyDescent="0.3">
      <c r="Q44" s="172">
        <v>48995</v>
      </c>
      <c r="R44" s="173">
        <f>D51</f>
        <v>10000</v>
      </c>
      <c r="S44" s="174">
        <v>1</v>
      </c>
      <c r="T44" s="174">
        <v>0</v>
      </c>
      <c r="U44" s="242">
        <f>R44*S44</f>
        <v>10000</v>
      </c>
      <c r="V44" s="176">
        <f>R44*T44</f>
        <v>0</v>
      </c>
      <c r="W44" s="260">
        <f>Q44-U44</f>
        <v>38995</v>
      </c>
    </row>
    <row r="46" spans="2:23" ht="14.25" customHeight="1" x14ac:dyDescent="0.3">
      <c r="H46" s="303"/>
    </row>
    <row r="50" spans="2:10" x14ac:dyDescent="0.3">
      <c r="B50" s="276"/>
      <c r="C50" s="145" t="s">
        <v>245</v>
      </c>
      <c r="D50" s="145" t="s">
        <v>291</v>
      </c>
      <c r="E50" s="415"/>
      <c r="F50" s="100"/>
      <c r="G50" s="145" t="s">
        <v>292</v>
      </c>
      <c r="H50" s="145" t="s">
        <v>245</v>
      </c>
      <c r="I50" s="145" t="s">
        <v>293</v>
      </c>
      <c r="J50" s="145" t="s">
        <v>294</v>
      </c>
    </row>
    <row r="51" spans="2:10" x14ac:dyDescent="0.3">
      <c r="B51" s="180" t="s">
        <v>295</v>
      </c>
      <c r="C51" s="181">
        <f>10/$K$1</f>
        <v>16.666666666666668</v>
      </c>
      <c r="D51" s="182">
        <f>$C$1*10</f>
        <v>10000</v>
      </c>
      <c r="E51" s="183"/>
      <c r="F51" s="100"/>
      <c r="G51" s="180" t="s">
        <v>295</v>
      </c>
      <c r="H51" s="277">
        <f>I51/$D$5</f>
        <v>10</v>
      </c>
      <c r="I51" s="181">
        <f>J51/$R$1</f>
        <v>49993.589743589742</v>
      </c>
      <c r="J51" s="181">
        <f>$W$44</f>
        <v>38995</v>
      </c>
    </row>
    <row r="52" spans="2:10" x14ac:dyDescent="0.3">
      <c r="B52" s="231" t="s">
        <v>274</v>
      </c>
      <c r="C52" s="232">
        <f>$I$1</f>
        <v>5.9432768264999991</v>
      </c>
      <c r="D52" s="233">
        <f>$E$1</f>
        <v>5943.2768264999995</v>
      </c>
      <c r="E52" s="100"/>
      <c r="F52" s="100"/>
      <c r="G52" s="148" t="s">
        <v>274</v>
      </c>
      <c r="H52" s="210">
        <f>I52/$D$5</f>
        <v>7.9770992050262848</v>
      </c>
      <c r="I52" s="176">
        <f>J52/$R$1</f>
        <v>39880.3825</v>
      </c>
      <c r="J52" s="184">
        <f>$S$32</f>
        <v>31106.698349999999</v>
      </c>
    </row>
    <row r="53" spans="2:10" x14ac:dyDescent="0.3">
      <c r="B53" s="231" t="s">
        <v>296</v>
      </c>
      <c r="C53" s="234">
        <f>MIN(C52, C51)</f>
        <v>5.9432768264999991</v>
      </c>
      <c r="D53" s="233">
        <f>(C53*$K$1)*$C$1</f>
        <v>3565.9660958999993</v>
      </c>
      <c r="E53" s="100"/>
      <c r="F53" s="100"/>
      <c r="G53" s="148" t="s">
        <v>296</v>
      </c>
      <c r="H53" s="187">
        <f>MIN(H52,H51)</f>
        <v>7.9770992050262848</v>
      </c>
      <c r="I53" s="176">
        <f>J53/$R$1</f>
        <v>39880.3825</v>
      </c>
      <c r="J53" s="176">
        <f>MIN(J52,J51)</f>
        <v>31106.698349999999</v>
      </c>
    </row>
    <row r="54" spans="2:10" ht="14.25" customHeight="1" x14ac:dyDescent="0.3">
      <c r="B54" s="231" t="s">
        <v>297</v>
      </c>
      <c r="C54" s="234">
        <f>MIN(MAX(C52-C53,0),C51)</f>
        <v>0</v>
      </c>
      <c r="D54" s="233">
        <f>(C54*$K$1)*$C$1</f>
        <v>0</v>
      </c>
      <c r="E54" s="100"/>
      <c r="F54" s="100"/>
      <c r="G54" s="148" t="s">
        <v>297</v>
      </c>
      <c r="H54" s="187">
        <f>MIN(MAX(H52-H53),H51)</f>
        <v>0</v>
      </c>
      <c r="I54" s="176">
        <f>J54/$R$1</f>
        <v>0</v>
      </c>
      <c r="J54" s="176">
        <f>MIN(MAX(J52-J53),J51)</f>
        <v>0</v>
      </c>
    </row>
    <row r="55" spans="2:10" ht="14.25" customHeight="1" x14ac:dyDescent="0.3">
      <c r="B55" s="231" t="s">
        <v>298</v>
      </c>
      <c r="C55" s="234">
        <f>MIN(MAX(C52-C53-C54,0),C51)</f>
        <v>0</v>
      </c>
      <c r="D55" s="233">
        <f>(C55*$K$1)*$C$1</f>
        <v>0</v>
      </c>
      <c r="E55" s="100"/>
      <c r="F55" s="100"/>
      <c r="G55" s="145" t="s">
        <v>298</v>
      </c>
      <c r="H55" s="187">
        <f>MIN(MAX(H52-H53-H54),H51)</f>
        <v>0</v>
      </c>
      <c r="I55" s="176">
        <f>J55/$R$1</f>
        <v>0</v>
      </c>
      <c r="J55" s="176">
        <f>MIN(MAX(J52-J53-J54),J51)</f>
        <v>0</v>
      </c>
    </row>
    <row r="62" spans="2:10" ht="17.75" customHeight="1" x14ac:dyDescent="0.3"/>
    <row r="63" spans="2:10" ht="17.75" customHeight="1" x14ac:dyDescent="0.3"/>
    <row r="64" spans="2:10" ht="25.5" customHeight="1" x14ac:dyDescent="0.3"/>
    <row r="65" ht="14.25" customHeight="1" x14ac:dyDescent="0.3"/>
    <row r="66" ht="14.25" customHeight="1" x14ac:dyDescent="0.3"/>
    <row r="67" ht="14.25" customHeight="1" x14ac:dyDescent="0.3"/>
    <row r="68" ht="14.25" customHeight="1" x14ac:dyDescent="0.3"/>
    <row r="69" ht="20.25" customHeight="1" x14ac:dyDescent="0.3"/>
    <row r="70" ht="14.25" customHeight="1" x14ac:dyDescent="0.3"/>
    <row r="73" ht="17.75" customHeight="1" x14ac:dyDescent="0.3"/>
    <row r="74" ht="17.75" customHeight="1" x14ac:dyDescent="0.3"/>
    <row r="75" ht="25.5" customHeight="1" x14ac:dyDescent="0.3"/>
    <row r="76" ht="14.25" customHeight="1" x14ac:dyDescent="0.3"/>
    <row r="77" ht="14.25" customHeight="1" x14ac:dyDescent="0.3"/>
    <row r="78" ht="14.25" customHeight="1" x14ac:dyDescent="0.3"/>
    <row r="79" ht="14.25" customHeight="1" x14ac:dyDescent="0.3"/>
    <row r="80" ht="20.25" customHeight="1" x14ac:dyDescent="0.3"/>
  </sheetData>
  <mergeCells count="6">
    <mergeCell ref="B35:F35"/>
    <mergeCell ref="AK2:AM2"/>
    <mergeCell ref="AE2:AG3"/>
    <mergeCell ref="R26:U26"/>
    <mergeCell ref="R25:U25"/>
    <mergeCell ref="B2:H3"/>
  </mergeCells>
  <printOptions horizontalCentered="1"/>
  <pageMargins left="0.5" right="0.5" top="1" bottom="0.5" header="0.3" footer="0.511811023622047"/>
  <pageSetup paperSize="9" scale="32" orientation="portrait"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rgb="FFBF9000"/>
    <pageSetUpPr fitToPage="1"/>
  </sheetPr>
  <dimension ref="A1:AT81"/>
  <sheetViews>
    <sheetView topLeftCell="A18" zoomScale="70" zoomScaleNormal="70" workbookViewId="0">
      <selection activeCell="T28" sqref="S28:T30"/>
    </sheetView>
  </sheetViews>
  <sheetFormatPr defaultColWidth="12.5" defaultRowHeight="14" x14ac:dyDescent="0.3"/>
  <cols>
    <col min="1" max="1" width="12.5" style="79" customWidth="1"/>
    <col min="2" max="2" width="33.7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20.58203125" style="14" customWidth="1"/>
    <col min="13" max="13" width="14.6640625" style="14" customWidth="1"/>
    <col min="14" max="17" width="12.5" style="14" customWidth="1"/>
    <col min="18" max="18" width="32.83203125" style="14" customWidth="1"/>
    <col min="19" max="19" width="12.5" style="14" customWidth="1"/>
    <col min="20" max="27" width="12.5" style="14"/>
    <col min="28" max="28" width="10.9140625" style="14" bestFit="1" customWidth="1"/>
    <col min="29" max="29" width="11.58203125" style="14" bestFit="1" customWidth="1"/>
    <col min="30" max="30" width="9.83203125" style="14" bestFit="1" customWidth="1"/>
    <col min="31" max="31" width="11" style="14" bestFit="1" customWidth="1"/>
    <col min="32" max="34" width="5.6640625" style="14" customWidth="1"/>
    <col min="35" max="35" width="12.5" style="14"/>
    <col min="36" max="36" width="34.08203125" style="14" customWidth="1"/>
    <col min="37" max="16384" width="12.5" style="14"/>
  </cols>
  <sheetData>
    <row r="1" spans="1:46" ht="44.25" customHeight="1" x14ac:dyDescent="0.3">
      <c r="B1" s="80" t="s">
        <v>243</v>
      </c>
      <c r="C1" s="81">
        <v>1000</v>
      </c>
      <c r="D1" s="82" t="s">
        <v>244</v>
      </c>
      <c r="E1" s="117">
        <f>T32</f>
        <v>5633.0769230769292</v>
      </c>
      <c r="F1" s="80" t="s">
        <v>245</v>
      </c>
      <c r="G1" s="81">
        <f>E1/C1</f>
        <v>5.6330769230769295</v>
      </c>
      <c r="H1" s="80" t="s">
        <v>246</v>
      </c>
      <c r="I1" s="249">
        <f>(G1/K1)</f>
        <v>5.6899766899766968</v>
      </c>
      <c r="J1" s="86" t="s">
        <v>247</v>
      </c>
      <c r="K1" s="81">
        <v>0.99</v>
      </c>
      <c r="L1" s="100"/>
      <c r="M1" s="215"/>
      <c r="N1" s="216"/>
      <c r="O1" s="91" t="s">
        <v>248</v>
      </c>
      <c r="P1" s="92" t="s">
        <v>249</v>
      </c>
      <c r="Q1" s="93" t="s">
        <v>250</v>
      </c>
      <c r="R1" s="92">
        <v>0.59</v>
      </c>
      <c r="Y1" s="91" t="s">
        <v>479</v>
      </c>
      <c r="Z1" s="847">
        <v>24410</v>
      </c>
      <c r="AA1" s="91" t="s">
        <v>600</v>
      </c>
      <c r="AB1" s="847">
        <v>0</v>
      </c>
      <c r="AC1" s="91" t="s">
        <v>587</v>
      </c>
      <c r="AD1" s="847">
        <v>162</v>
      </c>
      <c r="AE1" s="250"/>
      <c r="AF1" s="252"/>
      <c r="AG1" s="92"/>
      <c r="AI1" s="79"/>
      <c r="AJ1" s="110" t="s">
        <v>262</v>
      </c>
      <c r="AK1" s="94">
        <v>10000</v>
      </c>
      <c r="AL1" s="628" t="s">
        <v>520</v>
      </c>
      <c r="AM1" s="629">
        <f>$S$32</f>
        <v>18776.923076923071</v>
      </c>
      <c r="AN1" s="94" t="s">
        <v>251</v>
      </c>
      <c r="AO1" s="96">
        <f>($S$32/$R$1)/$AK$1</f>
        <v>3.182529335071707</v>
      </c>
      <c r="AP1" s="95"/>
    </row>
    <row r="2" spans="1:46" ht="12.75" customHeight="1" x14ac:dyDescent="0.3">
      <c r="A2" s="97"/>
      <c r="B2" s="1387" t="s">
        <v>393</v>
      </c>
      <c r="C2" s="1389"/>
      <c r="D2" s="1389"/>
      <c r="E2" s="1389"/>
      <c r="F2" s="1389"/>
      <c r="G2" s="1389"/>
      <c r="H2" s="1389"/>
      <c r="I2" s="1389"/>
      <c r="J2" s="1389"/>
      <c r="K2" s="1425"/>
      <c r="L2" s="1463"/>
      <c r="M2" s="1391"/>
      <c r="N2" s="1391"/>
      <c r="O2" s="100"/>
      <c r="P2" s="100"/>
      <c r="Q2" s="100"/>
      <c r="R2" s="100"/>
      <c r="AC2" s="99"/>
      <c r="AD2" s="99"/>
      <c r="AE2" s="1391"/>
      <c r="AF2" s="1389"/>
      <c r="AG2" s="1389"/>
      <c r="AI2" s="79"/>
      <c r="AJ2" s="101"/>
      <c r="AK2" s="1386" t="s">
        <v>393</v>
      </c>
      <c r="AL2" s="1386"/>
      <c r="AM2" s="1386"/>
      <c r="AN2" s="102"/>
      <c r="AO2" s="101"/>
      <c r="AP2" s="101"/>
    </row>
    <row r="3" spans="1:46" ht="12.75" customHeight="1" x14ac:dyDescent="0.3">
      <c r="A3" s="97"/>
      <c r="B3" s="1388"/>
      <c r="C3" s="1388"/>
      <c r="D3" s="1388"/>
      <c r="E3" s="1388"/>
      <c r="F3" s="1388"/>
      <c r="G3" s="1388"/>
      <c r="H3" s="1388"/>
      <c r="I3" s="1388"/>
      <c r="J3" s="1388"/>
      <c r="K3" s="1426"/>
      <c r="L3" s="1464"/>
      <c r="M3" s="1422"/>
      <c r="N3" s="1422"/>
      <c r="O3" s="100"/>
      <c r="P3" s="100"/>
      <c r="Q3" s="100"/>
      <c r="R3" s="100"/>
      <c r="AC3" s="99"/>
      <c r="AD3" s="99"/>
      <c r="AE3" s="1389"/>
      <c r="AF3" s="1389"/>
      <c r="AG3" s="1389"/>
      <c r="AI3" s="79"/>
      <c r="AJ3" s="373"/>
      <c r="AK3" s="104"/>
      <c r="AL3" s="105"/>
      <c r="AM3" s="105"/>
      <c r="AN3" s="105"/>
      <c r="AO3" s="104"/>
      <c r="AP3" s="104"/>
    </row>
    <row r="4" spans="1:46" ht="69" customHeight="1" x14ac:dyDescent="0.3">
      <c r="A4" s="91" t="s">
        <v>1</v>
      </c>
      <c r="B4" s="91" t="s">
        <v>253</v>
      </c>
      <c r="C4" s="107" t="s">
        <v>254</v>
      </c>
      <c r="D4" s="91" t="s">
        <v>243</v>
      </c>
      <c r="E4" s="108" t="s">
        <v>246</v>
      </c>
      <c r="F4" s="108" t="s">
        <v>255</v>
      </c>
      <c r="G4" s="91" t="s">
        <v>256</v>
      </c>
      <c r="H4" s="331" t="s">
        <v>347</v>
      </c>
      <c r="I4" s="91" t="s">
        <v>258</v>
      </c>
      <c r="J4" s="91" t="s">
        <v>259</v>
      </c>
      <c r="K4" s="91" t="s">
        <v>260</v>
      </c>
      <c r="L4" s="89" t="s">
        <v>261</v>
      </c>
      <c r="M4" s="371"/>
      <c r="N4" s="371"/>
      <c r="O4" s="100"/>
      <c r="P4" s="100"/>
      <c r="Q4" s="100"/>
      <c r="R4" s="100"/>
      <c r="AC4" s="251"/>
      <c r="AD4" s="253"/>
      <c r="AE4" s="251"/>
      <c r="AF4" s="251"/>
      <c r="AG4" s="251"/>
      <c r="AI4" s="79"/>
      <c r="AJ4" s="110" t="s">
        <v>253</v>
      </c>
      <c r="AK4" s="111" t="s">
        <v>254</v>
      </c>
      <c r="AL4" s="110" t="s">
        <v>262</v>
      </c>
      <c r="AM4" s="110" t="s">
        <v>246</v>
      </c>
      <c r="AN4" s="110" t="s">
        <v>255</v>
      </c>
      <c r="AO4" s="110" t="s">
        <v>256</v>
      </c>
      <c r="AP4" s="112" t="s">
        <v>257</v>
      </c>
      <c r="AQ4" s="91" t="s">
        <v>258</v>
      </c>
      <c r="AR4" s="91" t="s">
        <v>259</v>
      </c>
      <c r="AS4" s="91" t="s">
        <v>260</v>
      </c>
      <c r="AT4" s="91" t="s">
        <v>261</v>
      </c>
    </row>
    <row r="5" spans="1:46" ht="14.25" customHeight="1" x14ac:dyDescent="0.3">
      <c r="A5" s="266" t="s">
        <v>230</v>
      </c>
      <c r="B5" s="309" t="s">
        <v>229</v>
      </c>
      <c r="C5" s="115" t="s">
        <v>14</v>
      </c>
      <c r="D5" s="121">
        <f>I51/10</f>
        <v>5649.8305084745762</v>
      </c>
      <c r="E5" s="85">
        <f>H52</f>
        <v>5.6329642637916457</v>
      </c>
      <c r="F5" s="127">
        <v>1</v>
      </c>
      <c r="G5" s="121">
        <f t="shared" ref="G5:G19" si="0">D5*E5</f>
        <v>31825.293350717071</v>
      </c>
      <c r="H5" s="120">
        <f t="shared" ref="H5:H19" si="1">G5*F5</f>
        <v>31825.293350717071</v>
      </c>
      <c r="I5" s="81">
        <f>VLOOKUP(B5,All_Ingredients!$A$1:$F$151,6,FALSE())</f>
        <v>0.86</v>
      </c>
      <c r="J5" s="121">
        <f>VLOOKUP(B5,All_Ingredients!$A$1:$J$151,10,FALSE())</f>
        <v>17.100000000000001</v>
      </c>
      <c r="K5" s="122">
        <f>(H5/I5)/1000</f>
        <v>37.006155058973334</v>
      </c>
      <c r="L5" s="122">
        <f>K5*J5</f>
        <v>632.80525150844403</v>
      </c>
      <c r="M5" s="131"/>
      <c r="N5" s="131"/>
      <c r="O5" s="100"/>
      <c r="P5" s="100"/>
      <c r="Q5" s="100"/>
      <c r="R5" s="100"/>
      <c r="AC5" s="92"/>
      <c r="AD5" s="133"/>
      <c r="AE5" s="254"/>
      <c r="AF5" s="135"/>
      <c r="AG5" s="136"/>
      <c r="AI5" s="79"/>
      <c r="AJ5" s="123" t="s">
        <v>229</v>
      </c>
      <c r="AK5" s="124" t="s">
        <v>238</v>
      </c>
      <c r="AL5" s="116">
        <v>10</v>
      </c>
      <c r="AM5" s="197">
        <f t="shared" ref="AM5:AM12" si="2">$AO$1</f>
        <v>3.182529335071707</v>
      </c>
      <c r="AN5" s="127">
        <v>1</v>
      </c>
      <c r="AO5" s="121">
        <f t="shared" ref="AO5:AO12" si="3">AL5*AM5</f>
        <v>31.825293350717068</v>
      </c>
      <c r="AP5" s="120">
        <f t="shared" ref="AP5:AP12" si="4">AO5*AN5</f>
        <v>31.825293350717068</v>
      </c>
      <c r="AQ5" s="295"/>
      <c r="AR5" s="1171"/>
      <c r="AS5" s="175"/>
      <c r="AT5" s="1172"/>
    </row>
    <row r="6" spans="1:46" ht="14.25" customHeight="1" x14ac:dyDescent="0.3">
      <c r="A6" s="128" t="s">
        <v>13</v>
      </c>
      <c r="B6" s="401" t="s">
        <v>792</v>
      </c>
      <c r="C6" s="124" t="s">
        <v>14</v>
      </c>
      <c r="D6" s="125">
        <v>20</v>
      </c>
      <c r="E6" s="197">
        <f t="shared" ref="E6:E19" si="5">$I$1</f>
        <v>5.6899766899766968</v>
      </c>
      <c r="F6" s="127">
        <v>1</v>
      </c>
      <c r="G6" s="121">
        <f t="shared" si="0"/>
        <v>113.79953379953393</v>
      </c>
      <c r="H6" s="120">
        <f t="shared" si="1"/>
        <v>113.79953379953393</v>
      </c>
      <c r="I6" s="81">
        <f>VLOOKUP(B6,All_Ingredients!$A$1:$F$151,6,FALSE())</f>
        <v>1</v>
      </c>
      <c r="J6" s="121">
        <f>VLOOKUP(B6,All_Ingredients!$A$1:$J$151,10,FALSE())</f>
        <v>10.5</v>
      </c>
      <c r="K6" s="122">
        <f t="shared" ref="K6:K19" si="6">(H6/I6)/1000</f>
        <v>0.11379953379953393</v>
      </c>
      <c r="L6" s="122">
        <f>K6*J6</f>
        <v>1.1948951048951062</v>
      </c>
      <c r="M6" s="131"/>
      <c r="N6" s="131"/>
      <c r="AI6" s="79" t="s">
        <v>57</v>
      </c>
      <c r="AJ6" s="81" t="s">
        <v>56</v>
      </c>
      <c r="AK6" s="124" t="s">
        <v>14</v>
      </c>
      <c r="AL6" s="116">
        <v>100</v>
      </c>
      <c r="AM6" s="197">
        <f t="shared" si="2"/>
        <v>3.182529335071707</v>
      </c>
      <c r="AN6" s="127">
        <v>1</v>
      </c>
      <c r="AO6" s="121">
        <f t="shared" si="3"/>
        <v>318.25293350717072</v>
      </c>
      <c r="AP6" s="120">
        <f t="shared" si="4"/>
        <v>318.25293350717072</v>
      </c>
      <c r="AQ6" s="1172">
        <f>VLOOKUP(AJ6,Marination_Ordering!$A:$J,6,FALSE)</f>
        <v>0.87</v>
      </c>
      <c r="AR6" s="1172">
        <f>VLOOKUP(AJ6,Marination_Ordering!$A:$J,10,FALSE)</f>
        <v>3.2</v>
      </c>
      <c r="AS6" s="175">
        <f>AP6/AQ6</f>
        <v>365.8079695484721</v>
      </c>
      <c r="AT6" s="1172">
        <f>AR6*(AS6/1000)</f>
        <v>1.1705855025551108</v>
      </c>
    </row>
    <row r="7" spans="1:46" ht="14.25" customHeight="1" x14ac:dyDescent="0.3">
      <c r="A7" s="128" t="s">
        <v>57</v>
      </c>
      <c r="B7" s="401" t="s">
        <v>56</v>
      </c>
      <c r="C7" s="124" t="s">
        <v>14</v>
      </c>
      <c r="D7" s="125">
        <v>20</v>
      </c>
      <c r="E7" s="197">
        <f t="shared" si="5"/>
        <v>5.6899766899766968</v>
      </c>
      <c r="F7" s="127">
        <v>1</v>
      </c>
      <c r="G7" s="121">
        <f t="shared" si="0"/>
        <v>113.79953379953393</v>
      </c>
      <c r="H7" s="120">
        <f t="shared" si="1"/>
        <v>113.79953379953393</v>
      </c>
      <c r="I7" s="81">
        <f>VLOOKUP(B7,All_Ingredients!$A$1:$F$151,6,FALSE())</f>
        <v>0.87</v>
      </c>
      <c r="J7" s="121">
        <f>VLOOKUP(B7,All_Ingredients!$A$1:$J$151,10,FALSE())</f>
        <v>7</v>
      </c>
      <c r="K7" s="122">
        <f t="shared" si="6"/>
        <v>0.13080406183854476</v>
      </c>
      <c r="L7" s="122">
        <f t="shared" ref="L7:L19" si="7">K7*J7</f>
        <v>0.91562843286981332</v>
      </c>
      <c r="M7" s="131"/>
      <c r="N7" s="131"/>
      <c r="AI7" s="79" t="s">
        <v>13</v>
      </c>
      <c r="AJ7" s="81" t="s">
        <v>792</v>
      </c>
      <c r="AK7" s="124" t="s">
        <v>14</v>
      </c>
      <c r="AL7" s="116">
        <v>200</v>
      </c>
      <c r="AM7" s="197">
        <f t="shared" si="2"/>
        <v>3.182529335071707</v>
      </c>
      <c r="AN7" s="127">
        <v>1</v>
      </c>
      <c r="AO7" s="121">
        <f t="shared" si="3"/>
        <v>636.50586701434145</v>
      </c>
      <c r="AP7" s="120">
        <f t="shared" si="4"/>
        <v>636.50586701434145</v>
      </c>
      <c r="AQ7" s="1172">
        <f>VLOOKUP(AJ7,Marination_Ordering!$A:$J,6,FALSE)</f>
        <v>1</v>
      </c>
      <c r="AR7" s="1172">
        <f>VLOOKUP(AJ7,Marination_Ordering!$A:$J,10,FALSE)</f>
        <v>10.5</v>
      </c>
      <c r="AS7" s="175">
        <f t="shared" ref="AS7:AS9" si="8">AP7/AQ7</f>
        <v>636.50586701434145</v>
      </c>
      <c r="AT7" s="1172">
        <f t="shared" ref="AT7:AT9" si="9">AR7*(AS7/1000)</f>
        <v>6.6833116036505853</v>
      </c>
    </row>
    <row r="8" spans="1:46" x14ac:dyDescent="0.3">
      <c r="A8" s="128" t="s">
        <v>186</v>
      </c>
      <c r="B8" s="401" t="s">
        <v>189</v>
      </c>
      <c r="C8" s="124" t="s">
        <v>14</v>
      </c>
      <c r="D8" s="125">
        <v>50</v>
      </c>
      <c r="E8" s="197">
        <f t="shared" si="5"/>
        <v>5.6899766899766968</v>
      </c>
      <c r="F8" s="127">
        <v>1</v>
      </c>
      <c r="G8" s="121">
        <f t="shared" si="0"/>
        <v>284.49883449883487</v>
      </c>
      <c r="H8" s="120">
        <f t="shared" si="1"/>
        <v>284.49883449883487</v>
      </c>
      <c r="I8" s="81">
        <f>VLOOKUP(B8,All_Ingredients!$A$1:$F$151,6,FALSE())</f>
        <v>1</v>
      </c>
      <c r="J8" s="121">
        <f>VLOOKUP(B8,All_Ingredients!$A$1:$J$151,10,FALSE())</f>
        <v>17</v>
      </c>
      <c r="K8" s="122">
        <f t="shared" si="6"/>
        <v>0.28449883449883484</v>
      </c>
      <c r="L8" s="122">
        <f t="shared" si="7"/>
        <v>4.8364801864801921</v>
      </c>
      <c r="M8" s="131"/>
      <c r="N8" s="131"/>
      <c r="AI8" s="79" t="s">
        <v>210</v>
      </c>
      <c r="AJ8" s="81" t="s">
        <v>219</v>
      </c>
      <c r="AK8" s="124" t="s">
        <v>165</v>
      </c>
      <c r="AL8" s="223">
        <v>350</v>
      </c>
      <c r="AM8" s="197">
        <f t="shared" si="2"/>
        <v>3.182529335071707</v>
      </c>
      <c r="AN8" s="127">
        <v>1</v>
      </c>
      <c r="AO8" s="121">
        <f t="shared" si="3"/>
        <v>1113.8852672750975</v>
      </c>
      <c r="AP8" s="120">
        <f t="shared" si="4"/>
        <v>1113.8852672750975</v>
      </c>
      <c r="AQ8" s="1172">
        <f>VLOOKUP(AJ8,Marination_Ordering!$A:$J,6,FALSE)</f>
        <v>1</v>
      </c>
      <c r="AR8" s="1172">
        <f>VLOOKUP(AJ8,Marination_Ordering!$A:$J,10,FALSE)</f>
        <v>5</v>
      </c>
      <c r="AS8" s="175">
        <f t="shared" si="8"/>
        <v>1113.8852672750975</v>
      </c>
      <c r="AT8" s="1172">
        <f t="shared" si="9"/>
        <v>5.5694263363754875</v>
      </c>
    </row>
    <row r="9" spans="1:46" ht="14.25" customHeight="1" x14ac:dyDescent="0.35">
      <c r="A9" s="128" t="s">
        <v>196</v>
      </c>
      <c r="B9" s="401" t="s">
        <v>204</v>
      </c>
      <c r="C9" s="1010" t="s">
        <v>165</v>
      </c>
      <c r="D9" s="125">
        <v>200</v>
      </c>
      <c r="E9" s="197">
        <f t="shared" si="5"/>
        <v>5.6899766899766968</v>
      </c>
      <c r="F9" s="127">
        <v>1</v>
      </c>
      <c r="G9" s="121">
        <f t="shared" si="0"/>
        <v>1137.9953379953395</v>
      </c>
      <c r="H9" s="120">
        <f t="shared" si="1"/>
        <v>1137.9953379953395</v>
      </c>
      <c r="I9" s="81">
        <f>VLOOKUP(B9,All_Ingredients!$A$1:$F$151,6,FALSE())</f>
        <v>1</v>
      </c>
      <c r="J9" s="121">
        <f>VLOOKUP(B9,All_Ingredients!$A$1:$J$151,10,FALSE())</f>
        <v>3.25</v>
      </c>
      <c r="K9" s="122">
        <f t="shared" si="6"/>
        <v>1.1379953379953394</v>
      </c>
      <c r="L9" s="122">
        <f t="shared" si="7"/>
        <v>3.6984848484848527</v>
      </c>
      <c r="M9" s="131"/>
      <c r="N9" s="131"/>
      <c r="AI9" s="79" t="s">
        <v>210</v>
      </c>
      <c r="AJ9" s="81" t="s">
        <v>215</v>
      </c>
      <c r="AK9" s="124" t="s">
        <v>165</v>
      </c>
      <c r="AL9" s="116">
        <v>70</v>
      </c>
      <c r="AM9" s="197">
        <f t="shared" si="2"/>
        <v>3.182529335071707</v>
      </c>
      <c r="AN9" s="127">
        <v>1</v>
      </c>
      <c r="AO9" s="121">
        <f t="shared" si="3"/>
        <v>222.77705345501948</v>
      </c>
      <c r="AP9" s="120">
        <f t="shared" si="4"/>
        <v>222.77705345501948</v>
      </c>
      <c r="AQ9" s="1172">
        <f>VLOOKUP(AJ9,Marination_Ordering!$A:$J,6,FALSE)</f>
        <v>1</v>
      </c>
      <c r="AR9" s="1172">
        <f>VLOOKUP(AJ9,Marination_Ordering!$A:$J,10,FALSE)</f>
        <v>2.1621621621621623</v>
      </c>
      <c r="AS9" s="175">
        <f t="shared" si="8"/>
        <v>222.77705345501948</v>
      </c>
      <c r="AT9" s="1172">
        <f t="shared" si="9"/>
        <v>0.48168011557842055</v>
      </c>
    </row>
    <row r="10" spans="1:46" ht="14.25" customHeight="1" x14ac:dyDescent="0.3">
      <c r="A10" s="128" t="s">
        <v>196</v>
      </c>
      <c r="B10" s="114" t="s">
        <v>761</v>
      </c>
      <c r="C10" s="124" t="s">
        <v>14</v>
      </c>
      <c r="D10" s="125">
        <v>20</v>
      </c>
      <c r="E10" s="197">
        <f t="shared" si="5"/>
        <v>5.6899766899766968</v>
      </c>
      <c r="F10" s="127">
        <v>1</v>
      </c>
      <c r="G10" s="121">
        <f t="shared" si="0"/>
        <v>113.79953379953393</v>
      </c>
      <c r="H10" s="120">
        <f t="shared" si="1"/>
        <v>113.79953379953393</v>
      </c>
      <c r="I10" s="81">
        <f>VLOOKUP(B10,All_Ingredients!$A$1:$F$151,6,FALSE())</f>
        <v>1</v>
      </c>
      <c r="J10" s="121">
        <f>VLOOKUP(B10,All_Ingredients!$A$1:$J$151,10,FALSE())</f>
        <v>8.1520833333333336</v>
      </c>
      <c r="K10" s="122">
        <f>(H10/I10)/1000</f>
        <v>0.11379953379953393</v>
      </c>
      <c r="L10" s="122">
        <f t="shared" si="7"/>
        <v>0.92770328282828396</v>
      </c>
      <c r="M10" s="131"/>
      <c r="N10" s="131"/>
      <c r="AI10" s="79" t="s">
        <v>97</v>
      </c>
      <c r="AJ10" s="81" t="s">
        <v>96</v>
      </c>
      <c r="AK10" s="124" t="s">
        <v>14</v>
      </c>
      <c r="AL10" s="116">
        <v>2</v>
      </c>
      <c r="AM10" s="197">
        <f t="shared" si="2"/>
        <v>3.182529335071707</v>
      </c>
      <c r="AN10" s="127">
        <v>1</v>
      </c>
      <c r="AO10" s="121">
        <f t="shared" si="3"/>
        <v>6.365058670143414</v>
      </c>
      <c r="AP10" s="120">
        <f t="shared" si="4"/>
        <v>6.365058670143414</v>
      </c>
      <c r="AQ10" s="1172">
        <f>VLOOKUP(AJ10,Marination_Ordering!$A:$J,6,FALSE)</f>
        <v>1</v>
      </c>
      <c r="AR10" s="1172">
        <f>VLOOKUP(AJ10,Marination_Ordering!$A:$J,10,FALSE)</f>
        <v>0.74</v>
      </c>
      <c r="AS10" s="175">
        <f t="shared" ref="AS10:AS12" si="10">AP10/AQ10</f>
        <v>6.365058670143414</v>
      </c>
      <c r="AT10" s="1172">
        <f t="shared" ref="AT10:AT12" si="11">AR10*(AS10/1000)</f>
        <v>4.7101434159061263E-3</v>
      </c>
    </row>
    <row r="11" spans="1:46" x14ac:dyDescent="0.3">
      <c r="A11" s="128" t="s">
        <v>97</v>
      </c>
      <c r="B11" s="401" t="s">
        <v>144</v>
      </c>
      <c r="C11" s="124" t="s">
        <v>14</v>
      </c>
      <c r="D11" s="125">
        <v>10</v>
      </c>
      <c r="E11" s="197">
        <f t="shared" si="5"/>
        <v>5.6899766899766968</v>
      </c>
      <c r="F11" s="127">
        <v>0.75</v>
      </c>
      <c r="G11" s="121">
        <f t="shared" si="0"/>
        <v>56.899766899766966</v>
      </c>
      <c r="H11" s="120">
        <f t="shared" si="1"/>
        <v>42.674825174825223</v>
      </c>
      <c r="I11" s="81">
        <f>VLOOKUP(B11,All_Ingredients!$A$1:$F$151,6,FALSE())</f>
        <v>1</v>
      </c>
      <c r="J11" s="121">
        <f>VLOOKUP(B11,All_Ingredients!$A$1:$J$151,10,FALSE())</f>
        <v>15.277777777777779</v>
      </c>
      <c r="K11" s="122">
        <f t="shared" si="6"/>
        <v>4.2674825174825223E-2</v>
      </c>
      <c r="L11" s="122">
        <f t="shared" si="7"/>
        <v>0.65197649572649652</v>
      </c>
      <c r="M11" s="131"/>
      <c r="N11" s="131"/>
      <c r="AI11" s="79" t="s">
        <v>97</v>
      </c>
      <c r="AJ11" s="81" t="s">
        <v>102</v>
      </c>
      <c r="AK11" s="124" t="s">
        <v>14</v>
      </c>
      <c r="AL11" s="116">
        <v>3</v>
      </c>
      <c r="AM11" s="197">
        <f t="shared" si="2"/>
        <v>3.182529335071707</v>
      </c>
      <c r="AN11" s="127">
        <v>1</v>
      </c>
      <c r="AO11" s="121">
        <f t="shared" si="3"/>
        <v>9.5475880052151219</v>
      </c>
      <c r="AP11" s="120">
        <f t="shared" si="4"/>
        <v>9.5475880052151219</v>
      </c>
      <c r="AQ11" s="1172">
        <f>VLOOKUP(AJ11,Marination_Ordering!$A:$J,6,FALSE)</f>
        <v>1</v>
      </c>
      <c r="AR11" s="1172">
        <f>VLOOKUP(AJ11,Marination_Ordering!$A:$J,10,FALSE)</f>
        <v>31</v>
      </c>
      <c r="AS11" s="175">
        <f t="shared" si="10"/>
        <v>9.5475880052151219</v>
      </c>
      <c r="AT11" s="1172">
        <f t="shared" si="11"/>
        <v>0.29597522816166882</v>
      </c>
    </row>
    <row r="12" spans="1:46" ht="14" customHeight="1" x14ac:dyDescent="0.3">
      <c r="A12" s="128" t="s">
        <v>158</v>
      </c>
      <c r="B12" s="401" t="s">
        <v>164</v>
      </c>
      <c r="C12" s="124" t="s">
        <v>165</v>
      </c>
      <c r="D12" s="125">
        <v>100</v>
      </c>
      <c r="E12" s="197">
        <f t="shared" si="5"/>
        <v>5.6899766899766968</v>
      </c>
      <c r="F12" s="127">
        <v>1</v>
      </c>
      <c r="G12" s="121">
        <f t="shared" si="0"/>
        <v>568.99766899766973</v>
      </c>
      <c r="H12" s="120">
        <f t="shared" si="1"/>
        <v>568.99766899766973</v>
      </c>
      <c r="I12" s="81">
        <f>VLOOKUP(B12,All_Ingredients!$A$1:$F$151,6,FALSE())</f>
        <v>1</v>
      </c>
      <c r="J12" s="121">
        <f>VLOOKUP(B12,All_Ingredients!$A$1:$J$151,10,FALSE())</f>
        <v>4.2033333333333331</v>
      </c>
      <c r="K12" s="122">
        <f t="shared" si="6"/>
        <v>0.56899766899766968</v>
      </c>
      <c r="L12" s="122">
        <f t="shared" si="7"/>
        <v>2.3916868686868713</v>
      </c>
      <c r="M12" s="131"/>
      <c r="N12" s="131"/>
      <c r="AI12" s="79" t="s">
        <v>220</v>
      </c>
      <c r="AJ12" s="294" t="s">
        <v>815</v>
      </c>
      <c r="AK12" s="124" t="s">
        <v>14</v>
      </c>
      <c r="AL12" s="125">
        <v>5</v>
      </c>
      <c r="AM12" s="197">
        <f t="shared" si="2"/>
        <v>3.182529335071707</v>
      </c>
      <c r="AN12" s="127">
        <v>1</v>
      </c>
      <c r="AO12" s="121">
        <f t="shared" si="3"/>
        <v>15.912646675358534</v>
      </c>
      <c r="AP12" s="120">
        <f t="shared" si="4"/>
        <v>15.912646675358534</v>
      </c>
      <c r="AQ12" s="1172">
        <f>VLOOKUP(AJ12,Marination_Ordering!$A:$J,6,FALSE)</f>
        <v>1</v>
      </c>
      <c r="AR12" s="1172">
        <f>VLOOKUP(AJ12,Marination_Ordering!$A:$J,10,FALSE)</f>
        <v>22.5</v>
      </c>
      <c r="AS12" s="175">
        <f t="shared" si="10"/>
        <v>15.912646675358534</v>
      </c>
      <c r="AT12" s="1172">
        <f t="shared" si="11"/>
        <v>0.35803455019556707</v>
      </c>
    </row>
    <row r="13" spans="1:46" ht="14.25" customHeight="1" x14ac:dyDescent="0.3">
      <c r="A13" s="128" t="s">
        <v>196</v>
      </c>
      <c r="B13" s="401" t="s">
        <v>208</v>
      </c>
      <c r="C13" s="124" t="s">
        <v>14</v>
      </c>
      <c r="D13" s="125">
        <v>25</v>
      </c>
      <c r="E13" s="197">
        <f t="shared" si="5"/>
        <v>5.6899766899766968</v>
      </c>
      <c r="F13" s="127">
        <v>1</v>
      </c>
      <c r="G13" s="121">
        <f t="shared" si="0"/>
        <v>142.24941724941743</v>
      </c>
      <c r="H13" s="120">
        <f t="shared" si="1"/>
        <v>142.24941724941743</v>
      </c>
      <c r="I13" s="81">
        <f>VLOOKUP(B13,All_Ingredients!$A$1:$F$151,6,FALSE())</f>
        <v>1</v>
      </c>
      <c r="J13" s="121">
        <f>VLOOKUP(B13,All_Ingredients!$A$1:$J$151,10,FALSE())</f>
        <v>11.243386243386244</v>
      </c>
      <c r="K13" s="122">
        <f t="shared" si="6"/>
        <v>0.14224941724941742</v>
      </c>
      <c r="L13" s="122">
        <f t="shared" si="7"/>
        <v>1.5993651410318097</v>
      </c>
      <c r="M13" s="131"/>
      <c r="N13" s="131"/>
    </row>
    <row r="14" spans="1:46" ht="14.25" customHeight="1" x14ac:dyDescent="0.3">
      <c r="A14" s="128" t="s">
        <v>196</v>
      </c>
      <c r="B14" s="401" t="s">
        <v>198</v>
      </c>
      <c r="C14" s="124" t="s">
        <v>165</v>
      </c>
      <c r="D14" s="125">
        <v>30</v>
      </c>
      <c r="E14" s="197">
        <f t="shared" si="5"/>
        <v>5.6899766899766968</v>
      </c>
      <c r="F14" s="127">
        <v>0.75</v>
      </c>
      <c r="G14" s="121">
        <f t="shared" si="0"/>
        <v>170.69930069930089</v>
      </c>
      <c r="H14" s="120">
        <f t="shared" si="1"/>
        <v>128.02447552447566</v>
      </c>
      <c r="I14" s="81">
        <f>VLOOKUP(B14,All_Ingredients!$A$1:$F$151,6,FALSE())</f>
        <v>1</v>
      </c>
      <c r="J14" s="121">
        <f>VLOOKUP(B14,All_Ingredients!$A$1:$J$151,10,FALSE())</f>
        <v>58.685446009389672</v>
      </c>
      <c r="K14" s="122">
        <f t="shared" si="6"/>
        <v>0.12802447552447566</v>
      </c>
      <c r="L14" s="122">
        <f t="shared" si="7"/>
        <v>7.5131734462720452</v>
      </c>
      <c r="M14" s="131"/>
      <c r="N14" s="131"/>
    </row>
    <row r="15" spans="1:46" ht="14.25" customHeight="1" x14ac:dyDescent="0.3">
      <c r="A15" s="128" t="s">
        <v>158</v>
      </c>
      <c r="B15" s="401" t="s">
        <v>171</v>
      </c>
      <c r="C15" s="124" t="s">
        <v>165</v>
      </c>
      <c r="D15" s="125">
        <v>500</v>
      </c>
      <c r="E15" s="197">
        <f t="shared" si="5"/>
        <v>5.6899766899766968</v>
      </c>
      <c r="F15" s="127">
        <v>1</v>
      </c>
      <c r="G15" s="121">
        <f t="shared" si="0"/>
        <v>2844.9883449883482</v>
      </c>
      <c r="H15" s="120">
        <f t="shared" si="1"/>
        <v>2844.9883449883482</v>
      </c>
      <c r="I15" s="81">
        <f>VLOOKUP(B15,All_Ingredients!$A$1:$F$151,6,FALSE())</f>
        <v>1</v>
      </c>
      <c r="J15" s="121">
        <f>VLOOKUP(B15,All_Ingredients!$A$1:$J$151,10,FALSE())</f>
        <v>12.666666666666666</v>
      </c>
      <c r="K15" s="122">
        <f t="shared" si="6"/>
        <v>2.8449883449883484</v>
      </c>
      <c r="L15" s="122">
        <f t="shared" si="7"/>
        <v>36.036519036519081</v>
      </c>
      <c r="M15" s="131"/>
      <c r="N15" s="131"/>
    </row>
    <row r="16" spans="1:46" ht="14.25" customHeight="1" x14ac:dyDescent="0.3">
      <c r="A16" s="128" t="s">
        <v>13</v>
      </c>
      <c r="B16" s="401" t="s">
        <v>12</v>
      </c>
      <c r="C16" s="124" t="s">
        <v>14</v>
      </c>
      <c r="D16" s="125">
        <v>100</v>
      </c>
      <c r="E16" s="197">
        <f t="shared" si="5"/>
        <v>5.6899766899766968</v>
      </c>
      <c r="F16" s="127">
        <v>0.95</v>
      </c>
      <c r="G16" s="121">
        <f t="shared" si="0"/>
        <v>568.99766899766973</v>
      </c>
      <c r="H16" s="120">
        <f t="shared" si="1"/>
        <v>540.54778554778625</v>
      </c>
      <c r="I16" s="81">
        <f>VLOOKUP(B16,All_Ingredients!$A$1:$F$151,6,FALSE())</f>
        <v>0.9</v>
      </c>
      <c r="J16" s="121">
        <f>VLOOKUP(B16,All_Ingredients!$A$1:$J$151,10,FALSE())</f>
        <v>3</v>
      </c>
      <c r="K16" s="122">
        <f t="shared" si="6"/>
        <v>0.60060865060865143</v>
      </c>
      <c r="L16" s="122">
        <f t="shared" si="7"/>
        <v>1.8018259518259543</v>
      </c>
      <c r="M16" s="131"/>
      <c r="N16" s="131"/>
    </row>
    <row r="17" spans="1:31" ht="14.25" customHeight="1" x14ac:dyDescent="0.3">
      <c r="A17" s="128" t="s">
        <v>97</v>
      </c>
      <c r="B17" s="401" t="s">
        <v>96</v>
      </c>
      <c r="C17" s="124" t="s">
        <v>14</v>
      </c>
      <c r="D17" s="125">
        <v>6</v>
      </c>
      <c r="E17" s="197">
        <f t="shared" si="5"/>
        <v>5.6899766899766968</v>
      </c>
      <c r="F17" s="127">
        <v>0.75</v>
      </c>
      <c r="G17" s="121">
        <f t="shared" si="0"/>
        <v>34.139860139860183</v>
      </c>
      <c r="H17" s="120">
        <f t="shared" si="1"/>
        <v>25.604895104895135</v>
      </c>
      <c r="I17" s="81">
        <f>VLOOKUP(B17,All_Ingredients!$A$1:$F$151,6,FALSE())</f>
        <v>1</v>
      </c>
      <c r="J17" s="121">
        <f>VLOOKUP(B17,All_Ingredients!$A$1:$J$151,10,FALSE())</f>
        <v>0.74</v>
      </c>
      <c r="K17" s="122">
        <f t="shared" si="6"/>
        <v>2.5604895104895137E-2</v>
      </c>
      <c r="L17" s="122">
        <f t="shared" si="7"/>
        <v>1.8947622377622399E-2</v>
      </c>
      <c r="M17" s="131"/>
      <c r="N17" s="131"/>
    </row>
    <row r="18" spans="1:31" ht="14.25" customHeight="1" x14ac:dyDescent="0.3">
      <c r="A18" s="128" t="s">
        <v>220</v>
      </c>
      <c r="B18" s="222" t="s">
        <v>815</v>
      </c>
      <c r="C18" s="124" t="s">
        <v>14</v>
      </c>
      <c r="D18" s="125">
        <v>2</v>
      </c>
      <c r="E18" s="197">
        <f t="shared" si="5"/>
        <v>5.6899766899766968</v>
      </c>
      <c r="F18" s="127">
        <v>1</v>
      </c>
      <c r="G18" s="121">
        <f t="shared" si="0"/>
        <v>11.379953379953394</v>
      </c>
      <c r="H18" s="120">
        <f t="shared" si="1"/>
        <v>11.379953379953394</v>
      </c>
      <c r="I18" s="81">
        <f>VLOOKUP(B18,All_Ingredients!$A$1:$F$151,6,FALSE())</f>
        <v>1</v>
      </c>
      <c r="J18" s="121">
        <f>VLOOKUP(B18,All_Ingredients!$A$1:$J$151,10,FALSE())</f>
        <v>22.5</v>
      </c>
      <c r="K18" s="122">
        <f t="shared" si="6"/>
        <v>1.1379953379953393E-2</v>
      </c>
      <c r="L18" s="122">
        <f t="shared" si="7"/>
        <v>0.25604895104895137</v>
      </c>
      <c r="M18" s="131"/>
      <c r="N18" s="131"/>
    </row>
    <row r="19" spans="1:31" ht="14.25" customHeight="1" x14ac:dyDescent="0.3">
      <c r="A19" s="128" t="s">
        <v>158</v>
      </c>
      <c r="B19" s="418" t="s">
        <v>157</v>
      </c>
      <c r="C19" s="419" t="s">
        <v>14</v>
      </c>
      <c r="D19" s="420">
        <v>20</v>
      </c>
      <c r="E19" s="421">
        <f t="shared" si="5"/>
        <v>5.6899766899766968</v>
      </c>
      <c r="F19" s="127">
        <v>1</v>
      </c>
      <c r="G19" s="121">
        <f t="shared" si="0"/>
        <v>113.79953379953393</v>
      </c>
      <c r="H19" s="120">
        <f t="shared" si="1"/>
        <v>113.79953379953393</v>
      </c>
      <c r="I19" s="81">
        <f>VLOOKUP(B19,All_Ingredients!$A$1:$F$151,6,FALSE())</f>
        <v>1</v>
      </c>
      <c r="J19" s="121">
        <f>VLOOKUP(B19,All_Ingredients!$A$1:$J$151,10,FALSE())</f>
        <v>30</v>
      </c>
      <c r="K19" s="122">
        <f t="shared" si="6"/>
        <v>0.11379953379953393</v>
      </c>
      <c r="L19" s="122">
        <f t="shared" si="7"/>
        <v>3.4139860139860181</v>
      </c>
      <c r="M19" s="131"/>
      <c r="N19" s="131"/>
    </row>
    <row r="20" spans="1:31" ht="14.25" customHeight="1" x14ac:dyDescent="0.3">
      <c r="B20" s="422"/>
      <c r="C20" s="357"/>
      <c r="D20" s="358"/>
      <c r="E20" s="423"/>
      <c r="F20" s="100"/>
      <c r="G20" s="171"/>
      <c r="L20" s="297"/>
    </row>
    <row r="21" spans="1:31" ht="14.25" customHeight="1" x14ac:dyDescent="0.3">
      <c r="L21" s="297"/>
    </row>
    <row r="22" spans="1:31" ht="14.25" customHeight="1" x14ac:dyDescent="0.3">
      <c r="B22" s="92"/>
      <c r="C22" s="133"/>
      <c r="D22" s="254"/>
      <c r="E22" s="296"/>
      <c r="F22" s="136"/>
      <c r="G22" s="137"/>
      <c r="H22" s="138"/>
      <c r="L22" s="297"/>
      <c r="R22"/>
    </row>
    <row r="23" spans="1:31" ht="14.25" customHeight="1" x14ac:dyDescent="0.3">
      <c r="B23" s="92"/>
      <c r="C23" s="133"/>
      <c r="D23" s="254"/>
      <c r="E23" s="296"/>
      <c r="F23" s="136"/>
      <c r="G23" s="137"/>
      <c r="H23" s="138"/>
      <c r="L23" s="297"/>
    </row>
    <row r="24" spans="1:31" ht="14.25" customHeight="1" x14ac:dyDescent="0.3">
      <c r="L24" s="297"/>
      <c r="Z24" s="1234"/>
    </row>
    <row r="25" spans="1:31" ht="14.25" customHeight="1" x14ac:dyDescent="0.35">
      <c r="L25" s="297"/>
      <c r="R25" s="1411" t="s">
        <v>393</v>
      </c>
      <c r="S25" s="1388"/>
      <c r="T25" s="1388"/>
      <c r="U25" s="1388"/>
      <c r="V25" s="1151"/>
      <c r="Z25" s="141" t="s">
        <v>264</v>
      </c>
      <c r="AA25" s="142">
        <v>25400</v>
      </c>
      <c r="AB25" s="141" t="s">
        <v>261</v>
      </c>
      <c r="AC25" s="143">
        <f>(AA25*AE30)+(AA30*(AB28/R1))</f>
        <v>762.49923363772916</v>
      </c>
    </row>
    <row r="26" spans="1:31" ht="14.25" customHeight="1" x14ac:dyDescent="0.3">
      <c r="L26" s="297"/>
      <c r="R26" s="1409" t="s">
        <v>309</v>
      </c>
      <c r="S26" s="1410"/>
      <c r="T26" s="1410"/>
      <c r="U26" s="1410"/>
      <c r="V26" s="1151"/>
    </row>
    <row r="27" spans="1:31" ht="14.25" customHeight="1" thickBot="1" x14ac:dyDescent="0.35">
      <c r="R27" s="145" t="s">
        <v>266</v>
      </c>
      <c r="S27" s="146" t="s">
        <v>267</v>
      </c>
      <c r="T27" s="146" t="s">
        <v>268</v>
      </c>
      <c r="U27" s="146" t="s">
        <v>269</v>
      </c>
      <c r="V27" s="146" t="s">
        <v>839</v>
      </c>
      <c r="W27" s="146" t="s">
        <v>848</v>
      </c>
      <c r="Z27" s="141" t="s">
        <v>270</v>
      </c>
      <c r="AA27" s="1185" t="s">
        <v>324</v>
      </c>
      <c r="AB27" s="147" t="s">
        <v>271</v>
      </c>
      <c r="AC27" s="147" t="s">
        <v>272</v>
      </c>
      <c r="AD27" s="1186" t="s">
        <v>848</v>
      </c>
      <c r="AE27" s="147" t="s">
        <v>274</v>
      </c>
    </row>
    <row r="28" spans="1:31" ht="20.25" customHeight="1" thickBot="1" x14ac:dyDescent="0.35">
      <c r="R28" s="148" t="s">
        <v>275</v>
      </c>
      <c r="S28" s="760">
        <f>U28*S40</f>
        <v>18776.923076923071</v>
      </c>
      <c r="T28" s="760">
        <f>U28*U40</f>
        <v>5633.0769230769292</v>
      </c>
      <c r="U28" s="766">
        <f>$Z$1</f>
        <v>24410</v>
      </c>
      <c r="V28" s="149">
        <f>SUM(AP5:AP13)</f>
        <v>2355.0717079530632</v>
      </c>
      <c r="W28" s="149">
        <f>SUM(H37:H39)</f>
        <v>1778.7600000000002</v>
      </c>
      <c r="Z28" s="151"/>
      <c r="AA28" s="1188"/>
      <c r="AB28" s="152">
        <f>AA25*$S$40</f>
        <v>19538.461538461535</v>
      </c>
      <c r="AC28" s="152">
        <f>AA25*$U$40</f>
        <v>5861.5384615384673</v>
      </c>
      <c r="AD28" s="1188"/>
      <c r="AE28" s="154">
        <f>SUM(AB28:AC28)</f>
        <v>25400.000000000004</v>
      </c>
    </row>
    <row r="29" spans="1:31" ht="14.25" customHeight="1" thickBot="1" x14ac:dyDescent="0.35">
      <c r="R29" s="148" t="s">
        <v>276</v>
      </c>
      <c r="S29" s="762"/>
      <c r="T29" s="760"/>
      <c r="U29" s="149">
        <f>T29</f>
        <v>0</v>
      </c>
      <c r="V29" s="149"/>
      <c r="W29" s="149"/>
      <c r="Z29" s="151"/>
      <c r="AA29" s="1192"/>
      <c r="AB29" s="156">
        <f>AB28/$AE$28</f>
        <v>0.76923076923076905</v>
      </c>
      <c r="AC29" s="156">
        <f>AC28/$AE$28</f>
        <v>0.23076923076923098</v>
      </c>
      <c r="AD29" s="1192"/>
      <c r="AE29" s="156">
        <f>AE28/$AE$28</f>
        <v>1</v>
      </c>
    </row>
    <row r="30" spans="1:31" ht="14.25" customHeight="1" thickBot="1" x14ac:dyDescent="0.35">
      <c r="R30" s="148" t="s">
        <v>277</v>
      </c>
      <c r="S30" s="1362">
        <f>U30*S40</f>
        <v>0</v>
      </c>
      <c r="T30" s="760">
        <f>U30*U40</f>
        <v>0</v>
      </c>
      <c r="U30" s="766">
        <f>$AB$1</f>
        <v>0</v>
      </c>
      <c r="V30" s="1143"/>
      <c r="W30" s="1143"/>
      <c r="Z30" s="141" t="s">
        <v>278</v>
      </c>
      <c r="AA30" s="1196">
        <f>V35/(S32/R1)</f>
        <v>4.5761474433053749E-4</v>
      </c>
      <c r="AB30" s="157">
        <f>S35/(S32)</f>
        <v>3.3701221915648401E-2</v>
      </c>
      <c r="AC30" s="158">
        <f>T35/T32</f>
        <v>1.1584560671574892E-2</v>
      </c>
      <c r="AD30" s="1199">
        <f>W35/U32</f>
        <v>8.2564846158821904E-4</v>
      </c>
      <c r="AE30" s="1201">
        <f>SUMPRODUCT(AB30:AC30,AB29:AC29)+AD30</f>
        <v>2.9423025474758113E-2</v>
      </c>
    </row>
    <row r="31" spans="1:31" ht="14.25" customHeight="1" thickBot="1" x14ac:dyDescent="0.35">
      <c r="R31" s="148" t="s">
        <v>279</v>
      </c>
      <c r="S31" s="155"/>
      <c r="T31" s="149"/>
      <c r="U31" s="149"/>
      <c r="V31" s="149"/>
      <c r="W31" s="149"/>
    </row>
    <row r="32" spans="1:31" ht="14.25" customHeight="1" thickBot="1" x14ac:dyDescent="0.35">
      <c r="R32" s="160" t="s">
        <v>269</v>
      </c>
      <c r="S32" s="149">
        <f>S28+S30</f>
        <v>18776.923076923071</v>
      </c>
      <c r="T32" s="149">
        <f>SUM(T28:T30)</f>
        <v>5633.0769230769292</v>
      </c>
      <c r="U32" s="149">
        <f>SUM(U28:U30)</f>
        <v>24410</v>
      </c>
      <c r="V32" s="149"/>
      <c r="W32" s="149">
        <f>SUM(W28:W30)</f>
        <v>1778.7600000000002</v>
      </c>
    </row>
    <row r="33" spans="2:23" ht="14.25" customHeight="1" thickBot="1" x14ac:dyDescent="0.35">
      <c r="R33" s="161" t="s">
        <v>280</v>
      </c>
      <c r="S33" s="155"/>
      <c r="T33" s="155"/>
      <c r="U33" s="155"/>
      <c r="V33" s="155"/>
      <c r="W33" s="155"/>
    </row>
    <row r="34" spans="2:23" ht="14.25" customHeight="1" thickBot="1" x14ac:dyDescent="0.35">
      <c r="R34" s="162" t="s">
        <v>281</v>
      </c>
      <c r="S34" s="155"/>
      <c r="T34" s="149"/>
      <c r="U34" s="155"/>
      <c r="V34" s="155"/>
      <c r="W34" s="155"/>
    </row>
    <row r="35" spans="2:23" ht="18.75" customHeight="1" thickBot="1" x14ac:dyDescent="0.35">
      <c r="B35" s="1394" t="s">
        <v>757</v>
      </c>
      <c r="C35" s="1394"/>
      <c r="D35" s="1394"/>
      <c r="E35" s="1394"/>
      <c r="F35" s="1394"/>
      <c r="G35" s="882"/>
      <c r="H35" s="882"/>
      <c r="I35" s="889"/>
      <c r="J35" s="889"/>
      <c r="K35" s="889"/>
      <c r="L35" s="889"/>
      <c r="R35" s="163" t="s">
        <v>261</v>
      </c>
      <c r="S35" s="1144">
        <f>$L$5</f>
        <v>632.80525150844403</v>
      </c>
      <c r="T35" s="1144">
        <f>SUM(L6:L19)</f>
        <v>65.256721383033096</v>
      </c>
      <c r="U35" s="1203">
        <f>S35+T35+V35+W35</f>
        <v>732.77977531877832</v>
      </c>
      <c r="V35" s="1144">
        <f>SUM(AT6:AT13)</f>
        <v>14.563723479932747</v>
      </c>
      <c r="W35" s="149">
        <f>SUM(L37:L39)</f>
        <v>20.154078947368426</v>
      </c>
    </row>
    <row r="36" spans="2:23" ht="46.5" x14ac:dyDescent="0.3">
      <c r="B36" s="860" t="s">
        <v>253</v>
      </c>
      <c r="C36" s="860" t="s">
        <v>329</v>
      </c>
      <c r="D36" s="862" t="s">
        <v>671</v>
      </c>
      <c r="E36" s="859" t="s">
        <v>672</v>
      </c>
      <c r="F36" s="862" t="s">
        <v>673</v>
      </c>
      <c r="G36" s="882"/>
      <c r="H36" s="862" t="s">
        <v>673</v>
      </c>
      <c r="I36" s="862" t="s">
        <v>258</v>
      </c>
      <c r="J36" s="862" t="s">
        <v>259</v>
      </c>
      <c r="K36" s="862" t="s">
        <v>260</v>
      </c>
      <c r="L36" s="862" t="s">
        <v>261</v>
      </c>
    </row>
    <row r="37" spans="2:23" x14ac:dyDescent="0.3">
      <c r="B37" s="855" t="s">
        <v>28</v>
      </c>
      <c r="C37" s="856" t="s">
        <v>14</v>
      </c>
      <c r="D37" s="857">
        <v>3.66</v>
      </c>
      <c r="E37" s="855">
        <f>$AD$1</f>
        <v>162</v>
      </c>
      <c r="F37" s="1170">
        <f>D37*E37</f>
        <v>592.92000000000007</v>
      </c>
      <c r="H37" s="855">
        <f>F37</f>
        <v>592.92000000000007</v>
      </c>
      <c r="I37" s="855">
        <f>VLOOKUP(B37,All_Ingredients!$A$1:$F$151,6,FALSE())</f>
        <v>0.56999999999999995</v>
      </c>
      <c r="J37" s="855">
        <f>VLOOKUP(B37,All_Ingredients!$A$1:$J$151,10,FALSE())</f>
        <v>8.5</v>
      </c>
      <c r="K37" s="855">
        <f>(H37/I37)/1000</f>
        <v>1.0402105263157897</v>
      </c>
      <c r="L37" s="855">
        <f t="shared" ref="L37" si="12">K37*J37</f>
        <v>8.8417894736842122</v>
      </c>
    </row>
    <row r="38" spans="2:23" x14ac:dyDescent="0.3">
      <c r="B38" s="855" t="s">
        <v>30</v>
      </c>
      <c r="C38" s="856" t="s">
        <v>14</v>
      </c>
      <c r="D38" s="857">
        <v>3.66</v>
      </c>
      <c r="E38" s="855">
        <f>$AD$1</f>
        <v>162</v>
      </c>
      <c r="F38" s="1170">
        <f>D38*E38</f>
        <v>592.92000000000007</v>
      </c>
      <c r="H38" s="855">
        <f>F38</f>
        <v>592.92000000000007</v>
      </c>
      <c r="I38" s="855">
        <f>VLOOKUP(B38,All_Ingredients!$A$1:$F$151,6,FALSE())</f>
        <v>0.56999999999999995</v>
      </c>
      <c r="J38" s="855">
        <f>VLOOKUP(B38,All_Ingredients!$A$1:$J$151,10,FALSE())</f>
        <v>8.5</v>
      </c>
      <c r="K38" s="855">
        <f t="shared" ref="K38:K39" si="13">(H38/I38)/1000</f>
        <v>1.0402105263157897</v>
      </c>
      <c r="L38" s="855">
        <f t="shared" ref="L38:L39" si="14">K38*J38</f>
        <v>8.8417894736842122</v>
      </c>
    </row>
    <row r="39" spans="2:23" x14ac:dyDescent="0.3">
      <c r="B39" s="855" t="s">
        <v>32</v>
      </c>
      <c r="C39" s="856" t="s">
        <v>14</v>
      </c>
      <c r="D39" s="857">
        <v>3.66</v>
      </c>
      <c r="E39" s="855">
        <f>$AD$1</f>
        <v>162</v>
      </c>
      <c r="F39" s="1170">
        <f>D39*E39</f>
        <v>592.92000000000007</v>
      </c>
      <c r="H39" s="855">
        <f>F39</f>
        <v>592.92000000000007</v>
      </c>
      <c r="I39" s="855">
        <f>VLOOKUP(B39,All_Ingredients!$A$1:$F$151,6,FALSE())</f>
        <v>0.96</v>
      </c>
      <c r="J39" s="855">
        <f>VLOOKUP(B39,All_Ingredients!$A$1:$J$151,10,FALSE())</f>
        <v>4</v>
      </c>
      <c r="K39" s="855">
        <f t="shared" si="13"/>
        <v>0.61762500000000009</v>
      </c>
      <c r="L39" s="855">
        <f t="shared" si="14"/>
        <v>2.4705000000000004</v>
      </c>
    </row>
    <row r="40" spans="2:23" ht="19.25" customHeight="1" x14ac:dyDescent="0.3">
      <c r="R40" s="165" t="s">
        <v>282</v>
      </c>
      <c r="S40" s="166">
        <v>0.76923076923076905</v>
      </c>
      <c r="T40" s="165" t="s">
        <v>283</v>
      </c>
      <c r="U40" s="167">
        <v>0.230769230769231</v>
      </c>
      <c r="V40" s="168">
        <f>S40+U40</f>
        <v>1</v>
      </c>
    </row>
    <row r="41" spans="2:23" ht="14.25" customHeight="1" x14ac:dyDescent="0.3">
      <c r="U41" s="169"/>
    </row>
    <row r="43" spans="2:23" ht="14.25" customHeight="1" x14ac:dyDescent="0.3">
      <c r="Q43" s="170" t="s">
        <v>284</v>
      </c>
      <c r="R43" s="170" t="s">
        <v>285</v>
      </c>
      <c r="S43" s="170" t="s">
        <v>286</v>
      </c>
      <c r="T43" s="170" t="s">
        <v>287</v>
      </c>
      <c r="U43" s="170" t="s">
        <v>288</v>
      </c>
      <c r="V43" s="170" t="s">
        <v>289</v>
      </c>
      <c r="W43" s="258" t="s">
        <v>290</v>
      </c>
    </row>
    <row r="44" spans="2:23" ht="14.25" customHeight="1" x14ac:dyDescent="0.3">
      <c r="Q44" s="172">
        <v>43334</v>
      </c>
      <c r="R44" s="173">
        <f>D51</f>
        <v>10000</v>
      </c>
      <c r="S44" s="241">
        <v>1</v>
      </c>
      <c r="T44" s="174">
        <v>0</v>
      </c>
      <c r="U44" s="242">
        <f>R44*S44</f>
        <v>10000</v>
      </c>
      <c r="V44" s="176">
        <f>R44*T44</f>
        <v>0</v>
      </c>
      <c r="W44" s="260">
        <f>Q44-U44</f>
        <v>33334</v>
      </c>
    </row>
    <row r="48" spans="2:23" ht="14" customHeight="1" x14ac:dyDescent="0.3"/>
    <row r="49" spans="1:10" ht="14" customHeight="1" x14ac:dyDescent="0.3"/>
    <row r="50" spans="1:10" x14ac:dyDescent="0.3">
      <c r="B50" s="276"/>
      <c r="C50" s="145" t="s">
        <v>245</v>
      </c>
      <c r="D50" s="145" t="s">
        <v>291</v>
      </c>
      <c r="E50" s="183"/>
      <c r="F50" s="100"/>
      <c r="G50" s="145" t="s">
        <v>292</v>
      </c>
      <c r="H50" s="145" t="s">
        <v>245</v>
      </c>
      <c r="I50" s="145" t="s">
        <v>293</v>
      </c>
      <c r="J50" s="145" t="s">
        <v>294</v>
      </c>
    </row>
    <row r="51" spans="1:10" ht="14.25" customHeight="1" x14ac:dyDescent="0.3">
      <c r="B51" s="180" t="s">
        <v>295</v>
      </c>
      <c r="C51" s="181">
        <f>10/$K$1</f>
        <v>10.1010101010101</v>
      </c>
      <c r="D51" s="182">
        <f>$C$1*10</f>
        <v>10000</v>
      </c>
      <c r="E51" s="183"/>
      <c r="F51" s="100"/>
      <c r="G51" s="180" t="s">
        <v>295</v>
      </c>
      <c r="H51" s="277">
        <f>I51/$D$5</f>
        <v>10</v>
      </c>
      <c r="I51" s="181">
        <f>J51/$R$1</f>
        <v>56498.305084745763</v>
      </c>
      <c r="J51" s="181">
        <f>$W$44</f>
        <v>33334</v>
      </c>
    </row>
    <row r="52" spans="1:10" ht="14.25" customHeight="1" x14ac:dyDescent="0.3">
      <c r="B52" s="231" t="s">
        <v>274</v>
      </c>
      <c r="C52" s="232">
        <f>$I$1</f>
        <v>5.6899766899766968</v>
      </c>
      <c r="D52" s="233">
        <f>$E$1</f>
        <v>5633.0769230769292</v>
      </c>
      <c r="E52" s="100"/>
      <c r="F52" s="100"/>
      <c r="G52" s="148" t="s">
        <v>274</v>
      </c>
      <c r="H52" s="210">
        <f>I52/$D$5</f>
        <v>5.6329642637916457</v>
      </c>
      <c r="I52" s="176">
        <f>J52/$R$1</f>
        <v>31825.293350717071</v>
      </c>
      <c r="J52" s="184">
        <f>$S$32</f>
        <v>18776.923076923071</v>
      </c>
    </row>
    <row r="53" spans="1:10" ht="14.25" customHeight="1" x14ac:dyDescent="0.3">
      <c r="B53" s="231" t="s">
        <v>296</v>
      </c>
      <c r="C53" s="234">
        <f>MIN(C52, C51)</f>
        <v>5.6899766899766968</v>
      </c>
      <c r="D53" s="233">
        <f>(C53*$K$1)*$C$1</f>
        <v>5633.0769230769292</v>
      </c>
      <c r="E53" s="100"/>
      <c r="F53" s="100"/>
      <c r="G53" s="148" t="s">
        <v>296</v>
      </c>
      <c r="H53" s="187">
        <f>MIN(H52,H51)</f>
        <v>5.6329642637916457</v>
      </c>
      <c r="I53" s="176">
        <f>J53/$R$1</f>
        <v>31825.293350717071</v>
      </c>
      <c r="J53" s="176">
        <f>MIN(J52,J51)</f>
        <v>18776.923076923071</v>
      </c>
    </row>
    <row r="54" spans="1:10" ht="14.25" customHeight="1" x14ac:dyDescent="0.3">
      <c r="B54" s="231" t="s">
        <v>297</v>
      </c>
      <c r="C54" s="234">
        <f>MIN(MAX(C52-C53,0),C51)</f>
        <v>0</v>
      </c>
      <c r="D54" s="233">
        <f>(C54*$K$1)*$C$1</f>
        <v>0</v>
      </c>
      <c r="E54" s="100"/>
      <c r="F54" s="100"/>
      <c r="G54" s="148" t="s">
        <v>297</v>
      </c>
      <c r="H54" s="187">
        <f>MIN(MAX(H52-H53),H51)</f>
        <v>0</v>
      </c>
      <c r="I54" s="176">
        <f>J54/$R$1</f>
        <v>0</v>
      </c>
      <c r="J54" s="176">
        <f>MIN(MAX(J52-J53),J51)</f>
        <v>0</v>
      </c>
    </row>
    <row r="55" spans="1:10" ht="14.25" customHeight="1" x14ac:dyDescent="0.3">
      <c r="B55" s="231" t="s">
        <v>298</v>
      </c>
      <c r="C55" s="234">
        <f>MIN(MAX(C52-C53-C54,0),C51)</f>
        <v>0</v>
      </c>
      <c r="D55" s="233">
        <f>(C55*$K$1)*$C$1</f>
        <v>0</v>
      </c>
      <c r="E55" s="100"/>
      <c r="F55" s="100"/>
      <c r="G55" s="145" t="s">
        <v>298</v>
      </c>
      <c r="H55" s="187">
        <f>MIN(MAX(H52-H53-H54),H51)</f>
        <v>0</v>
      </c>
      <c r="I55" s="176">
        <f>J55/$R$1</f>
        <v>0</v>
      </c>
      <c r="J55" s="176">
        <f>MIN(MAX(J52-J53-J54),J51)</f>
        <v>0</v>
      </c>
    </row>
    <row r="56" spans="1:10" ht="14.25" customHeight="1" x14ac:dyDescent="0.3"/>
    <row r="61" spans="1:10" ht="18" x14ac:dyDescent="0.3">
      <c r="I61" s="262"/>
      <c r="J61" s="262"/>
    </row>
    <row r="62" spans="1:10" ht="17.75" customHeight="1" x14ac:dyDescent="0.3">
      <c r="A62" s="937"/>
      <c r="B62" s="1465" t="str">
        <f>"  دجاج مكروني بالخضار 1 / " &amp; COUNTIF($C$53:$C$55, "&gt;0")</f>
        <v xml:space="preserve">  دجاج مكروني بالخضار 1 / 1</v>
      </c>
      <c r="C62" s="1383"/>
      <c r="D62" s="1383"/>
      <c r="E62" s="1383"/>
      <c r="F62" s="1383"/>
      <c r="G62" s="1383"/>
      <c r="H62" s="1466"/>
      <c r="I62" s="262"/>
      <c r="J62" s="262"/>
    </row>
    <row r="63" spans="1:10" ht="30" customHeight="1" x14ac:dyDescent="0.3">
      <c r="A63" s="937"/>
      <c r="B63" s="1461" t="str">
        <f>" Chicken Pasta with Vegetables 1 / " &amp; COUNTIF($C$53:$C$55, "&gt;0")</f>
        <v xml:space="preserve"> Chicken Pasta with Vegetables 1 / 1</v>
      </c>
      <c r="C63" s="1385"/>
      <c r="D63" s="1385"/>
      <c r="E63" s="1385"/>
      <c r="F63" s="1385"/>
      <c r="G63" s="1385"/>
      <c r="H63" s="1462"/>
      <c r="I63" s="371"/>
      <c r="J63" s="371"/>
    </row>
    <row r="64" spans="1:10" ht="53.25" customHeight="1" x14ac:dyDescent="0.25">
      <c r="A64" s="91"/>
      <c r="B64" s="91" t="s">
        <v>253</v>
      </c>
      <c r="C64" s="107" t="s">
        <v>254</v>
      </c>
      <c r="D64" s="91" t="s">
        <v>243</v>
      </c>
      <c r="E64" s="108" t="s">
        <v>246</v>
      </c>
      <c r="F64" s="108" t="s">
        <v>255</v>
      </c>
      <c r="G64" s="89" t="s">
        <v>256</v>
      </c>
      <c r="H64" s="109" t="s">
        <v>257</v>
      </c>
      <c r="I64" s="92"/>
      <c r="J64" s="139"/>
    </row>
    <row r="65" spans="1:10" ht="14.25" customHeight="1" x14ac:dyDescent="0.3">
      <c r="A65" s="128" t="s">
        <v>230</v>
      </c>
      <c r="B65" s="81" t="str">
        <f t="shared" ref="B65:D79" si="15">B5</f>
        <v>Chicken - دجاج</v>
      </c>
      <c r="C65" s="81" t="str">
        <f t="shared" si="15"/>
        <v>gm</v>
      </c>
      <c r="D65" s="119">
        <f t="shared" si="15"/>
        <v>5649.8305084745762</v>
      </c>
      <c r="E65" s="126">
        <f>H53</f>
        <v>5.6329642637916457</v>
      </c>
      <c r="F65" s="127">
        <f t="shared" ref="F65:F79" si="16">F5</f>
        <v>1</v>
      </c>
      <c r="G65" s="424">
        <f t="shared" ref="G65:G79" si="17">D65*E65</f>
        <v>31825.293350717071</v>
      </c>
      <c r="H65" s="120">
        <f t="shared" ref="H65:H79" si="18">G65*F65</f>
        <v>31825.293350717071</v>
      </c>
      <c r="I65" s="92"/>
      <c r="J65" s="139"/>
    </row>
    <row r="66" spans="1:10" ht="14.25" customHeight="1" x14ac:dyDescent="0.3">
      <c r="A66" s="128" t="s">
        <v>13</v>
      </c>
      <c r="B66" s="81" t="str">
        <f t="shared" si="15"/>
        <v>Garlic - ثوم مقشر</v>
      </c>
      <c r="C66" s="81" t="str">
        <f t="shared" si="15"/>
        <v>gm</v>
      </c>
      <c r="D66" s="81">
        <f t="shared" si="15"/>
        <v>20</v>
      </c>
      <c r="E66" s="126">
        <f t="shared" ref="E66:E79" si="19">$C$53</f>
        <v>5.6899766899766968</v>
      </c>
      <c r="F66" s="127">
        <f t="shared" si="16"/>
        <v>1</v>
      </c>
      <c r="G66" s="424">
        <f t="shared" si="17"/>
        <v>113.79953379953393</v>
      </c>
      <c r="H66" s="120">
        <f t="shared" si="18"/>
        <v>113.79953379953393</v>
      </c>
      <c r="I66" s="92"/>
      <c r="J66" s="139"/>
    </row>
    <row r="67" spans="1:10" ht="14.25" customHeight="1" x14ac:dyDescent="0.3">
      <c r="A67" s="128" t="s">
        <v>57</v>
      </c>
      <c r="B67" s="81" t="str">
        <f t="shared" si="15"/>
        <v>Ginger - زنجبيل</v>
      </c>
      <c r="C67" s="81" t="str">
        <f t="shared" si="15"/>
        <v>gm</v>
      </c>
      <c r="D67" s="81">
        <f t="shared" si="15"/>
        <v>20</v>
      </c>
      <c r="E67" s="126">
        <f t="shared" si="19"/>
        <v>5.6899766899766968</v>
      </c>
      <c r="F67" s="127">
        <f t="shared" si="16"/>
        <v>1</v>
      </c>
      <c r="G67" s="424">
        <f t="shared" si="17"/>
        <v>113.79953379953393</v>
      </c>
      <c r="H67" s="120">
        <f t="shared" si="18"/>
        <v>113.79953379953393</v>
      </c>
      <c r="I67" s="92"/>
      <c r="J67" s="139"/>
    </row>
    <row r="68" spans="1:10" ht="14.25" customHeight="1" x14ac:dyDescent="0.3">
      <c r="A68" s="128" t="s">
        <v>186</v>
      </c>
      <c r="B68" s="81" t="str">
        <f t="shared" si="15"/>
        <v>Honey - عسل</v>
      </c>
      <c r="C68" s="81" t="str">
        <f t="shared" si="15"/>
        <v>gm</v>
      </c>
      <c r="D68" s="81">
        <f t="shared" si="15"/>
        <v>50</v>
      </c>
      <c r="E68" s="126">
        <f t="shared" si="19"/>
        <v>5.6899766899766968</v>
      </c>
      <c r="F68" s="127">
        <f t="shared" si="16"/>
        <v>1</v>
      </c>
      <c r="G68" s="424">
        <f t="shared" si="17"/>
        <v>284.49883449883487</v>
      </c>
      <c r="H68" s="120">
        <f t="shared" si="18"/>
        <v>284.49883449883487</v>
      </c>
      <c r="I68" s="92"/>
      <c r="J68" s="139"/>
    </row>
    <row r="69" spans="1:10" ht="14.25" customHeight="1" x14ac:dyDescent="0.3">
      <c r="A69" s="128" t="s">
        <v>196</v>
      </c>
      <c r="B69" s="81" t="str">
        <f t="shared" si="15"/>
        <v>Tomato Ketchup - كاتشب طماطم</v>
      </c>
      <c r="C69" s="81" t="str">
        <f t="shared" si="15"/>
        <v>ml</v>
      </c>
      <c r="D69" s="81">
        <f t="shared" si="15"/>
        <v>200</v>
      </c>
      <c r="E69" s="126">
        <f>$C$53</f>
        <v>5.6899766899766968</v>
      </c>
      <c r="F69" s="127">
        <f t="shared" si="16"/>
        <v>1</v>
      </c>
      <c r="G69" s="424">
        <f t="shared" si="17"/>
        <v>1137.9953379953395</v>
      </c>
      <c r="H69" s="120">
        <f t="shared" si="18"/>
        <v>1137.9953379953395</v>
      </c>
      <c r="I69" s="92"/>
      <c r="J69" s="139"/>
    </row>
    <row r="70" spans="1:10" ht="14.25" customHeight="1" x14ac:dyDescent="0.3">
      <c r="A70" s="128" t="s">
        <v>196</v>
      </c>
      <c r="B70" s="81" t="str">
        <f t="shared" si="15"/>
        <v>Tomato Paste - صلصة طماطم</v>
      </c>
      <c r="C70" s="81" t="str">
        <f t="shared" si="15"/>
        <v>gm</v>
      </c>
      <c r="D70" s="81">
        <f t="shared" si="15"/>
        <v>20</v>
      </c>
      <c r="E70" s="126">
        <f t="shared" si="19"/>
        <v>5.6899766899766968</v>
      </c>
      <c r="F70" s="127">
        <f t="shared" si="16"/>
        <v>1</v>
      </c>
      <c r="G70" s="424">
        <f t="shared" si="17"/>
        <v>113.79953379953393</v>
      </c>
      <c r="H70" s="120">
        <f t="shared" si="18"/>
        <v>113.79953379953393</v>
      </c>
      <c r="I70" s="92"/>
      <c r="J70" s="139"/>
    </row>
    <row r="71" spans="1:10" ht="14.25" customHeight="1" x14ac:dyDescent="0.3">
      <c r="A71" s="128" t="s">
        <v>97</v>
      </c>
      <c r="B71" s="81" t="str">
        <f t="shared" si="15"/>
        <v>Maggi Cubes - مكعبات ماجي</v>
      </c>
      <c r="C71" s="81" t="str">
        <f t="shared" si="15"/>
        <v>gm</v>
      </c>
      <c r="D71" s="81">
        <f t="shared" si="15"/>
        <v>10</v>
      </c>
      <c r="E71" s="126">
        <f t="shared" si="19"/>
        <v>5.6899766899766968</v>
      </c>
      <c r="F71" s="127">
        <f t="shared" si="16"/>
        <v>0.75</v>
      </c>
      <c r="G71" s="424">
        <f t="shared" si="17"/>
        <v>56.899766899766966</v>
      </c>
      <c r="H71" s="120">
        <f t="shared" si="18"/>
        <v>42.674825174825223</v>
      </c>
      <c r="I71" s="92"/>
      <c r="J71" s="139"/>
    </row>
    <row r="72" spans="1:10" ht="14.25" customHeight="1" x14ac:dyDescent="0.3">
      <c r="A72" s="128" t="s">
        <v>158</v>
      </c>
      <c r="B72" s="81" t="str">
        <f t="shared" si="15"/>
        <v>Milk - حليب</v>
      </c>
      <c r="C72" s="81" t="str">
        <f t="shared" si="15"/>
        <v>ml</v>
      </c>
      <c r="D72" s="81">
        <f t="shared" si="15"/>
        <v>100</v>
      </c>
      <c r="E72" s="126">
        <f t="shared" si="19"/>
        <v>5.6899766899766968</v>
      </c>
      <c r="F72" s="127">
        <f t="shared" si="16"/>
        <v>1</v>
      </c>
      <c r="G72" s="424">
        <f t="shared" si="17"/>
        <v>568.99766899766973</v>
      </c>
      <c r="H72" s="120">
        <f t="shared" si="18"/>
        <v>568.99766899766973</v>
      </c>
      <c r="I72" s="92"/>
      <c r="J72" s="139"/>
    </row>
    <row r="73" spans="1:10" ht="14.25" customHeight="1" x14ac:dyDescent="0.3">
      <c r="A73" s="128" t="s">
        <v>196</v>
      </c>
      <c r="B73" s="81" t="str">
        <f t="shared" si="15"/>
        <v>Mustard - خردل</v>
      </c>
      <c r="C73" s="81" t="str">
        <f t="shared" si="15"/>
        <v>gm</v>
      </c>
      <c r="D73" s="81">
        <f t="shared" si="15"/>
        <v>25</v>
      </c>
      <c r="E73" s="126">
        <f t="shared" si="19"/>
        <v>5.6899766899766968</v>
      </c>
      <c r="F73" s="127">
        <f t="shared" si="16"/>
        <v>1</v>
      </c>
      <c r="G73" s="424">
        <f t="shared" si="17"/>
        <v>142.24941724941743</v>
      </c>
      <c r="H73" s="120">
        <f t="shared" si="18"/>
        <v>142.24941724941743</v>
      </c>
      <c r="I73" s="92"/>
      <c r="J73" s="139"/>
    </row>
    <row r="74" spans="1:10" ht="14.25" customHeight="1" x14ac:dyDescent="0.3">
      <c r="A74" s="128" t="s">
        <v>196</v>
      </c>
      <c r="B74" s="81" t="str">
        <f t="shared" si="15"/>
        <v>Sriracha Sauce - صوص سريراتشا</v>
      </c>
      <c r="C74" s="81" t="str">
        <f t="shared" si="15"/>
        <v>ml</v>
      </c>
      <c r="D74" s="81">
        <f t="shared" si="15"/>
        <v>30</v>
      </c>
      <c r="E74" s="126">
        <f t="shared" si="19"/>
        <v>5.6899766899766968</v>
      </c>
      <c r="F74" s="127">
        <f t="shared" si="16"/>
        <v>0.75</v>
      </c>
      <c r="G74" s="424">
        <f t="shared" si="17"/>
        <v>170.69930069930089</v>
      </c>
      <c r="H74" s="120">
        <f t="shared" si="18"/>
        <v>128.02447552447566</v>
      </c>
      <c r="I74" s="92"/>
      <c r="J74" s="139"/>
    </row>
    <row r="75" spans="1:10" ht="14.25" customHeight="1" x14ac:dyDescent="0.3">
      <c r="A75" s="128" t="s">
        <v>158</v>
      </c>
      <c r="B75" s="81" t="str">
        <f t="shared" si="15"/>
        <v>Cooking Cream - كريمة طبخ</v>
      </c>
      <c r="C75" s="81" t="str">
        <f t="shared" si="15"/>
        <v>ml</v>
      </c>
      <c r="D75" s="81">
        <f t="shared" si="15"/>
        <v>500</v>
      </c>
      <c r="E75" s="126">
        <f t="shared" si="19"/>
        <v>5.6899766899766968</v>
      </c>
      <c r="F75" s="127">
        <f t="shared" si="16"/>
        <v>1</v>
      </c>
      <c r="G75" s="424">
        <f t="shared" si="17"/>
        <v>2844.9883449883482</v>
      </c>
      <c r="H75" s="120">
        <f t="shared" si="18"/>
        <v>2844.9883449883482</v>
      </c>
      <c r="I75" s="92"/>
      <c r="J75" s="139"/>
    </row>
    <row r="76" spans="1:10" ht="14.25" customHeight="1" x14ac:dyDescent="0.3">
      <c r="A76" s="128" t="s">
        <v>13</v>
      </c>
      <c r="B76" s="81" t="str">
        <f t="shared" si="15"/>
        <v>Onion - بصل</v>
      </c>
      <c r="C76" s="81" t="str">
        <f t="shared" si="15"/>
        <v>gm</v>
      </c>
      <c r="D76" s="81">
        <f t="shared" si="15"/>
        <v>100</v>
      </c>
      <c r="E76" s="126">
        <f t="shared" si="19"/>
        <v>5.6899766899766968</v>
      </c>
      <c r="F76" s="127">
        <f t="shared" si="16"/>
        <v>0.95</v>
      </c>
      <c r="G76" s="424">
        <f t="shared" si="17"/>
        <v>568.99766899766973</v>
      </c>
      <c r="H76" s="120">
        <f t="shared" si="18"/>
        <v>540.54778554778625</v>
      </c>
      <c r="I76" s="92"/>
      <c r="J76" s="139"/>
    </row>
    <row r="77" spans="1:10" ht="14.25" customHeight="1" x14ac:dyDescent="0.3">
      <c r="A77" s="128" t="s">
        <v>97</v>
      </c>
      <c r="B77" s="81" t="str">
        <f t="shared" si="15"/>
        <v>Salt - ملح</v>
      </c>
      <c r="C77" s="81" t="str">
        <f t="shared" si="15"/>
        <v>gm</v>
      </c>
      <c r="D77" s="81">
        <f t="shared" si="15"/>
        <v>6</v>
      </c>
      <c r="E77" s="126">
        <f t="shared" si="19"/>
        <v>5.6899766899766968</v>
      </c>
      <c r="F77" s="127">
        <f t="shared" si="16"/>
        <v>0.75</v>
      </c>
      <c r="G77" s="424">
        <f t="shared" si="17"/>
        <v>34.139860139860183</v>
      </c>
      <c r="H77" s="120">
        <f t="shared" si="18"/>
        <v>25.604895104895135</v>
      </c>
      <c r="I77" s="92"/>
      <c r="J77" s="139"/>
    </row>
    <row r="78" spans="1:10" ht="14.25" customHeight="1" x14ac:dyDescent="0.3">
      <c r="A78" s="128" t="s">
        <v>220</v>
      </c>
      <c r="B78" s="81" t="str">
        <f t="shared" si="15"/>
        <v>لون صفار زعفران بودر - Saffron yellow color powder</v>
      </c>
      <c r="C78" s="81" t="str">
        <f t="shared" si="15"/>
        <v>gm</v>
      </c>
      <c r="D78" s="81">
        <f t="shared" si="15"/>
        <v>2</v>
      </c>
      <c r="E78" s="126">
        <f t="shared" si="19"/>
        <v>5.6899766899766968</v>
      </c>
      <c r="F78" s="127">
        <f t="shared" si="16"/>
        <v>1</v>
      </c>
      <c r="G78" s="424">
        <f t="shared" si="17"/>
        <v>11.379953379953394</v>
      </c>
      <c r="H78" s="120">
        <f t="shared" si="18"/>
        <v>11.379953379953394</v>
      </c>
      <c r="I78" s="92"/>
      <c r="J78" s="139"/>
    </row>
    <row r="79" spans="1:10" ht="14.25" customHeight="1" x14ac:dyDescent="0.4">
      <c r="A79" s="128" t="s">
        <v>158</v>
      </c>
      <c r="B79" s="81" t="str">
        <f t="shared" si="15"/>
        <v>Butter - زبدة</v>
      </c>
      <c r="C79" s="81" t="str">
        <f t="shared" si="15"/>
        <v>gm</v>
      </c>
      <c r="D79" s="81">
        <f t="shared" si="15"/>
        <v>20</v>
      </c>
      <c r="E79" s="126">
        <f t="shared" si="19"/>
        <v>5.6899766899766968</v>
      </c>
      <c r="F79" s="127">
        <f t="shared" si="16"/>
        <v>1</v>
      </c>
      <c r="G79" s="424">
        <f t="shared" si="17"/>
        <v>113.79953379953393</v>
      </c>
      <c r="H79" s="120">
        <f t="shared" si="18"/>
        <v>113.79953379953393</v>
      </c>
      <c r="J79" s="203"/>
    </row>
    <row r="80" spans="1:10" ht="20.25" customHeight="1" x14ac:dyDescent="0.3">
      <c r="A80" s="211"/>
      <c r="B80" s="198" t="s">
        <v>299</v>
      </c>
      <c r="C80" s="200" t="s">
        <v>285</v>
      </c>
      <c r="E80" s="200" t="s">
        <v>300</v>
      </c>
      <c r="G80" s="890" t="s">
        <v>276</v>
      </c>
      <c r="H80" s="890" t="s">
        <v>733</v>
      </c>
    </row>
    <row r="81" spans="1:8" ht="20" x14ac:dyDescent="0.4">
      <c r="A81" s="211"/>
      <c r="B81" s="199">
        <f>$J$53</f>
        <v>18776.923076923071</v>
      </c>
      <c r="C81" s="199">
        <f>E81+G81</f>
        <v>5633.0769230769292</v>
      </c>
      <c r="D81" s="930"/>
      <c r="E81" s="199">
        <f>$D$53*$S$44</f>
        <v>5633.0769230769292</v>
      </c>
      <c r="F81" s="934"/>
      <c r="G81" s="199">
        <f>$D$53*$T$44</f>
        <v>0</v>
      </c>
      <c r="H81" s="199">
        <f>B81+E81</f>
        <v>24410</v>
      </c>
    </row>
  </sheetData>
  <mergeCells count="12">
    <mergeCell ref="AK2:AM2"/>
    <mergeCell ref="B63:H63"/>
    <mergeCell ref="L2:L3"/>
    <mergeCell ref="B2:J3"/>
    <mergeCell ref="AE2:AG3"/>
    <mergeCell ref="R26:U26"/>
    <mergeCell ref="R25:U25"/>
    <mergeCell ref="M2:M3"/>
    <mergeCell ref="B62:H62"/>
    <mergeCell ref="N2:N3"/>
    <mergeCell ref="K2:K3"/>
    <mergeCell ref="B35:F35"/>
  </mergeCells>
  <printOptions horizontalCentered="1"/>
  <pageMargins left="0.5" right="0.5" top="1" bottom="0.5" header="0.3" footer="0.511811023622047"/>
  <pageSetup paperSize="9" scale="28" orientation="portrait"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rgb="FFBF9000"/>
    <pageSetUpPr fitToPage="1"/>
  </sheetPr>
  <dimension ref="A1:AG104"/>
  <sheetViews>
    <sheetView topLeftCell="A12" zoomScale="55" zoomScaleNormal="55" workbookViewId="0">
      <selection activeCell="T28" sqref="S28:T30"/>
    </sheetView>
  </sheetViews>
  <sheetFormatPr defaultColWidth="12.5" defaultRowHeight="14" x14ac:dyDescent="0.3"/>
  <cols>
    <col min="1" max="1" width="12.5" style="79" customWidth="1"/>
    <col min="2" max="2" width="38.9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5" style="14" customWidth="1"/>
    <col min="15" max="17" width="12.5" style="14" customWidth="1"/>
    <col min="18" max="18" width="43.1640625" style="14" customWidth="1"/>
    <col min="19" max="19" width="12.5" style="14" customWidth="1"/>
    <col min="20" max="27" width="12.5" style="14"/>
    <col min="28" max="28" width="11.58203125" style="14" bestFit="1" customWidth="1"/>
    <col min="29" max="16384" width="12.5" style="14"/>
  </cols>
  <sheetData>
    <row r="1" spans="1:33" ht="40.5" customHeight="1" x14ac:dyDescent="0.3">
      <c r="B1" s="80" t="s">
        <v>243</v>
      </c>
      <c r="C1" s="81">
        <v>1000</v>
      </c>
      <c r="D1" s="82" t="s">
        <v>244</v>
      </c>
      <c r="E1" s="117">
        <f>T32</f>
        <v>9764</v>
      </c>
      <c r="F1" s="80" t="s">
        <v>245</v>
      </c>
      <c r="G1" s="249">
        <f>E1/C1</f>
        <v>9.7639999999999993</v>
      </c>
      <c r="H1" s="80" t="s">
        <v>246</v>
      </c>
      <c r="I1" s="249">
        <f>(G1/K1)</f>
        <v>9.8626262626262626</v>
      </c>
      <c r="J1" s="86" t="s">
        <v>247</v>
      </c>
      <c r="K1" s="81">
        <v>0.99</v>
      </c>
      <c r="L1" s="100"/>
      <c r="M1" s="89"/>
      <c r="N1" s="90"/>
      <c r="O1" s="91" t="s">
        <v>248</v>
      </c>
      <c r="P1" s="100"/>
      <c r="Q1" s="93" t="s">
        <v>551</v>
      </c>
      <c r="R1" s="14">
        <v>2.5</v>
      </c>
      <c r="Y1" s="91" t="s">
        <v>479</v>
      </c>
      <c r="Z1" s="847">
        <v>24410</v>
      </c>
      <c r="AA1" s="91" t="s">
        <v>600</v>
      </c>
      <c r="AB1" s="847">
        <v>0</v>
      </c>
      <c r="AC1" s="91" t="s">
        <v>587</v>
      </c>
      <c r="AD1" s="847">
        <v>162</v>
      </c>
      <c r="AE1" s="250"/>
      <c r="AF1" s="252"/>
      <c r="AG1" s="92"/>
    </row>
    <row r="2" spans="1:33" ht="12.75" customHeight="1" x14ac:dyDescent="0.3">
      <c r="A2" s="97"/>
      <c r="B2" s="1387" t="s">
        <v>394</v>
      </c>
      <c r="C2" s="1389"/>
      <c r="D2" s="1389"/>
      <c r="E2" s="1389"/>
      <c r="F2" s="1389"/>
      <c r="G2" s="1389"/>
      <c r="H2" s="1389"/>
      <c r="I2" s="1389"/>
      <c r="J2" s="1389"/>
      <c r="K2" s="1425"/>
      <c r="L2" s="1425"/>
      <c r="M2" s="100"/>
      <c r="N2" s="100"/>
      <c r="O2" s="100"/>
      <c r="P2" s="100"/>
      <c r="Q2" s="100"/>
      <c r="R2" s="100"/>
      <c r="AC2" s="99"/>
      <c r="AD2" s="99"/>
      <c r="AE2" s="1391"/>
      <c r="AF2" s="1389"/>
      <c r="AG2" s="1389"/>
    </row>
    <row r="3" spans="1:33" ht="12.75" customHeight="1" x14ac:dyDescent="0.3">
      <c r="A3" s="97"/>
      <c r="B3" s="1388"/>
      <c r="C3" s="1388"/>
      <c r="D3" s="1388"/>
      <c r="E3" s="1388"/>
      <c r="F3" s="1388"/>
      <c r="G3" s="1388"/>
      <c r="H3" s="1388"/>
      <c r="I3" s="1388"/>
      <c r="J3" s="1388"/>
      <c r="K3" s="1426"/>
      <c r="L3" s="1426"/>
      <c r="M3" s="100"/>
      <c r="N3" s="100"/>
      <c r="O3" s="100"/>
      <c r="P3" s="100"/>
      <c r="Q3" s="100"/>
      <c r="R3" s="100"/>
      <c r="AC3" s="99"/>
      <c r="AD3" s="99"/>
      <c r="AE3" s="1389"/>
      <c r="AF3" s="1389"/>
      <c r="AG3" s="1389"/>
    </row>
    <row r="4" spans="1:33" ht="35.25" customHeight="1" x14ac:dyDescent="0.25">
      <c r="A4" s="91" t="s">
        <v>1</v>
      </c>
      <c r="B4" s="91" t="s">
        <v>253</v>
      </c>
      <c r="C4" s="107" t="s">
        <v>254</v>
      </c>
      <c r="D4" s="91" t="s">
        <v>243</v>
      </c>
      <c r="E4" s="108" t="s">
        <v>246</v>
      </c>
      <c r="F4" s="108" t="s">
        <v>255</v>
      </c>
      <c r="G4" s="91" t="s">
        <v>256</v>
      </c>
      <c r="H4" s="331" t="s">
        <v>347</v>
      </c>
      <c r="I4" s="91" t="s">
        <v>258</v>
      </c>
      <c r="J4" s="91" t="s">
        <v>259</v>
      </c>
      <c r="K4" s="91" t="s">
        <v>260</v>
      </c>
      <c r="L4" s="91" t="s">
        <v>261</v>
      </c>
      <c r="M4" s="100"/>
      <c r="N4" s="100"/>
      <c r="O4" s="100"/>
      <c r="P4" s="100"/>
      <c r="AA4" s="251"/>
      <c r="AB4" s="253"/>
      <c r="AC4" s="251"/>
      <c r="AD4" s="251"/>
      <c r="AE4" s="251"/>
    </row>
    <row r="5" spans="1:33" ht="14.25" customHeight="1" x14ac:dyDescent="0.25">
      <c r="A5" s="266"/>
      <c r="B5" s="401" t="s">
        <v>552</v>
      </c>
      <c r="C5" s="115" t="s">
        <v>14</v>
      </c>
      <c r="D5" s="121">
        <f>I51/H51</f>
        <v>600</v>
      </c>
      <c r="E5" s="197">
        <f>$I$1</f>
        <v>9.8626262626262626</v>
      </c>
      <c r="F5" s="118">
        <v>1</v>
      </c>
      <c r="G5" s="121">
        <f>D5*E5</f>
        <v>5917.575757575758</v>
      </c>
      <c r="H5" s="120">
        <f>G5*F5</f>
        <v>5917.575757575758</v>
      </c>
      <c r="I5" s="81">
        <f>VLOOKUP(B5,All_Ingredients!$A$1:$F$151,6,FALSE())</f>
        <v>1</v>
      </c>
      <c r="J5" s="119">
        <f>VLOOKUP(B5,All_Ingredients!$A$1:$J$151,10,FALSE())</f>
        <v>9.2592592592592595</v>
      </c>
      <c r="K5" s="122">
        <f t="shared" ref="K5" si="0">(H5/I5)/1000</f>
        <v>5.9175757575757579</v>
      </c>
      <c r="L5" s="122">
        <f>J5*K5</f>
        <v>54.792368125701465</v>
      </c>
      <c r="M5" s="100"/>
      <c r="N5" s="100"/>
      <c r="O5" s="100"/>
      <c r="P5" s="100"/>
      <c r="AA5" s="92"/>
      <c r="AB5" s="133"/>
      <c r="AC5" s="254"/>
      <c r="AD5" s="135"/>
      <c r="AE5" s="136"/>
    </row>
    <row r="6" spans="1:33" ht="14.25" customHeight="1" x14ac:dyDescent="0.3">
      <c r="A6" s="128" t="s">
        <v>13</v>
      </c>
      <c r="B6" s="401" t="s">
        <v>792</v>
      </c>
      <c r="C6" s="124" t="s">
        <v>14</v>
      </c>
      <c r="D6" s="125">
        <v>20</v>
      </c>
      <c r="E6" s="197">
        <f t="shared" ref="E6:E19" si="1">$I$1</f>
        <v>9.8626262626262626</v>
      </c>
      <c r="F6" s="127">
        <v>1</v>
      </c>
      <c r="G6" s="121">
        <f t="shared" ref="G6:G19" si="2">D6*E6</f>
        <v>197.25252525252526</v>
      </c>
      <c r="H6" s="120">
        <f t="shared" ref="H6:H19" si="3">G6*F6</f>
        <v>197.25252525252526</v>
      </c>
      <c r="I6" s="81">
        <f>VLOOKUP(B6,All_Ingredients!$A$1:$F$151,6,FALSE())</f>
        <v>1</v>
      </c>
      <c r="J6" s="119">
        <f>VLOOKUP(B6,All_Ingredients!$A$1:$J$151,10,FALSE())</f>
        <v>10.5</v>
      </c>
      <c r="K6" s="122">
        <f t="shared" ref="K6:K19" si="4">(H6/I6)/1000</f>
        <v>0.19725252525252526</v>
      </c>
      <c r="L6" s="122">
        <f>J6*K6</f>
        <v>2.0711515151515152</v>
      </c>
    </row>
    <row r="7" spans="1:33" ht="14.25" customHeight="1" x14ac:dyDescent="0.3">
      <c r="A7" s="128" t="s">
        <v>57</v>
      </c>
      <c r="B7" s="401" t="s">
        <v>56</v>
      </c>
      <c r="C7" s="124" t="s">
        <v>14</v>
      </c>
      <c r="D7" s="125">
        <v>20</v>
      </c>
      <c r="E7" s="197">
        <f t="shared" si="1"/>
        <v>9.8626262626262626</v>
      </c>
      <c r="F7" s="127">
        <v>1</v>
      </c>
      <c r="G7" s="121">
        <f t="shared" si="2"/>
        <v>197.25252525252526</v>
      </c>
      <c r="H7" s="120">
        <f t="shared" si="3"/>
        <v>197.25252525252526</v>
      </c>
      <c r="I7" s="81">
        <f>VLOOKUP(B7,All_Ingredients!$A$1:$F$151,6,FALSE())</f>
        <v>0.87</v>
      </c>
      <c r="J7" s="119">
        <f>VLOOKUP(B7,All_Ingredients!$A$1:$J$151,10,FALSE())</f>
        <v>7</v>
      </c>
      <c r="K7" s="122">
        <f t="shared" si="4"/>
        <v>0.22672704052014397</v>
      </c>
      <c r="L7" s="122">
        <f t="shared" ref="L7:L19" si="5">J7*K7</f>
        <v>1.5870892836410078</v>
      </c>
    </row>
    <row r="8" spans="1:33" ht="14.25" customHeight="1" x14ac:dyDescent="0.3">
      <c r="A8" s="128" t="s">
        <v>186</v>
      </c>
      <c r="B8" s="401" t="s">
        <v>189</v>
      </c>
      <c r="C8" s="124" t="s">
        <v>14</v>
      </c>
      <c r="D8" s="125">
        <v>50</v>
      </c>
      <c r="E8" s="197">
        <f t="shared" si="1"/>
        <v>9.8626262626262626</v>
      </c>
      <c r="F8" s="127">
        <v>1</v>
      </c>
      <c r="G8" s="121">
        <f t="shared" si="2"/>
        <v>493.13131313131311</v>
      </c>
      <c r="H8" s="120">
        <f t="shared" si="3"/>
        <v>493.13131313131311</v>
      </c>
      <c r="I8" s="81">
        <f>VLOOKUP(B8,All_Ingredients!$A$1:$F$151,6,FALSE())</f>
        <v>1</v>
      </c>
      <c r="J8" s="119">
        <f>VLOOKUP(B8,All_Ingredients!$A$1:$J$151,10,FALSE())</f>
        <v>17</v>
      </c>
      <c r="K8" s="122">
        <f t="shared" si="4"/>
        <v>0.49313131313131309</v>
      </c>
      <c r="L8" s="122">
        <f t="shared" si="5"/>
        <v>8.3832323232323223</v>
      </c>
    </row>
    <row r="9" spans="1:33" ht="14.25" customHeight="1" x14ac:dyDescent="0.35">
      <c r="A9" s="128" t="s">
        <v>196</v>
      </c>
      <c r="B9" s="401" t="s">
        <v>204</v>
      </c>
      <c r="C9" s="1010" t="s">
        <v>165</v>
      </c>
      <c r="D9" s="125">
        <v>200</v>
      </c>
      <c r="E9" s="197">
        <f t="shared" si="1"/>
        <v>9.8626262626262626</v>
      </c>
      <c r="F9" s="127">
        <v>1</v>
      </c>
      <c r="G9" s="121">
        <f t="shared" si="2"/>
        <v>1972.5252525252524</v>
      </c>
      <c r="H9" s="120">
        <f t="shared" si="3"/>
        <v>1972.5252525252524</v>
      </c>
      <c r="I9" s="81">
        <f>VLOOKUP(B9,All_Ingredients!$A$1:$F$151,6,FALSE())</f>
        <v>1</v>
      </c>
      <c r="J9" s="119">
        <f>VLOOKUP(B9,All_Ingredients!$A$1:$J$151,10,FALSE())</f>
        <v>3.25</v>
      </c>
      <c r="K9" s="122">
        <f t="shared" si="4"/>
        <v>1.9725252525252523</v>
      </c>
      <c r="L9" s="122">
        <f t="shared" si="5"/>
        <v>6.4107070707070699</v>
      </c>
    </row>
    <row r="10" spans="1:33" ht="14.25" customHeight="1" x14ac:dyDescent="0.3">
      <c r="A10" s="128" t="s">
        <v>196</v>
      </c>
      <c r="B10" s="114" t="s">
        <v>761</v>
      </c>
      <c r="C10" s="124" t="s">
        <v>14</v>
      </c>
      <c r="D10" s="125">
        <v>20</v>
      </c>
      <c r="E10" s="197">
        <f t="shared" si="1"/>
        <v>9.8626262626262626</v>
      </c>
      <c r="F10" s="127">
        <v>1</v>
      </c>
      <c r="G10" s="121">
        <f t="shared" si="2"/>
        <v>197.25252525252526</v>
      </c>
      <c r="H10" s="120">
        <f t="shared" si="3"/>
        <v>197.25252525252526</v>
      </c>
      <c r="I10" s="81">
        <f>VLOOKUP(B10,All_Ingredients!$A$1:$F$151,6,FALSE())</f>
        <v>1</v>
      </c>
      <c r="J10" s="119">
        <f>VLOOKUP(B10,All_Ingredients!$A$1:$J$151,10,FALSE())</f>
        <v>8.1520833333333336</v>
      </c>
      <c r="K10" s="122">
        <f t="shared" si="4"/>
        <v>0.19725252525252526</v>
      </c>
      <c r="L10" s="122">
        <f t="shared" si="5"/>
        <v>1.6080190235690237</v>
      </c>
    </row>
    <row r="11" spans="1:33" ht="14.25" customHeight="1" x14ac:dyDescent="0.3">
      <c r="A11" s="128" t="s">
        <v>97</v>
      </c>
      <c r="B11" s="401" t="s">
        <v>144</v>
      </c>
      <c r="C11" s="124" t="s">
        <v>14</v>
      </c>
      <c r="D11" s="125">
        <v>10</v>
      </c>
      <c r="E11" s="197">
        <f t="shared" si="1"/>
        <v>9.8626262626262626</v>
      </c>
      <c r="F11" s="127">
        <v>0.75</v>
      </c>
      <c r="G11" s="121">
        <f t="shared" si="2"/>
        <v>98.62626262626263</v>
      </c>
      <c r="H11" s="120">
        <f t="shared" si="3"/>
        <v>73.969696969696969</v>
      </c>
      <c r="I11" s="81">
        <f>VLOOKUP(B11,All_Ingredients!$A$1:$F$151,6,FALSE())</f>
        <v>1</v>
      </c>
      <c r="J11" s="119">
        <f>VLOOKUP(B11,All_Ingredients!$A$1:$J$151,10,FALSE())</f>
        <v>15.277777777777779</v>
      </c>
      <c r="K11" s="122">
        <f t="shared" si="4"/>
        <v>7.3969696969696963E-2</v>
      </c>
      <c r="L11" s="122">
        <f t="shared" si="5"/>
        <v>1.1300925925925926</v>
      </c>
    </row>
    <row r="12" spans="1:33" ht="14.25" customHeight="1" x14ac:dyDescent="0.3">
      <c r="A12" s="128" t="s">
        <v>158</v>
      </c>
      <c r="B12" s="401" t="s">
        <v>164</v>
      </c>
      <c r="C12" s="124" t="s">
        <v>165</v>
      </c>
      <c r="D12" s="125">
        <v>100</v>
      </c>
      <c r="E12" s="197">
        <f t="shared" si="1"/>
        <v>9.8626262626262626</v>
      </c>
      <c r="F12" s="127">
        <v>1</v>
      </c>
      <c r="G12" s="121">
        <f t="shared" si="2"/>
        <v>986.26262626262621</v>
      </c>
      <c r="H12" s="120">
        <f t="shared" si="3"/>
        <v>986.26262626262621</v>
      </c>
      <c r="I12" s="81">
        <f>VLOOKUP(B12,All_Ingredients!$A$1:$F$151,6,FALSE())</f>
        <v>1</v>
      </c>
      <c r="J12" s="119">
        <f>VLOOKUP(B12,All_Ingredients!$A$1:$J$151,10,FALSE())</f>
        <v>4.2033333333333331</v>
      </c>
      <c r="K12" s="122">
        <f t="shared" si="4"/>
        <v>0.98626262626262617</v>
      </c>
      <c r="L12" s="122">
        <f t="shared" si="5"/>
        <v>4.1455905723905717</v>
      </c>
    </row>
    <row r="13" spans="1:33" ht="14.25" customHeight="1" x14ac:dyDescent="0.3">
      <c r="A13" s="128" t="s">
        <v>196</v>
      </c>
      <c r="B13" s="401" t="s">
        <v>208</v>
      </c>
      <c r="C13" s="124" t="s">
        <v>14</v>
      </c>
      <c r="D13" s="125">
        <v>25</v>
      </c>
      <c r="E13" s="197">
        <f t="shared" si="1"/>
        <v>9.8626262626262626</v>
      </c>
      <c r="F13" s="127">
        <v>1</v>
      </c>
      <c r="G13" s="121">
        <f t="shared" si="2"/>
        <v>246.56565656565655</v>
      </c>
      <c r="H13" s="120">
        <f t="shared" si="3"/>
        <v>246.56565656565655</v>
      </c>
      <c r="I13" s="81">
        <f>VLOOKUP(B13,All_Ingredients!$A$1:$F$151,6,FALSE())</f>
        <v>1</v>
      </c>
      <c r="J13" s="119">
        <f>VLOOKUP(B13,All_Ingredients!$A$1:$J$151,10,FALSE())</f>
        <v>11.243386243386244</v>
      </c>
      <c r="K13" s="122">
        <f t="shared" si="4"/>
        <v>0.24656565656565654</v>
      </c>
      <c r="L13" s="122">
        <f t="shared" si="5"/>
        <v>2.7722329111218</v>
      </c>
    </row>
    <row r="14" spans="1:33" ht="14.25" customHeight="1" x14ac:dyDescent="0.3">
      <c r="A14" s="128" t="s">
        <v>196</v>
      </c>
      <c r="B14" s="401" t="s">
        <v>198</v>
      </c>
      <c r="C14" s="124" t="s">
        <v>165</v>
      </c>
      <c r="D14" s="125">
        <v>30</v>
      </c>
      <c r="E14" s="197">
        <f t="shared" si="1"/>
        <v>9.8626262626262626</v>
      </c>
      <c r="F14" s="127">
        <v>0.75</v>
      </c>
      <c r="G14" s="121">
        <f t="shared" si="2"/>
        <v>295.87878787878788</v>
      </c>
      <c r="H14" s="120">
        <f t="shared" si="3"/>
        <v>221.90909090909091</v>
      </c>
      <c r="I14" s="81">
        <f>VLOOKUP(B14,All_Ingredients!$A$1:$F$151,6,FALSE())</f>
        <v>1</v>
      </c>
      <c r="J14" s="119">
        <f>VLOOKUP(B14,All_Ingredients!$A$1:$J$151,10,FALSE())</f>
        <v>58.685446009389672</v>
      </c>
      <c r="K14" s="122">
        <f t="shared" si="4"/>
        <v>0.22190909090909092</v>
      </c>
      <c r="L14" s="122">
        <f t="shared" si="5"/>
        <v>13.0228339735382</v>
      </c>
    </row>
    <row r="15" spans="1:33" ht="14.25" customHeight="1" x14ac:dyDescent="0.3">
      <c r="A15" s="128" t="s">
        <v>158</v>
      </c>
      <c r="B15" s="401" t="s">
        <v>171</v>
      </c>
      <c r="C15" s="124" t="s">
        <v>165</v>
      </c>
      <c r="D15" s="125">
        <v>500</v>
      </c>
      <c r="E15" s="197">
        <f t="shared" si="1"/>
        <v>9.8626262626262626</v>
      </c>
      <c r="F15" s="127">
        <v>1</v>
      </c>
      <c r="G15" s="121">
        <f t="shared" si="2"/>
        <v>4931.3131313131316</v>
      </c>
      <c r="H15" s="120">
        <f t="shared" si="3"/>
        <v>4931.3131313131316</v>
      </c>
      <c r="I15" s="81">
        <f>VLOOKUP(B15,All_Ingredients!$A$1:$F$151,6,FALSE())</f>
        <v>1</v>
      </c>
      <c r="J15" s="119">
        <f>VLOOKUP(B15,All_Ingredients!$A$1:$J$151,10,FALSE())</f>
        <v>12.666666666666666</v>
      </c>
      <c r="K15" s="122">
        <f t="shared" si="4"/>
        <v>4.9313131313131313</v>
      </c>
      <c r="L15" s="122">
        <f t="shared" si="5"/>
        <v>62.463299663299658</v>
      </c>
    </row>
    <row r="16" spans="1:33" ht="14.25" customHeight="1" x14ac:dyDescent="0.3">
      <c r="A16" s="128" t="s">
        <v>13</v>
      </c>
      <c r="B16" s="401" t="s">
        <v>12</v>
      </c>
      <c r="C16" s="124" t="s">
        <v>14</v>
      </c>
      <c r="D16" s="125">
        <v>100</v>
      </c>
      <c r="E16" s="197">
        <f t="shared" si="1"/>
        <v>9.8626262626262626</v>
      </c>
      <c r="F16" s="127">
        <v>0.95</v>
      </c>
      <c r="G16" s="121">
        <f t="shared" si="2"/>
        <v>986.26262626262621</v>
      </c>
      <c r="H16" s="120">
        <f t="shared" si="3"/>
        <v>936.94949494949481</v>
      </c>
      <c r="I16" s="81">
        <f>VLOOKUP(B16,All_Ingredients!$A$1:$F$151,6,FALSE())</f>
        <v>0.9</v>
      </c>
      <c r="J16" s="119">
        <f>VLOOKUP(B16,All_Ingredients!$A$1:$J$151,10,FALSE())</f>
        <v>3</v>
      </c>
      <c r="K16" s="122">
        <f t="shared" si="4"/>
        <v>1.0410549943883274</v>
      </c>
      <c r="L16" s="122">
        <f t="shared" si="5"/>
        <v>3.1231649831649824</v>
      </c>
    </row>
    <row r="17" spans="1:29" ht="14.25" customHeight="1" x14ac:dyDescent="0.3">
      <c r="A17" s="128" t="s">
        <v>97</v>
      </c>
      <c r="B17" s="401" t="s">
        <v>96</v>
      </c>
      <c r="C17" s="124" t="s">
        <v>14</v>
      </c>
      <c r="D17" s="125">
        <v>6</v>
      </c>
      <c r="E17" s="197">
        <f t="shared" si="1"/>
        <v>9.8626262626262626</v>
      </c>
      <c r="F17" s="127">
        <v>0.75</v>
      </c>
      <c r="G17" s="121">
        <f t="shared" si="2"/>
        <v>59.175757575757572</v>
      </c>
      <c r="H17" s="120">
        <f t="shared" si="3"/>
        <v>44.381818181818176</v>
      </c>
      <c r="I17" s="81">
        <f>VLOOKUP(B17,All_Ingredients!$A$1:$F$151,6,FALSE())</f>
        <v>1</v>
      </c>
      <c r="J17" s="119">
        <f>VLOOKUP(B17,All_Ingredients!$A$1:$J$151,10,FALSE())</f>
        <v>0.74</v>
      </c>
      <c r="K17" s="122">
        <f t="shared" si="4"/>
        <v>4.4381818181818175E-2</v>
      </c>
      <c r="L17" s="122">
        <f t="shared" si="5"/>
        <v>3.2842545454545451E-2</v>
      </c>
    </row>
    <row r="18" spans="1:29" ht="14.25" customHeight="1" x14ac:dyDescent="0.3">
      <c r="A18" s="128" t="s">
        <v>220</v>
      </c>
      <c r="B18" s="222" t="s">
        <v>815</v>
      </c>
      <c r="C18" s="124" t="s">
        <v>14</v>
      </c>
      <c r="D18" s="125">
        <v>2</v>
      </c>
      <c r="E18" s="197">
        <f t="shared" si="1"/>
        <v>9.8626262626262626</v>
      </c>
      <c r="F18" s="127">
        <v>1</v>
      </c>
      <c r="G18" s="121">
        <f t="shared" si="2"/>
        <v>19.725252525252525</v>
      </c>
      <c r="H18" s="120">
        <f t="shared" si="3"/>
        <v>19.725252525252525</v>
      </c>
      <c r="I18" s="81">
        <f>VLOOKUP(B18,All_Ingredients!$A$1:$F$151,6,FALSE())</f>
        <v>1</v>
      </c>
      <c r="J18" s="119">
        <f>VLOOKUP(B18,All_Ingredients!$A$1:$J$151,10,FALSE())</f>
        <v>22.5</v>
      </c>
      <c r="K18" s="122">
        <f t="shared" si="4"/>
        <v>1.9725252525252524E-2</v>
      </c>
      <c r="L18" s="122">
        <f t="shared" si="5"/>
        <v>0.44381818181818178</v>
      </c>
    </row>
    <row r="19" spans="1:29" ht="14.25" customHeight="1" x14ac:dyDescent="0.3">
      <c r="A19" s="128" t="s">
        <v>158</v>
      </c>
      <c r="B19" s="401" t="s">
        <v>157</v>
      </c>
      <c r="C19" s="124" t="s">
        <v>14</v>
      </c>
      <c r="D19" s="125">
        <v>20</v>
      </c>
      <c r="E19" s="197">
        <f t="shared" si="1"/>
        <v>9.8626262626262626</v>
      </c>
      <c r="F19" s="127">
        <v>1</v>
      </c>
      <c r="G19" s="121">
        <f t="shared" si="2"/>
        <v>197.25252525252526</v>
      </c>
      <c r="H19" s="120">
        <f t="shared" si="3"/>
        <v>197.25252525252526</v>
      </c>
      <c r="I19" s="81">
        <f>VLOOKUP(B19,All_Ingredients!$A$1:$F$151,6,FALSE())</f>
        <v>1</v>
      </c>
      <c r="J19" s="119">
        <f>VLOOKUP(B19,All_Ingredients!$A$1:$J$151,10,FALSE())</f>
        <v>30</v>
      </c>
      <c r="K19" s="122">
        <f t="shared" si="4"/>
        <v>0.19725252525252526</v>
      </c>
      <c r="L19" s="122">
        <f t="shared" si="5"/>
        <v>5.9175757575757579</v>
      </c>
    </row>
    <row r="20" spans="1:29" ht="14.25" customHeight="1" x14ac:dyDescent="0.3">
      <c r="B20" s="100"/>
      <c r="C20" s="171"/>
      <c r="D20" s="171"/>
      <c r="E20" s="100"/>
      <c r="F20" s="100"/>
      <c r="G20" s="171"/>
      <c r="L20" s="297"/>
    </row>
    <row r="21" spans="1:29" ht="14.25" customHeight="1" x14ac:dyDescent="0.3">
      <c r="K21" s="297"/>
      <c r="L21" s="297"/>
    </row>
    <row r="22" spans="1:29" ht="14.25" customHeight="1" x14ac:dyDescent="0.3">
      <c r="K22" s="297"/>
      <c r="L22" s="297"/>
    </row>
    <row r="23" spans="1:29" ht="14.25" customHeight="1" x14ac:dyDescent="0.3">
      <c r="K23" s="297"/>
      <c r="L23" s="297"/>
      <c r="R23"/>
    </row>
    <row r="24" spans="1:29" ht="14.25" customHeight="1" x14ac:dyDescent="0.3">
      <c r="K24" s="297"/>
      <c r="L24" s="297"/>
      <c r="Z24" s="1234"/>
    </row>
    <row r="25" spans="1:29" ht="14.25" customHeight="1" x14ac:dyDescent="0.35">
      <c r="K25" s="297"/>
      <c r="L25" s="297"/>
      <c r="R25" s="1411" t="s">
        <v>395</v>
      </c>
      <c r="S25" s="1388"/>
      <c r="T25" s="1388"/>
      <c r="U25" s="1388"/>
      <c r="Z25" s="141" t="s">
        <v>264</v>
      </c>
      <c r="AA25" s="142">
        <v>25400</v>
      </c>
      <c r="AB25" s="141" t="s">
        <v>261</v>
      </c>
      <c r="AC25" s="143">
        <f>AC30*AA25</f>
        <v>174.71372677112458</v>
      </c>
    </row>
    <row r="26" spans="1:29" ht="14.25" customHeight="1" x14ac:dyDescent="0.3">
      <c r="K26" s="297"/>
      <c r="L26" s="297"/>
      <c r="R26" s="1409" t="s">
        <v>309</v>
      </c>
      <c r="S26" s="1410"/>
      <c r="T26" s="1410"/>
      <c r="U26" s="1410"/>
    </row>
    <row r="27" spans="1:29" ht="14.25" customHeight="1" x14ac:dyDescent="0.3">
      <c r="B27" s="100"/>
      <c r="E27" s="100"/>
      <c r="F27" s="100"/>
      <c r="R27" s="145" t="s">
        <v>266</v>
      </c>
      <c r="S27" s="146" t="s">
        <v>364</v>
      </c>
      <c r="T27" s="146" t="s">
        <v>268</v>
      </c>
      <c r="U27" s="146" t="s">
        <v>269</v>
      </c>
      <c r="Z27" s="141" t="s">
        <v>270</v>
      </c>
      <c r="AA27" s="147" t="s">
        <v>271</v>
      </c>
      <c r="AB27" s="147" t="s">
        <v>272</v>
      </c>
      <c r="AC27" s="147" t="s">
        <v>274</v>
      </c>
    </row>
    <row r="28" spans="1:29" ht="14.25" customHeight="1" x14ac:dyDescent="0.3">
      <c r="B28" s="100"/>
      <c r="E28" s="100"/>
      <c r="F28" s="100"/>
      <c r="R28" s="148" t="s">
        <v>275</v>
      </c>
      <c r="S28" s="760">
        <f>U28*S40</f>
        <v>14646</v>
      </c>
      <c r="T28" s="760">
        <f>U28*U40</f>
        <v>9764</v>
      </c>
      <c r="U28" s="766">
        <f>$Z$1</f>
        <v>24410</v>
      </c>
      <c r="Z28" s="151"/>
      <c r="AA28" s="152">
        <f>AA25*$S$40</f>
        <v>15240</v>
      </c>
      <c r="AB28" s="152">
        <f>AA25*$U$40</f>
        <v>10160</v>
      </c>
      <c r="AC28" s="154">
        <f>SUM(AA28:AB28)</f>
        <v>25400</v>
      </c>
    </row>
    <row r="29" spans="1:29" ht="22.25" customHeight="1" x14ac:dyDescent="0.3">
      <c r="B29" s="100"/>
      <c r="E29" s="100"/>
      <c r="F29" s="100"/>
      <c r="R29" s="148" t="s">
        <v>276</v>
      </c>
      <c r="S29" s="762"/>
      <c r="T29" s="760"/>
      <c r="U29" s="1363">
        <f>T29</f>
        <v>0</v>
      </c>
      <c r="Z29" s="151"/>
      <c r="AA29" s="1227">
        <f>AA28/$AC$28</f>
        <v>0.6</v>
      </c>
      <c r="AB29" s="156">
        <f>AB28/$AC$28</f>
        <v>0.4</v>
      </c>
      <c r="AC29" s="156">
        <f>AC28/$AC$28</f>
        <v>1</v>
      </c>
    </row>
    <row r="30" spans="1:29" ht="14.25" customHeight="1" x14ac:dyDescent="0.3">
      <c r="B30" s="100"/>
      <c r="E30" s="100"/>
      <c r="F30" s="100"/>
      <c r="R30" s="148" t="s">
        <v>277</v>
      </c>
      <c r="S30" s="1364">
        <f>U30*S40</f>
        <v>0</v>
      </c>
      <c r="T30" s="1365">
        <f>U30*U40</f>
        <v>0</v>
      </c>
      <c r="U30" s="766">
        <f>$AB$1</f>
        <v>0</v>
      </c>
      <c r="Z30" s="141" t="s">
        <v>278</v>
      </c>
      <c r="AA30" s="157">
        <f>S35/(S32)</f>
        <v>3.7411148522259637E-3</v>
      </c>
      <c r="AB30" s="158">
        <f>T35/T32</f>
        <v>1.1584560671574892E-2</v>
      </c>
      <c r="AC30" s="1307">
        <f>SUMPRODUCT(AA30:AB30,AA29:AB29)</f>
        <v>6.8784931799655349E-3</v>
      </c>
    </row>
    <row r="31" spans="1:29" ht="14.25" customHeight="1" x14ac:dyDescent="0.3">
      <c r="B31" s="100"/>
      <c r="E31" s="100"/>
      <c r="F31" s="100"/>
      <c r="R31" s="148" t="s">
        <v>279</v>
      </c>
      <c r="S31" s="155"/>
      <c r="T31" s="149"/>
      <c r="U31" s="149"/>
      <c r="AA31" s="1181"/>
    </row>
    <row r="32" spans="1:29" ht="14.25" customHeight="1" x14ac:dyDescent="0.3">
      <c r="B32" s="100"/>
      <c r="E32" s="100"/>
      <c r="F32" s="100"/>
      <c r="R32" s="160" t="s">
        <v>269</v>
      </c>
      <c r="S32" s="149">
        <f>SUM(S28:S30)</f>
        <v>14646</v>
      </c>
      <c r="T32" s="149">
        <f>SUM(T28:T30)</f>
        <v>9764</v>
      </c>
      <c r="U32" s="149">
        <f>SUM(U28:U30)</f>
        <v>24410</v>
      </c>
    </row>
    <row r="33" spans="13:23" ht="14.25" customHeight="1" x14ac:dyDescent="0.3">
      <c r="R33" s="161" t="s">
        <v>280</v>
      </c>
      <c r="S33" s="155"/>
      <c r="T33" s="155"/>
      <c r="U33" s="155"/>
    </row>
    <row r="34" spans="13:23" ht="14.25" customHeight="1" x14ac:dyDescent="0.3">
      <c r="R34" s="162" t="s">
        <v>281</v>
      </c>
      <c r="S34" s="155"/>
      <c r="T34" s="149"/>
      <c r="U34" s="155"/>
    </row>
    <row r="35" spans="13:23" ht="14.25" customHeight="1" x14ac:dyDescent="0.3">
      <c r="R35" s="163" t="s">
        <v>261</v>
      </c>
      <c r="S35" s="1144">
        <f>$L$5</f>
        <v>54.792368125701465</v>
      </c>
      <c r="T35" s="1144">
        <f>SUM(L6:L19)</f>
        <v>113.11165039725724</v>
      </c>
      <c r="U35" s="1203">
        <f>S35+T35</f>
        <v>167.90401852295869</v>
      </c>
    </row>
    <row r="40" spans="13:23" ht="52" x14ac:dyDescent="0.3">
      <c r="R40" s="165" t="s">
        <v>282</v>
      </c>
      <c r="S40" s="166">
        <v>0.6</v>
      </c>
      <c r="T40" s="165" t="s">
        <v>283</v>
      </c>
      <c r="U40" s="167">
        <v>0.4</v>
      </c>
      <c r="V40" s="168">
        <f>S40+U40</f>
        <v>1</v>
      </c>
    </row>
    <row r="41" spans="13:23" x14ac:dyDescent="0.3">
      <c r="U41" s="169"/>
    </row>
    <row r="43" spans="13:23" x14ac:dyDescent="0.3">
      <c r="Q43" s="170" t="s">
        <v>284</v>
      </c>
      <c r="R43" s="170" t="s">
        <v>285</v>
      </c>
      <c r="S43" s="170" t="s">
        <v>286</v>
      </c>
      <c r="T43" s="170" t="s">
        <v>287</v>
      </c>
      <c r="U43" s="170" t="s">
        <v>288</v>
      </c>
      <c r="V43" s="170" t="s">
        <v>289</v>
      </c>
      <c r="W43" s="258" t="s">
        <v>545</v>
      </c>
    </row>
    <row r="44" spans="13:23" x14ac:dyDescent="0.3">
      <c r="Q44" s="551">
        <v>25000</v>
      </c>
      <c r="R44" s="173">
        <f>D51</f>
        <v>10000</v>
      </c>
      <c r="S44" s="174">
        <v>1</v>
      </c>
      <c r="T44" s="174">
        <v>0</v>
      </c>
      <c r="U44" s="242">
        <f>R44*S44</f>
        <v>10000</v>
      </c>
      <c r="V44" s="176">
        <f>R44*T44</f>
        <v>0</v>
      </c>
      <c r="W44" s="651">
        <f>Q44-U44</f>
        <v>15000</v>
      </c>
    </row>
    <row r="45" spans="13:23" ht="14.25" customHeight="1" x14ac:dyDescent="0.3">
      <c r="M45"/>
    </row>
    <row r="49" spans="1:10" ht="14" customHeight="1" x14ac:dyDescent="0.3"/>
    <row r="50" spans="1:10" ht="14" customHeight="1" x14ac:dyDescent="0.3">
      <c r="B50" s="145"/>
      <c r="C50" s="145" t="s">
        <v>245</v>
      </c>
      <c r="D50" s="145" t="s">
        <v>291</v>
      </c>
      <c r="E50" s="100"/>
      <c r="F50" s="100"/>
      <c r="G50" s="145" t="s">
        <v>292</v>
      </c>
      <c r="H50" s="145" t="s">
        <v>245</v>
      </c>
      <c r="I50" s="145" t="s">
        <v>544</v>
      </c>
      <c r="J50" s="145" t="s">
        <v>543</v>
      </c>
    </row>
    <row r="51" spans="1:10" x14ac:dyDescent="0.3">
      <c r="B51" s="180" t="s">
        <v>295</v>
      </c>
      <c r="C51" s="181">
        <f>10/$K$1</f>
        <v>10.1010101010101</v>
      </c>
      <c r="D51" s="182">
        <f>$C$1*10</f>
        <v>10000</v>
      </c>
      <c r="E51" s="100"/>
      <c r="F51" s="100"/>
      <c r="G51" s="180" t="s">
        <v>295</v>
      </c>
      <c r="H51" s="277">
        <v>10</v>
      </c>
      <c r="I51" s="181">
        <f>J51/$R$1</f>
        <v>6000</v>
      </c>
      <c r="J51" s="181">
        <f>$W$44</f>
        <v>15000</v>
      </c>
    </row>
    <row r="52" spans="1:10" x14ac:dyDescent="0.3">
      <c r="B52" s="145" t="s">
        <v>274</v>
      </c>
      <c r="C52" s="184">
        <f>$I$1</f>
        <v>9.8626262626262626</v>
      </c>
      <c r="D52" s="185">
        <f>$E$1</f>
        <v>9764</v>
      </c>
      <c r="E52" s="100"/>
      <c r="F52" s="100"/>
      <c r="G52" s="148" t="s">
        <v>274</v>
      </c>
      <c r="H52" s="569">
        <f>I52/$D$5</f>
        <v>9.7639999999999993</v>
      </c>
      <c r="I52" s="176">
        <f>J52/$R$1</f>
        <v>5858.4</v>
      </c>
      <c r="J52" s="184">
        <f>$S$32</f>
        <v>14646</v>
      </c>
    </row>
    <row r="53" spans="1:10" x14ac:dyDescent="0.3">
      <c r="B53" s="145" t="s">
        <v>296</v>
      </c>
      <c r="C53" s="425">
        <f>MIN($C$52, C51)</f>
        <v>9.8626262626262626</v>
      </c>
      <c r="D53" s="185">
        <f>(C53*$K$1)*$C$1</f>
        <v>9764</v>
      </c>
      <c r="E53" s="100"/>
      <c r="F53" s="100"/>
      <c r="G53" s="148" t="s">
        <v>296</v>
      </c>
      <c r="H53" s="187">
        <f>MIN(H52,H51)</f>
        <v>9.7639999999999993</v>
      </c>
      <c r="I53" s="176">
        <f>J53/$R$1</f>
        <v>5858.4</v>
      </c>
      <c r="J53" s="176">
        <f>MIN(J52,J51)</f>
        <v>14646</v>
      </c>
    </row>
    <row r="54" spans="1:10" x14ac:dyDescent="0.3">
      <c r="B54" s="145"/>
      <c r="C54" s="234">
        <f>MIN(MAX(C52-C53,0),C51)</f>
        <v>0</v>
      </c>
      <c r="D54" s="185">
        <f>(C54*$K$1)*$C$1</f>
        <v>0</v>
      </c>
      <c r="E54" s="100"/>
      <c r="F54" s="100"/>
      <c r="G54" s="148" t="s">
        <v>297</v>
      </c>
      <c r="H54" s="187">
        <f>MIN(MAX(H52-H53),H51)</f>
        <v>0</v>
      </c>
      <c r="I54" s="176">
        <f>J54/$R$1</f>
        <v>0</v>
      </c>
      <c r="J54" s="176">
        <f>MIN(MAX(J52-J53),J51)</f>
        <v>0</v>
      </c>
    </row>
    <row r="55" spans="1:10" x14ac:dyDescent="0.3">
      <c r="B55" s="145"/>
      <c r="C55" s="186">
        <f>MIN(MAX($C$53-C53-C54,0),C51)</f>
        <v>0</v>
      </c>
      <c r="D55" s="185">
        <f>(C55*$K$1)*$C$1</f>
        <v>0</v>
      </c>
      <c r="E55" s="100"/>
      <c r="F55" s="100"/>
      <c r="G55" s="145" t="s">
        <v>298</v>
      </c>
      <c r="H55" s="187">
        <f>MIN(MAX(H52-H53-H54),H51)</f>
        <v>0</v>
      </c>
      <c r="I55" s="176">
        <f>J55/$R$1</f>
        <v>0</v>
      </c>
      <c r="J55" s="176">
        <f>MIN(MAX(J52-J53-J54),J51)</f>
        <v>0</v>
      </c>
    </row>
    <row r="62" spans="1:10" ht="17.75" customHeight="1" x14ac:dyDescent="0.3">
      <c r="A62" s="937"/>
      <c r="B62" s="1382" t="str">
        <f>"  باستا مكروني بالخضار 1 / " &amp; COUNTIF($C$53:$C$55, "&gt;0")</f>
        <v xml:space="preserve">  باستا مكروني بالخضار 1 / 1</v>
      </c>
      <c r="C62" s="1383"/>
      <c r="D62" s="1383"/>
      <c r="E62" s="1383"/>
      <c r="F62" s="1383"/>
      <c r="G62" s="1383"/>
      <c r="H62" s="1383"/>
    </row>
    <row r="63" spans="1:10" ht="17.75" customHeight="1" x14ac:dyDescent="0.3">
      <c r="A63" s="937"/>
      <c r="B63" s="1384" t="str">
        <f>" Pasta with Vegetables 1 / " &amp; COUNTIF($C$53:$C$55, "&gt;0")</f>
        <v xml:space="preserve"> Pasta with Vegetables 1 / 1</v>
      </c>
      <c r="C63" s="1385"/>
      <c r="D63" s="1385"/>
      <c r="E63" s="1385"/>
      <c r="F63" s="1385"/>
      <c r="G63" s="1385"/>
      <c r="H63" s="1385"/>
    </row>
    <row r="64" spans="1:10" ht="56.25" customHeight="1" x14ac:dyDescent="0.25">
      <c r="A64" s="91"/>
      <c r="B64" s="91" t="s">
        <v>253</v>
      </c>
      <c r="C64" s="107" t="s">
        <v>254</v>
      </c>
      <c r="D64" s="91" t="s">
        <v>243</v>
      </c>
      <c r="E64" s="108" t="s">
        <v>246</v>
      </c>
      <c r="F64" s="108" t="s">
        <v>255</v>
      </c>
      <c r="G64" s="91" t="s">
        <v>256</v>
      </c>
      <c r="H64" s="109" t="s">
        <v>257</v>
      </c>
    </row>
    <row r="65" spans="1:8" ht="14.25" customHeight="1" x14ac:dyDescent="0.3">
      <c r="A65" s="128"/>
      <c r="B65" s="81" t="str">
        <f t="shared" ref="B65:D79" si="6">B5</f>
        <v>Pasta Penne - مكرونة أقلام</v>
      </c>
      <c r="C65" s="124" t="str">
        <f t="shared" si="6"/>
        <v>gm</v>
      </c>
      <c r="D65" s="125">
        <f t="shared" si="6"/>
        <v>600</v>
      </c>
      <c r="E65" s="126">
        <f>$H$53</f>
        <v>9.7639999999999993</v>
      </c>
      <c r="F65" s="127">
        <f t="shared" ref="F65:F79" si="7">F5</f>
        <v>1</v>
      </c>
      <c r="G65" s="119">
        <f t="shared" ref="G65:G79" si="8">D65*E65</f>
        <v>5858.4</v>
      </c>
      <c r="H65" s="120">
        <f t="shared" ref="H65:H79" si="9">G65*F65</f>
        <v>5858.4</v>
      </c>
    </row>
    <row r="66" spans="1:8" ht="14.25" customHeight="1" x14ac:dyDescent="0.3">
      <c r="A66" s="128" t="s">
        <v>13</v>
      </c>
      <c r="B66" s="81" t="str">
        <f t="shared" si="6"/>
        <v>Garlic - ثوم مقشر</v>
      </c>
      <c r="C66" s="124" t="str">
        <f t="shared" si="6"/>
        <v>gm</v>
      </c>
      <c r="D66" s="125">
        <f t="shared" si="6"/>
        <v>20</v>
      </c>
      <c r="E66" s="126">
        <f>$C$53</f>
        <v>9.8626262626262626</v>
      </c>
      <c r="F66" s="127">
        <f t="shared" si="7"/>
        <v>1</v>
      </c>
      <c r="G66" s="119">
        <f t="shared" si="8"/>
        <v>197.25252525252526</v>
      </c>
      <c r="H66" s="120">
        <f t="shared" si="9"/>
        <v>197.25252525252526</v>
      </c>
    </row>
    <row r="67" spans="1:8" ht="14.25" customHeight="1" x14ac:dyDescent="0.3">
      <c r="A67" s="128" t="s">
        <v>57</v>
      </c>
      <c r="B67" s="81" t="str">
        <f t="shared" si="6"/>
        <v>Ginger - زنجبيل</v>
      </c>
      <c r="C67" s="124" t="str">
        <f t="shared" si="6"/>
        <v>gm</v>
      </c>
      <c r="D67" s="125">
        <f t="shared" si="6"/>
        <v>20</v>
      </c>
      <c r="E67" s="126">
        <f t="shared" ref="E67:E79" si="10">$C$53</f>
        <v>9.8626262626262626</v>
      </c>
      <c r="F67" s="127">
        <f t="shared" si="7"/>
        <v>1</v>
      </c>
      <c r="G67" s="119">
        <f t="shared" si="8"/>
        <v>197.25252525252526</v>
      </c>
      <c r="H67" s="120">
        <f t="shared" si="9"/>
        <v>197.25252525252526</v>
      </c>
    </row>
    <row r="68" spans="1:8" ht="14.25" customHeight="1" x14ac:dyDescent="0.3">
      <c r="A68" s="128" t="s">
        <v>186</v>
      </c>
      <c r="B68" s="81" t="str">
        <f t="shared" si="6"/>
        <v>Honey - عسل</v>
      </c>
      <c r="C68" s="124" t="str">
        <f t="shared" si="6"/>
        <v>gm</v>
      </c>
      <c r="D68" s="125">
        <f t="shared" si="6"/>
        <v>50</v>
      </c>
      <c r="E68" s="126">
        <f t="shared" si="10"/>
        <v>9.8626262626262626</v>
      </c>
      <c r="F68" s="127">
        <f t="shared" si="7"/>
        <v>1</v>
      </c>
      <c r="G68" s="119">
        <f t="shared" si="8"/>
        <v>493.13131313131311</v>
      </c>
      <c r="H68" s="120">
        <f t="shared" si="9"/>
        <v>493.13131313131311</v>
      </c>
    </row>
    <row r="69" spans="1:8" ht="14.25" customHeight="1" x14ac:dyDescent="0.3">
      <c r="A69" s="128" t="s">
        <v>196</v>
      </c>
      <c r="B69" s="81" t="str">
        <f t="shared" si="6"/>
        <v>Tomato Ketchup - كاتشب طماطم</v>
      </c>
      <c r="C69" s="124" t="str">
        <f t="shared" si="6"/>
        <v>ml</v>
      </c>
      <c r="D69" s="125">
        <f t="shared" si="6"/>
        <v>200</v>
      </c>
      <c r="E69" s="126">
        <f t="shared" si="10"/>
        <v>9.8626262626262626</v>
      </c>
      <c r="F69" s="127">
        <f t="shared" si="7"/>
        <v>1</v>
      </c>
      <c r="G69" s="119">
        <f t="shared" si="8"/>
        <v>1972.5252525252524</v>
      </c>
      <c r="H69" s="120">
        <f t="shared" si="9"/>
        <v>1972.5252525252524</v>
      </c>
    </row>
    <row r="70" spans="1:8" ht="14.25" customHeight="1" x14ac:dyDescent="0.3">
      <c r="A70" s="128" t="s">
        <v>196</v>
      </c>
      <c r="B70" s="81" t="str">
        <f t="shared" si="6"/>
        <v>Tomato Paste - صلصة طماطم</v>
      </c>
      <c r="C70" s="124" t="str">
        <f t="shared" si="6"/>
        <v>gm</v>
      </c>
      <c r="D70" s="125">
        <f t="shared" si="6"/>
        <v>20</v>
      </c>
      <c r="E70" s="126">
        <f t="shared" si="10"/>
        <v>9.8626262626262626</v>
      </c>
      <c r="F70" s="127">
        <f t="shared" si="7"/>
        <v>1</v>
      </c>
      <c r="G70" s="119">
        <f t="shared" si="8"/>
        <v>197.25252525252526</v>
      </c>
      <c r="H70" s="120">
        <f t="shared" si="9"/>
        <v>197.25252525252526</v>
      </c>
    </row>
    <row r="71" spans="1:8" ht="14.25" customHeight="1" x14ac:dyDescent="0.3">
      <c r="A71" s="128" t="s">
        <v>97</v>
      </c>
      <c r="B71" s="81" t="str">
        <f t="shared" si="6"/>
        <v>Maggi Cubes - مكعبات ماجي</v>
      </c>
      <c r="C71" s="124" t="str">
        <f t="shared" si="6"/>
        <v>gm</v>
      </c>
      <c r="D71" s="125">
        <f t="shared" si="6"/>
        <v>10</v>
      </c>
      <c r="E71" s="126">
        <f t="shared" si="10"/>
        <v>9.8626262626262626</v>
      </c>
      <c r="F71" s="127">
        <f t="shared" si="7"/>
        <v>0.75</v>
      </c>
      <c r="G71" s="119">
        <f t="shared" si="8"/>
        <v>98.62626262626263</v>
      </c>
      <c r="H71" s="120">
        <f t="shared" si="9"/>
        <v>73.969696969696969</v>
      </c>
    </row>
    <row r="72" spans="1:8" ht="14.25" customHeight="1" x14ac:dyDescent="0.3">
      <c r="A72" s="128" t="s">
        <v>158</v>
      </c>
      <c r="B72" s="81" t="str">
        <f t="shared" si="6"/>
        <v>Milk - حليب</v>
      </c>
      <c r="C72" s="124" t="str">
        <f t="shared" si="6"/>
        <v>ml</v>
      </c>
      <c r="D72" s="125">
        <f t="shared" si="6"/>
        <v>100</v>
      </c>
      <c r="E72" s="126">
        <f t="shared" si="10"/>
        <v>9.8626262626262626</v>
      </c>
      <c r="F72" s="127">
        <f t="shared" si="7"/>
        <v>1</v>
      </c>
      <c r="G72" s="119">
        <f t="shared" si="8"/>
        <v>986.26262626262621</v>
      </c>
      <c r="H72" s="120">
        <f t="shared" si="9"/>
        <v>986.26262626262621</v>
      </c>
    </row>
    <row r="73" spans="1:8" ht="14.25" customHeight="1" x14ac:dyDescent="0.3">
      <c r="A73" s="128" t="s">
        <v>196</v>
      </c>
      <c r="B73" s="81" t="str">
        <f t="shared" si="6"/>
        <v>Mustard - خردل</v>
      </c>
      <c r="C73" s="124" t="str">
        <f t="shared" si="6"/>
        <v>gm</v>
      </c>
      <c r="D73" s="125">
        <f t="shared" si="6"/>
        <v>25</v>
      </c>
      <c r="E73" s="126">
        <f t="shared" si="10"/>
        <v>9.8626262626262626</v>
      </c>
      <c r="F73" s="127">
        <f t="shared" si="7"/>
        <v>1</v>
      </c>
      <c r="G73" s="119">
        <f t="shared" si="8"/>
        <v>246.56565656565655</v>
      </c>
      <c r="H73" s="120">
        <f t="shared" si="9"/>
        <v>246.56565656565655</v>
      </c>
    </row>
    <row r="74" spans="1:8" ht="14.25" customHeight="1" x14ac:dyDescent="0.3">
      <c r="A74" s="128" t="s">
        <v>196</v>
      </c>
      <c r="B74" s="81" t="str">
        <f t="shared" si="6"/>
        <v>Sriracha Sauce - صوص سريراتشا</v>
      </c>
      <c r="C74" s="124" t="str">
        <f t="shared" si="6"/>
        <v>ml</v>
      </c>
      <c r="D74" s="125">
        <f t="shared" si="6"/>
        <v>30</v>
      </c>
      <c r="E74" s="126">
        <f t="shared" si="10"/>
        <v>9.8626262626262626</v>
      </c>
      <c r="F74" s="127">
        <f t="shared" si="7"/>
        <v>0.75</v>
      </c>
      <c r="G74" s="119">
        <f t="shared" si="8"/>
        <v>295.87878787878788</v>
      </c>
      <c r="H74" s="120">
        <f t="shared" si="9"/>
        <v>221.90909090909091</v>
      </c>
    </row>
    <row r="75" spans="1:8" ht="14.25" customHeight="1" x14ac:dyDescent="0.3">
      <c r="A75" s="128" t="s">
        <v>158</v>
      </c>
      <c r="B75" s="81" t="str">
        <f t="shared" si="6"/>
        <v>Cooking Cream - كريمة طبخ</v>
      </c>
      <c r="C75" s="124" t="str">
        <f t="shared" si="6"/>
        <v>ml</v>
      </c>
      <c r="D75" s="125">
        <f t="shared" si="6"/>
        <v>500</v>
      </c>
      <c r="E75" s="126">
        <f t="shared" si="10"/>
        <v>9.8626262626262626</v>
      </c>
      <c r="F75" s="127">
        <f t="shared" si="7"/>
        <v>1</v>
      </c>
      <c r="G75" s="119">
        <f t="shared" si="8"/>
        <v>4931.3131313131316</v>
      </c>
      <c r="H75" s="120">
        <f t="shared" si="9"/>
        <v>4931.3131313131316</v>
      </c>
    </row>
    <row r="76" spans="1:8" ht="14.25" customHeight="1" x14ac:dyDescent="0.3">
      <c r="A76" s="128" t="s">
        <v>13</v>
      </c>
      <c r="B76" s="81" t="str">
        <f t="shared" si="6"/>
        <v>Onion - بصل</v>
      </c>
      <c r="C76" s="124" t="str">
        <f t="shared" si="6"/>
        <v>gm</v>
      </c>
      <c r="D76" s="125">
        <f t="shared" si="6"/>
        <v>100</v>
      </c>
      <c r="E76" s="126">
        <f t="shared" si="10"/>
        <v>9.8626262626262626</v>
      </c>
      <c r="F76" s="127">
        <f t="shared" si="7"/>
        <v>0.95</v>
      </c>
      <c r="G76" s="119">
        <f t="shared" si="8"/>
        <v>986.26262626262621</v>
      </c>
      <c r="H76" s="120">
        <f t="shared" si="9"/>
        <v>936.94949494949481</v>
      </c>
    </row>
    <row r="77" spans="1:8" ht="14.25" customHeight="1" x14ac:dyDescent="0.3">
      <c r="A77" s="128" t="s">
        <v>97</v>
      </c>
      <c r="B77" s="81" t="str">
        <f t="shared" si="6"/>
        <v>Salt - ملح</v>
      </c>
      <c r="C77" s="124" t="str">
        <f t="shared" si="6"/>
        <v>gm</v>
      </c>
      <c r="D77" s="125">
        <f t="shared" si="6"/>
        <v>6</v>
      </c>
      <c r="E77" s="126">
        <f t="shared" si="10"/>
        <v>9.8626262626262626</v>
      </c>
      <c r="F77" s="127">
        <f t="shared" si="7"/>
        <v>0.75</v>
      </c>
      <c r="G77" s="119">
        <f t="shared" si="8"/>
        <v>59.175757575757572</v>
      </c>
      <c r="H77" s="120">
        <f t="shared" si="9"/>
        <v>44.381818181818176</v>
      </c>
    </row>
    <row r="78" spans="1:8" ht="14.25" customHeight="1" x14ac:dyDescent="0.3">
      <c r="A78" s="128" t="s">
        <v>220</v>
      </c>
      <c r="B78" s="81" t="str">
        <f t="shared" si="6"/>
        <v>لون صفار زعفران بودر - Saffron yellow color powder</v>
      </c>
      <c r="C78" s="124" t="str">
        <f t="shared" si="6"/>
        <v>gm</v>
      </c>
      <c r="D78" s="125">
        <f t="shared" si="6"/>
        <v>2</v>
      </c>
      <c r="E78" s="126">
        <f t="shared" si="10"/>
        <v>9.8626262626262626</v>
      </c>
      <c r="F78" s="127">
        <f t="shared" si="7"/>
        <v>1</v>
      </c>
      <c r="G78" s="119">
        <f t="shared" si="8"/>
        <v>19.725252525252525</v>
      </c>
      <c r="H78" s="120">
        <f t="shared" si="9"/>
        <v>19.725252525252525</v>
      </c>
    </row>
    <row r="79" spans="1:8" ht="14.25" customHeight="1" x14ac:dyDescent="0.3">
      <c r="A79" s="128" t="s">
        <v>158</v>
      </c>
      <c r="B79" s="81" t="str">
        <f t="shared" si="6"/>
        <v>Butter - زبدة</v>
      </c>
      <c r="C79" s="124" t="str">
        <f t="shared" si="6"/>
        <v>gm</v>
      </c>
      <c r="D79" s="125">
        <f t="shared" si="6"/>
        <v>20</v>
      </c>
      <c r="E79" s="126">
        <f t="shared" si="10"/>
        <v>9.8626262626262626</v>
      </c>
      <c r="F79" s="127">
        <f t="shared" si="7"/>
        <v>1</v>
      </c>
      <c r="G79" s="119">
        <f t="shared" si="8"/>
        <v>197.25252525252526</v>
      </c>
      <c r="H79" s="120">
        <f t="shared" si="9"/>
        <v>197.25252525252526</v>
      </c>
    </row>
    <row r="80" spans="1:8" ht="20.25" customHeight="1" x14ac:dyDescent="0.3">
      <c r="A80" s="211"/>
      <c r="B80" s="198" t="s">
        <v>766</v>
      </c>
      <c r="C80" s="200" t="s">
        <v>285</v>
      </c>
      <c r="E80" s="200" t="s">
        <v>300</v>
      </c>
      <c r="G80" s="890" t="s">
        <v>276</v>
      </c>
      <c r="H80" s="890" t="s">
        <v>744</v>
      </c>
    </row>
    <row r="81" spans="1:8" ht="20" x14ac:dyDescent="0.4">
      <c r="A81" s="211"/>
      <c r="B81" s="199">
        <f>$J$53</f>
        <v>14646</v>
      </c>
      <c r="C81" s="199">
        <f>E81+G81</f>
        <v>9764</v>
      </c>
      <c r="D81" s="930"/>
      <c r="E81" s="199">
        <f>$D$53*$S$44</f>
        <v>9764</v>
      </c>
      <c r="F81" s="934"/>
      <c r="G81" s="199">
        <f>$D$53*$T$44</f>
        <v>0</v>
      </c>
      <c r="H81" s="199">
        <f>B81+E81</f>
        <v>24410</v>
      </c>
    </row>
    <row r="85" spans="1:8" x14ac:dyDescent="0.3">
      <c r="A85" s="937"/>
      <c r="B85" s="1382" t="str">
        <f>"  باستا مكروني بالخضار 2 / " &amp; COUNTIF($C$53:$C$55, "&gt;0")</f>
        <v xml:space="preserve">  باستا مكروني بالخضار 2 / 1</v>
      </c>
      <c r="C85" s="1383"/>
      <c r="D85" s="1383"/>
      <c r="E85" s="1383"/>
      <c r="F85" s="1383"/>
      <c r="G85" s="1383"/>
      <c r="H85" s="1383"/>
    </row>
    <row r="86" spans="1:8" x14ac:dyDescent="0.3">
      <c r="A86" s="937"/>
      <c r="B86" s="1384" t="str">
        <f>" Pasta with Vegetables 2 / " &amp; COUNTIF($C$53:$C$55, "&gt;0")</f>
        <v xml:space="preserve"> Pasta with Vegetables 2 / 1</v>
      </c>
      <c r="C86" s="1385"/>
      <c r="D86" s="1385"/>
      <c r="E86" s="1385"/>
      <c r="F86" s="1385"/>
      <c r="G86" s="1385"/>
      <c r="H86" s="1385"/>
    </row>
    <row r="87" spans="1:8" ht="26" x14ac:dyDescent="0.25">
      <c r="A87" s="91"/>
      <c r="B87" s="91" t="s">
        <v>253</v>
      </c>
      <c r="C87" s="107" t="s">
        <v>254</v>
      </c>
      <c r="D87" s="91" t="s">
        <v>243</v>
      </c>
      <c r="E87" s="108" t="s">
        <v>246</v>
      </c>
      <c r="F87" s="108" t="s">
        <v>255</v>
      </c>
      <c r="G87" s="91" t="s">
        <v>256</v>
      </c>
      <c r="H87" s="109" t="s">
        <v>257</v>
      </c>
    </row>
    <row r="88" spans="1:8" x14ac:dyDescent="0.3">
      <c r="A88" s="128"/>
      <c r="B88" s="81" t="str">
        <f t="shared" ref="B88:D102" si="11">B5</f>
        <v>Pasta Penne - مكرونة أقلام</v>
      </c>
      <c r="C88" s="81" t="str">
        <f t="shared" si="11"/>
        <v>gm</v>
      </c>
      <c r="D88" s="81">
        <f t="shared" si="11"/>
        <v>600</v>
      </c>
      <c r="E88" s="126">
        <f>$H$54</f>
        <v>0</v>
      </c>
      <c r="F88" s="127">
        <f>F5</f>
        <v>1</v>
      </c>
      <c r="G88" s="119">
        <f t="shared" ref="G88:G102" si="12">D88*E88</f>
        <v>0</v>
      </c>
      <c r="H88" s="120">
        <f t="shared" ref="H88:H102" si="13">G88*F88</f>
        <v>0</v>
      </c>
    </row>
    <row r="89" spans="1:8" x14ac:dyDescent="0.3">
      <c r="A89" s="128" t="s">
        <v>13</v>
      </c>
      <c r="B89" s="81" t="str">
        <f t="shared" si="11"/>
        <v>Garlic - ثوم مقشر</v>
      </c>
      <c r="C89" s="81" t="str">
        <f t="shared" si="11"/>
        <v>gm</v>
      </c>
      <c r="D89" s="81">
        <f t="shared" si="11"/>
        <v>20</v>
      </c>
      <c r="E89" s="126">
        <f t="shared" ref="E89:E102" si="14">$C$54</f>
        <v>0</v>
      </c>
      <c r="F89" s="127">
        <f t="shared" ref="F89:F102" si="15">F6</f>
        <v>1</v>
      </c>
      <c r="G89" s="119">
        <f t="shared" si="12"/>
        <v>0</v>
      </c>
      <c r="H89" s="120">
        <f t="shared" si="13"/>
        <v>0</v>
      </c>
    </row>
    <row r="90" spans="1:8" x14ac:dyDescent="0.3">
      <c r="A90" s="128" t="s">
        <v>57</v>
      </c>
      <c r="B90" s="81" t="str">
        <f t="shared" si="11"/>
        <v>Ginger - زنجبيل</v>
      </c>
      <c r="C90" s="81" t="str">
        <f t="shared" si="11"/>
        <v>gm</v>
      </c>
      <c r="D90" s="81">
        <f t="shared" si="11"/>
        <v>20</v>
      </c>
      <c r="E90" s="126">
        <f t="shared" si="14"/>
        <v>0</v>
      </c>
      <c r="F90" s="127">
        <f t="shared" si="15"/>
        <v>1</v>
      </c>
      <c r="G90" s="119">
        <f t="shared" si="12"/>
        <v>0</v>
      </c>
      <c r="H90" s="120">
        <f t="shared" si="13"/>
        <v>0</v>
      </c>
    </row>
    <row r="91" spans="1:8" x14ac:dyDescent="0.3">
      <c r="A91" s="128" t="s">
        <v>186</v>
      </c>
      <c r="B91" s="81" t="str">
        <f t="shared" si="11"/>
        <v>Honey - عسل</v>
      </c>
      <c r="C91" s="81" t="str">
        <f t="shared" si="11"/>
        <v>gm</v>
      </c>
      <c r="D91" s="81">
        <f t="shared" si="11"/>
        <v>50</v>
      </c>
      <c r="E91" s="126">
        <f t="shared" si="14"/>
        <v>0</v>
      </c>
      <c r="F91" s="127">
        <f t="shared" si="15"/>
        <v>1</v>
      </c>
      <c r="G91" s="119">
        <f t="shared" si="12"/>
        <v>0</v>
      </c>
      <c r="H91" s="120">
        <f t="shared" si="13"/>
        <v>0</v>
      </c>
    </row>
    <row r="92" spans="1:8" x14ac:dyDescent="0.3">
      <c r="A92" s="128" t="s">
        <v>196</v>
      </c>
      <c r="B92" s="81" t="str">
        <f t="shared" si="11"/>
        <v>Tomato Ketchup - كاتشب طماطم</v>
      </c>
      <c r="C92" s="81" t="str">
        <f t="shared" si="11"/>
        <v>ml</v>
      </c>
      <c r="D92" s="81">
        <f t="shared" si="11"/>
        <v>200</v>
      </c>
      <c r="E92" s="126">
        <f t="shared" si="14"/>
        <v>0</v>
      </c>
      <c r="F92" s="127">
        <f t="shared" si="15"/>
        <v>1</v>
      </c>
      <c r="G92" s="119">
        <f t="shared" si="12"/>
        <v>0</v>
      </c>
      <c r="H92" s="120">
        <f t="shared" si="13"/>
        <v>0</v>
      </c>
    </row>
    <row r="93" spans="1:8" x14ac:dyDescent="0.3">
      <c r="A93" s="128" t="s">
        <v>196</v>
      </c>
      <c r="B93" s="81" t="str">
        <f t="shared" si="11"/>
        <v>Tomato Paste - صلصة طماطم</v>
      </c>
      <c r="C93" s="81" t="str">
        <f t="shared" si="11"/>
        <v>gm</v>
      </c>
      <c r="D93" s="81">
        <f t="shared" si="11"/>
        <v>20</v>
      </c>
      <c r="E93" s="126">
        <f t="shared" si="14"/>
        <v>0</v>
      </c>
      <c r="F93" s="127">
        <f t="shared" si="15"/>
        <v>1</v>
      </c>
      <c r="G93" s="119">
        <f t="shared" si="12"/>
        <v>0</v>
      </c>
      <c r="H93" s="120">
        <f t="shared" si="13"/>
        <v>0</v>
      </c>
    </row>
    <row r="94" spans="1:8" x14ac:dyDescent="0.3">
      <c r="A94" s="128" t="s">
        <v>97</v>
      </c>
      <c r="B94" s="81" t="str">
        <f t="shared" si="11"/>
        <v>Maggi Cubes - مكعبات ماجي</v>
      </c>
      <c r="C94" s="81" t="str">
        <f t="shared" si="11"/>
        <v>gm</v>
      </c>
      <c r="D94" s="81">
        <f t="shared" si="11"/>
        <v>10</v>
      </c>
      <c r="E94" s="126">
        <f t="shared" si="14"/>
        <v>0</v>
      </c>
      <c r="F94" s="127">
        <f t="shared" si="15"/>
        <v>0.75</v>
      </c>
      <c r="G94" s="119">
        <f t="shared" si="12"/>
        <v>0</v>
      </c>
      <c r="H94" s="120">
        <f t="shared" si="13"/>
        <v>0</v>
      </c>
    </row>
    <row r="95" spans="1:8" x14ac:dyDescent="0.3">
      <c r="A95" s="128" t="s">
        <v>158</v>
      </c>
      <c r="B95" s="81" t="str">
        <f t="shared" si="11"/>
        <v>Milk - حليب</v>
      </c>
      <c r="C95" s="81" t="str">
        <f t="shared" si="11"/>
        <v>ml</v>
      </c>
      <c r="D95" s="81">
        <f t="shared" si="11"/>
        <v>100</v>
      </c>
      <c r="E95" s="126">
        <f t="shared" si="14"/>
        <v>0</v>
      </c>
      <c r="F95" s="127">
        <f t="shared" si="15"/>
        <v>1</v>
      </c>
      <c r="G95" s="119">
        <f t="shared" si="12"/>
        <v>0</v>
      </c>
      <c r="H95" s="120">
        <f t="shared" si="13"/>
        <v>0</v>
      </c>
    </row>
    <row r="96" spans="1:8" x14ac:dyDescent="0.3">
      <c r="A96" s="128" t="s">
        <v>196</v>
      </c>
      <c r="B96" s="81" t="str">
        <f t="shared" si="11"/>
        <v>Mustard - خردل</v>
      </c>
      <c r="C96" s="81" t="str">
        <f t="shared" si="11"/>
        <v>gm</v>
      </c>
      <c r="D96" s="81">
        <f t="shared" si="11"/>
        <v>25</v>
      </c>
      <c r="E96" s="126">
        <f t="shared" si="14"/>
        <v>0</v>
      </c>
      <c r="F96" s="127">
        <f t="shared" si="15"/>
        <v>1</v>
      </c>
      <c r="G96" s="119">
        <f t="shared" si="12"/>
        <v>0</v>
      </c>
      <c r="H96" s="120">
        <f t="shared" si="13"/>
        <v>0</v>
      </c>
    </row>
    <row r="97" spans="1:8" x14ac:dyDescent="0.3">
      <c r="A97" s="128" t="s">
        <v>196</v>
      </c>
      <c r="B97" s="81" t="str">
        <f t="shared" si="11"/>
        <v>Sriracha Sauce - صوص سريراتشا</v>
      </c>
      <c r="C97" s="81" t="str">
        <f t="shared" si="11"/>
        <v>ml</v>
      </c>
      <c r="D97" s="81">
        <f t="shared" si="11"/>
        <v>30</v>
      </c>
      <c r="E97" s="126">
        <f t="shared" si="14"/>
        <v>0</v>
      </c>
      <c r="F97" s="127">
        <f t="shared" si="15"/>
        <v>0.75</v>
      </c>
      <c r="G97" s="119">
        <f t="shared" si="12"/>
        <v>0</v>
      </c>
      <c r="H97" s="120">
        <f t="shared" si="13"/>
        <v>0</v>
      </c>
    </row>
    <row r="98" spans="1:8" x14ac:dyDescent="0.3">
      <c r="A98" s="128" t="s">
        <v>158</v>
      </c>
      <c r="B98" s="81" t="str">
        <f t="shared" si="11"/>
        <v>Cooking Cream - كريمة طبخ</v>
      </c>
      <c r="C98" s="81" t="str">
        <f t="shared" si="11"/>
        <v>ml</v>
      </c>
      <c r="D98" s="81">
        <f t="shared" si="11"/>
        <v>500</v>
      </c>
      <c r="E98" s="126">
        <f t="shared" si="14"/>
        <v>0</v>
      </c>
      <c r="F98" s="127">
        <f t="shared" si="15"/>
        <v>1</v>
      </c>
      <c r="G98" s="119">
        <f t="shared" si="12"/>
        <v>0</v>
      </c>
      <c r="H98" s="120">
        <f t="shared" si="13"/>
        <v>0</v>
      </c>
    </row>
    <row r="99" spans="1:8" x14ac:dyDescent="0.3">
      <c r="A99" s="128" t="s">
        <v>13</v>
      </c>
      <c r="B99" s="81" t="str">
        <f t="shared" si="11"/>
        <v>Onion - بصل</v>
      </c>
      <c r="C99" s="81" t="str">
        <f t="shared" si="11"/>
        <v>gm</v>
      </c>
      <c r="D99" s="81">
        <f t="shared" si="11"/>
        <v>100</v>
      </c>
      <c r="E99" s="126">
        <f t="shared" si="14"/>
        <v>0</v>
      </c>
      <c r="F99" s="127">
        <f t="shared" si="15"/>
        <v>0.95</v>
      </c>
      <c r="G99" s="119">
        <f t="shared" si="12"/>
        <v>0</v>
      </c>
      <c r="H99" s="120">
        <f t="shared" si="13"/>
        <v>0</v>
      </c>
    </row>
    <row r="100" spans="1:8" x14ac:dyDescent="0.3">
      <c r="A100" s="128" t="s">
        <v>97</v>
      </c>
      <c r="B100" s="81" t="str">
        <f t="shared" si="11"/>
        <v>Salt - ملح</v>
      </c>
      <c r="C100" s="81" t="str">
        <f t="shared" si="11"/>
        <v>gm</v>
      </c>
      <c r="D100" s="81">
        <f t="shared" si="11"/>
        <v>6</v>
      </c>
      <c r="E100" s="126">
        <f t="shared" si="14"/>
        <v>0</v>
      </c>
      <c r="F100" s="127">
        <f t="shared" si="15"/>
        <v>0.75</v>
      </c>
      <c r="G100" s="119">
        <f t="shared" si="12"/>
        <v>0</v>
      </c>
      <c r="H100" s="120">
        <f t="shared" si="13"/>
        <v>0</v>
      </c>
    </row>
    <row r="101" spans="1:8" x14ac:dyDescent="0.3">
      <c r="A101" s="128" t="s">
        <v>220</v>
      </c>
      <c r="B101" s="81" t="str">
        <f t="shared" si="11"/>
        <v>لون صفار زعفران بودر - Saffron yellow color powder</v>
      </c>
      <c r="C101" s="81" t="str">
        <f t="shared" si="11"/>
        <v>gm</v>
      </c>
      <c r="D101" s="81">
        <f t="shared" si="11"/>
        <v>2</v>
      </c>
      <c r="E101" s="126">
        <f t="shared" si="14"/>
        <v>0</v>
      </c>
      <c r="F101" s="127">
        <f t="shared" si="15"/>
        <v>1</v>
      </c>
      <c r="G101" s="119">
        <f t="shared" si="12"/>
        <v>0</v>
      </c>
      <c r="H101" s="120">
        <f t="shared" si="13"/>
        <v>0</v>
      </c>
    </row>
    <row r="102" spans="1:8" x14ac:dyDescent="0.3">
      <c r="A102" s="128" t="s">
        <v>158</v>
      </c>
      <c r="B102" s="81" t="str">
        <f t="shared" si="11"/>
        <v>Butter - زبدة</v>
      </c>
      <c r="C102" s="81" t="str">
        <f t="shared" si="11"/>
        <v>gm</v>
      </c>
      <c r="D102" s="81">
        <f t="shared" si="11"/>
        <v>20</v>
      </c>
      <c r="E102" s="126">
        <f t="shared" si="14"/>
        <v>0</v>
      </c>
      <c r="F102" s="127">
        <f t="shared" si="15"/>
        <v>1</v>
      </c>
      <c r="G102" s="119">
        <f t="shared" si="12"/>
        <v>0</v>
      </c>
      <c r="H102" s="120">
        <f t="shared" si="13"/>
        <v>0</v>
      </c>
    </row>
    <row r="103" spans="1:8" ht="18" x14ac:dyDescent="0.3">
      <c r="A103" s="211"/>
      <c r="B103" s="198" t="s">
        <v>766</v>
      </c>
      <c r="C103" s="200" t="s">
        <v>285</v>
      </c>
      <c r="E103" s="200" t="s">
        <v>300</v>
      </c>
      <c r="G103" s="890" t="s">
        <v>276</v>
      </c>
      <c r="H103" s="890" t="s">
        <v>744</v>
      </c>
    </row>
    <row r="104" spans="1:8" ht="20" x14ac:dyDescent="0.4">
      <c r="A104" s="211"/>
      <c r="B104" s="199">
        <f>$J$54</f>
        <v>0</v>
      </c>
      <c r="C104" s="199">
        <f>E104+G104</f>
        <v>0</v>
      </c>
      <c r="D104" s="930"/>
      <c r="E104" s="199">
        <f>$D$54*$S$44</f>
        <v>0</v>
      </c>
      <c r="F104" s="934"/>
      <c r="G104" s="199">
        <f>$D$54*$T$44</f>
        <v>0</v>
      </c>
      <c r="H104" s="199">
        <f>B104+E104</f>
        <v>0</v>
      </c>
    </row>
  </sheetData>
  <mergeCells count="10">
    <mergeCell ref="B85:H85"/>
    <mergeCell ref="B86:H86"/>
    <mergeCell ref="B63:H63"/>
    <mergeCell ref="L2:L3"/>
    <mergeCell ref="B2:J3"/>
    <mergeCell ref="AE2:AG3"/>
    <mergeCell ref="R26:U26"/>
    <mergeCell ref="R25:U25"/>
    <mergeCell ref="B62:H62"/>
    <mergeCell ref="K2:K3"/>
  </mergeCells>
  <printOptions horizontalCentered="1"/>
  <pageMargins left="0.5" right="0.5" top="1" bottom="0.5" header="0.3" footer="0.511811023622047"/>
  <pageSetup paperSize="9" scale="30" orientation="portrait"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rgb="FFFF0000"/>
    <pageSetUpPr fitToPage="1"/>
  </sheetPr>
  <dimension ref="A1:AT139"/>
  <sheetViews>
    <sheetView topLeftCell="B51" zoomScale="70" zoomScaleNormal="70" workbookViewId="0">
      <selection activeCell="T28" sqref="S28:T30"/>
    </sheetView>
  </sheetViews>
  <sheetFormatPr defaultColWidth="29.1640625" defaultRowHeight="14" x14ac:dyDescent="0.3"/>
  <cols>
    <col min="1" max="1" width="14.9140625" style="79" customWidth="1"/>
    <col min="2" max="2" width="41.83203125" style="14" customWidth="1"/>
    <col min="3" max="3" width="18.4140625" style="14" customWidth="1"/>
    <col min="4" max="4" width="29.1640625" style="14" customWidth="1"/>
    <col min="5" max="5" width="20" style="250" customWidth="1"/>
    <col min="6" max="8" width="29.1640625" style="14" customWidth="1"/>
    <col min="9" max="9" width="14.5" style="14" customWidth="1"/>
    <col min="10" max="10" width="29.1640625" style="14" customWidth="1"/>
    <col min="11" max="11" width="22.08203125" style="14" customWidth="1"/>
    <col min="12" max="12" width="8.33203125" style="14" customWidth="1"/>
    <col min="13" max="13" width="29.1640625" style="14" customWidth="1"/>
    <col min="14" max="15" width="11.5" style="14" customWidth="1"/>
    <col min="16" max="16" width="13.83203125" style="14" customWidth="1"/>
    <col min="17" max="17" width="18.4140625" style="14" customWidth="1"/>
    <col min="18" max="18" width="41.4140625" style="14" customWidth="1"/>
    <col min="19" max="19" width="11.4140625" style="14" customWidth="1"/>
    <col min="20" max="20" width="14.5" style="14" customWidth="1"/>
    <col min="21" max="21" width="12" style="14" customWidth="1"/>
    <col min="22" max="22" width="29.1640625" style="14" customWidth="1"/>
    <col min="23" max="23" width="31.83203125" style="14" bestFit="1" customWidth="1"/>
    <col min="24" max="24" width="12.4140625" style="14" customWidth="1"/>
    <col min="25" max="25" width="15.4140625" style="14" customWidth="1"/>
    <col min="26" max="26" width="13.58203125" style="14" customWidth="1"/>
    <col min="27" max="27" width="15.83203125" style="14" customWidth="1"/>
    <col min="28" max="28" width="11.9140625" style="14" bestFit="1" customWidth="1"/>
    <col min="29" max="30" width="13.33203125" style="14" bestFit="1" customWidth="1"/>
    <col min="31" max="31" width="11.58203125" style="14" bestFit="1" customWidth="1"/>
    <col min="32" max="32" width="13.6640625" style="14" customWidth="1"/>
    <col min="33" max="34" width="7.4140625" style="14" customWidth="1"/>
    <col min="35" max="36" width="29.1640625" style="14"/>
    <col min="37" max="37" width="5.4140625" style="14" bestFit="1" customWidth="1"/>
    <col min="38" max="38" width="26.33203125" style="14" customWidth="1"/>
    <col min="39" max="39" width="24.4140625" style="14" bestFit="1" customWidth="1"/>
    <col min="40" max="40" width="14.9140625" style="14" bestFit="1" customWidth="1"/>
    <col min="41" max="41" width="13.58203125" style="14" customWidth="1"/>
    <col min="42" max="42" width="16.5" style="14" customWidth="1"/>
    <col min="43" max="16384" width="29.1640625" style="14"/>
  </cols>
  <sheetData>
    <row r="1" spans="1:46" s="250" customFormat="1" ht="20.25" customHeight="1" x14ac:dyDescent="0.3">
      <c r="A1" s="248"/>
      <c r="B1" s="80" t="s">
        <v>243</v>
      </c>
      <c r="C1" s="81">
        <v>1000</v>
      </c>
      <c r="D1" s="82" t="s">
        <v>244</v>
      </c>
      <c r="E1" s="117">
        <f>T32</f>
        <v>20634.871794871804</v>
      </c>
      <c r="F1" s="80" t="s">
        <v>245</v>
      </c>
      <c r="G1" s="84">
        <f>E1/C1</f>
        <v>20.634871794871803</v>
      </c>
      <c r="H1" s="80" t="s">
        <v>246</v>
      </c>
      <c r="I1" s="85">
        <f>(G1/K1)</f>
        <v>21.055991627420209</v>
      </c>
      <c r="J1" s="86" t="s">
        <v>247</v>
      </c>
      <c r="K1" s="81">
        <v>0.98</v>
      </c>
      <c r="L1" s="92"/>
      <c r="M1" s="89"/>
      <c r="N1" s="90"/>
      <c r="O1" s="91" t="s">
        <v>248</v>
      </c>
      <c r="P1" s="92" t="s">
        <v>249</v>
      </c>
      <c r="Q1" s="93" t="s">
        <v>250</v>
      </c>
      <c r="R1" s="92">
        <v>0.59</v>
      </c>
      <c r="S1" s="92"/>
      <c r="T1" s="92"/>
      <c r="Y1" s="91" t="s">
        <v>479</v>
      </c>
      <c r="Z1" s="847">
        <v>36580</v>
      </c>
      <c r="AA1" s="91" t="s">
        <v>600</v>
      </c>
      <c r="AB1" s="847">
        <v>0</v>
      </c>
      <c r="AC1" s="91" t="s">
        <v>587</v>
      </c>
      <c r="AD1" s="847">
        <v>259</v>
      </c>
      <c r="AF1" s="252"/>
      <c r="AG1" s="92"/>
      <c r="AI1" s="79"/>
      <c r="AJ1" s="110" t="s">
        <v>262</v>
      </c>
      <c r="AK1" s="94">
        <v>10000</v>
      </c>
      <c r="AL1" s="628" t="s">
        <v>520</v>
      </c>
      <c r="AM1" s="629">
        <f>$S$32</f>
        <v>28138.461538461532</v>
      </c>
      <c r="AN1" s="94" t="s">
        <v>251</v>
      </c>
      <c r="AO1" s="96">
        <f>($S$32/$R$1)/$AK$1</f>
        <v>4.7692307692307683</v>
      </c>
      <c r="AP1" s="95"/>
    </row>
    <row r="2" spans="1:46" ht="15.75" customHeight="1" x14ac:dyDescent="0.3">
      <c r="A2" s="97"/>
      <c r="B2" s="1387" t="s">
        <v>67</v>
      </c>
      <c r="C2" s="1389"/>
      <c r="D2" s="1389"/>
      <c r="E2" s="1390"/>
      <c r="F2" s="1389"/>
      <c r="G2" s="1389"/>
      <c r="H2" s="1389"/>
      <c r="I2" s="1389"/>
      <c r="J2" s="1389"/>
      <c r="K2" s="1387"/>
      <c r="L2" s="1387"/>
      <c r="O2" s="100"/>
      <c r="P2" s="100"/>
      <c r="Q2" s="100"/>
      <c r="R2" s="100"/>
      <c r="S2" s="100"/>
      <c r="T2" s="100"/>
      <c r="U2" s="100"/>
      <c r="AC2" s="99"/>
      <c r="AD2" s="99"/>
      <c r="AE2" s="1391"/>
      <c r="AF2" s="1389"/>
      <c r="AG2" s="1389"/>
      <c r="AI2" s="79"/>
      <c r="AJ2" s="373"/>
      <c r="AK2" s="1386" t="s">
        <v>396</v>
      </c>
      <c r="AL2" s="1386"/>
      <c r="AM2" s="1386"/>
      <c r="AN2" s="102"/>
      <c r="AO2" s="101"/>
      <c r="AP2" s="101"/>
    </row>
    <row r="3" spans="1:46" ht="15.75" customHeight="1" x14ac:dyDescent="0.3">
      <c r="A3" s="97"/>
      <c r="B3" s="1388"/>
      <c r="C3" s="1388"/>
      <c r="D3" s="1388"/>
      <c r="E3" s="1388"/>
      <c r="F3" s="1388"/>
      <c r="G3" s="1388"/>
      <c r="H3" s="1388"/>
      <c r="I3" s="1388"/>
      <c r="J3" s="1388"/>
      <c r="K3" s="1388"/>
      <c r="L3" s="1388"/>
      <c r="O3" s="100"/>
      <c r="P3" s="100"/>
      <c r="Q3" s="100"/>
      <c r="R3" s="100"/>
      <c r="S3" s="100"/>
      <c r="T3" s="100"/>
      <c r="U3" s="100"/>
      <c r="AC3" s="99"/>
      <c r="AD3" s="99"/>
      <c r="AE3" s="1389"/>
      <c r="AF3" s="1389"/>
      <c r="AG3" s="1389"/>
      <c r="AI3" s="79"/>
      <c r="AJ3" s="373"/>
      <c r="AK3" s="104"/>
      <c r="AL3" s="105"/>
      <c r="AM3" s="105"/>
      <c r="AN3" s="105"/>
      <c r="AO3" s="104"/>
      <c r="AP3" s="104"/>
    </row>
    <row r="4" spans="1:46" ht="35.25" customHeight="1" x14ac:dyDescent="0.3">
      <c r="A4" s="91" t="s">
        <v>1</v>
      </c>
      <c r="B4" s="91" t="s">
        <v>253</v>
      </c>
      <c r="C4" s="107" t="s">
        <v>254</v>
      </c>
      <c r="D4" s="91" t="s">
        <v>243</v>
      </c>
      <c r="E4" s="108" t="s">
        <v>246</v>
      </c>
      <c r="F4" s="108" t="s">
        <v>255</v>
      </c>
      <c r="G4" s="91" t="s">
        <v>256</v>
      </c>
      <c r="H4" s="331" t="s">
        <v>347</v>
      </c>
      <c r="I4" s="91" t="s">
        <v>258</v>
      </c>
      <c r="J4" s="91" t="s">
        <v>259</v>
      </c>
      <c r="K4" s="91" t="s">
        <v>260</v>
      </c>
      <c r="L4" s="91" t="s">
        <v>261</v>
      </c>
      <c r="M4" s="371"/>
      <c r="N4" s="371"/>
      <c r="Q4" s="100"/>
      <c r="R4" s="100"/>
      <c r="S4" s="100"/>
      <c r="T4" s="100"/>
      <c r="U4" s="100"/>
      <c r="AC4" s="251"/>
      <c r="AD4" s="253"/>
      <c r="AE4" s="251"/>
      <c r="AF4" s="251"/>
      <c r="AG4" s="251"/>
      <c r="AI4" s="79"/>
      <c r="AJ4" s="110" t="s">
        <v>253</v>
      </c>
      <c r="AK4" s="111" t="s">
        <v>254</v>
      </c>
      <c r="AL4" s="110" t="s">
        <v>262</v>
      </c>
      <c r="AM4" s="110" t="s">
        <v>246</v>
      </c>
      <c r="AN4" s="110" t="s">
        <v>255</v>
      </c>
      <c r="AO4" s="110" t="s">
        <v>256</v>
      </c>
      <c r="AP4" s="112" t="s">
        <v>257</v>
      </c>
      <c r="AQ4" s="91" t="s">
        <v>258</v>
      </c>
      <c r="AR4" s="91" t="s">
        <v>259</v>
      </c>
      <c r="AS4" s="91" t="s">
        <v>260</v>
      </c>
      <c r="AT4" s="91" t="s">
        <v>261</v>
      </c>
    </row>
    <row r="5" spans="1:46" ht="14.25" customHeight="1" x14ac:dyDescent="0.3">
      <c r="A5" s="266" t="s">
        <v>230</v>
      </c>
      <c r="B5" s="309" t="s">
        <v>229</v>
      </c>
      <c r="C5" s="115" t="s">
        <v>14</v>
      </c>
      <c r="D5" s="121">
        <f>I51/10</f>
        <v>2311.5254237288136</v>
      </c>
      <c r="E5" s="85">
        <f>H52</f>
        <v>20.632395907362906</v>
      </c>
      <c r="F5" s="127">
        <v>1</v>
      </c>
      <c r="G5" s="249">
        <f t="shared" ref="G5:G24" si="0">D5*E5</f>
        <v>47692.307692307681</v>
      </c>
      <c r="H5" s="207">
        <f t="shared" ref="H5:H24" si="1">G5*F5</f>
        <v>47692.307692307681</v>
      </c>
      <c r="I5" s="81">
        <f>VLOOKUP(B5,All_Ingredients!$A$1:$F$151,6,FALSE())</f>
        <v>0.86</v>
      </c>
      <c r="J5" s="119">
        <f>VLOOKUP(B5,All_Ingredients!$A$1:$J$151,10,FALSE())</f>
        <v>17.100000000000001</v>
      </c>
      <c r="K5" s="122">
        <f t="shared" ref="K5" si="2">(H5/I5)/1000</f>
        <v>55.45617173524149</v>
      </c>
      <c r="L5" s="122">
        <f t="shared" ref="L5" si="3">K5*J5</f>
        <v>948.30053667262951</v>
      </c>
      <c r="M5" s="131"/>
      <c r="N5" s="131"/>
      <c r="O5" s="100"/>
      <c r="P5" s="100"/>
      <c r="Q5" s="100"/>
      <c r="R5" s="100"/>
      <c r="S5" s="100"/>
      <c r="T5" s="100"/>
      <c r="U5" s="100"/>
      <c r="AC5" s="92"/>
      <c r="AD5" s="133"/>
      <c r="AE5" s="254"/>
      <c r="AF5" s="135"/>
      <c r="AG5" s="136"/>
      <c r="AI5" s="79"/>
      <c r="AJ5" s="67" t="s">
        <v>229</v>
      </c>
      <c r="AK5" s="124" t="s">
        <v>238</v>
      </c>
      <c r="AL5" s="116">
        <v>10</v>
      </c>
      <c r="AM5" s="197">
        <f t="shared" ref="AM5:AM19" si="4">$AO$1</f>
        <v>4.7692307692307683</v>
      </c>
      <c r="AN5" s="299">
        <v>1</v>
      </c>
      <c r="AO5" s="249">
        <f t="shared" ref="AO5:AO19" si="5">AL5*AM5</f>
        <v>47.692307692307679</v>
      </c>
      <c r="AP5" s="207">
        <f t="shared" ref="AP5:AP19" si="6">AO5*AN5</f>
        <v>47.692307692307679</v>
      </c>
      <c r="AQ5" s="295"/>
      <c r="AR5" s="1171"/>
      <c r="AS5" s="175"/>
      <c r="AT5" s="1172"/>
    </row>
    <row r="6" spans="1:46" ht="14.25" customHeight="1" x14ac:dyDescent="0.3">
      <c r="A6" s="128" t="s">
        <v>13</v>
      </c>
      <c r="B6" s="114" t="s">
        <v>12</v>
      </c>
      <c r="C6" s="115" t="s">
        <v>14</v>
      </c>
      <c r="D6" s="125">
        <v>200</v>
      </c>
      <c r="E6" s="197">
        <f t="shared" ref="E6:E24" si="7">$I$1</f>
        <v>21.055991627420209</v>
      </c>
      <c r="F6" s="299">
        <v>0.95</v>
      </c>
      <c r="G6" s="249">
        <f t="shared" si="0"/>
        <v>4211.1983254840416</v>
      </c>
      <c r="H6" s="207">
        <f t="shared" si="1"/>
        <v>4000.6384092098392</v>
      </c>
      <c r="I6" s="81">
        <f>VLOOKUP(B6,All_Ingredients!$A$1:$F$151,6,FALSE())</f>
        <v>0.9</v>
      </c>
      <c r="J6" s="119">
        <f>VLOOKUP(B6,All_Ingredients!$A$1:$J$151,10,FALSE())</f>
        <v>3</v>
      </c>
      <c r="K6" s="122">
        <f t="shared" ref="K6:K24" si="8">(H6/I6)/1000</f>
        <v>4.4451537880109324</v>
      </c>
      <c r="L6" s="122">
        <f t="shared" ref="L6:L24" si="9">K6*J6</f>
        <v>13.335461364032797</v>
      </c>
      <c r="M6" s="131"/>
      <c r="N6" s="131"/>
      <c r="AI6" s="79" t="s">
        <v>97</v>
      </c>
      <c r="AJ6" s="323" t="s">
        <v>108</v>
      </c>
      <c r="AK6" s="124" t="s">
        <v>14</v>
      </c>
      <c r="AL6" s="116">
        <v>20</v>
      </c>
      <c r="AM6" s="197">
        <f t="shared" si="4"/>
        <v>4.7692307692307683</v>
      </c>
      <c r="AN6" s="299">
        <v>1</v>
      </c>
      <c r="AO6" s="249">
        <f t="shared" si="5"/>
        <v>95.384615384615358</v>
      </c>
      <c r="AP6" s="207">
        <f t="shared" si="6"/>
        <v>95.384615384615358</v>
      </c>
      <c r="AQ6" s="1172">
        <f>VLOOKUP(AJ6,Marination_Ordering!$A:$J,6,FALSE)</f>
        <v>1</v>
      </c>
      <c r="AR6" s="1172">
        <f>VLOOKUP(AJ6,Marination_Ordering!$A:$J,10,FALSE)</f>
        <v>15</v>
      </c>
      <c r="AS6" s="175">
        <f>AP6/AQ6</f>
        <v>95.384615384615358</v>
      </c>
      <c r="AT6" s="1172">
        <f>AR6*(AS6/1000)</f>
        <v>1.4307692307692303</v>
      </c>
    </row>
    <row r="7" spans="1:46" ht="14.25" customHeight="1" x14ac:dyDescent="0.3">
      <c r="A7" s="128" t="s">
        <v>13</v>
      </c>
      <c r="B7" s="114" t="s">
        <v>17</v>
      </c>
      <c r="C7" s="115" t="s">
        <v>14</v>
      </c>
      <c r="D7" s="125">
        <v>450</v>
      </c>
      <c r="E7" s="197">
        <f t="shared" si="7"/>
        <v>21.055991627420209</v>
      </c>
      <c r="F7" s="299">
        <v>1</v>
      </c>
      <c r="G7" s="249">
        <f t="shared" si="0"/>
        <v>9475.1962323390944</v>
      </c>
      <c r="H7" s="207">
        <f t="shared" si="1"/>
        <v>9475.1962323390944</v>
      </c>
      <c r="I7" s="81">
        <f>VLOOKUP(B7,All_Ingredients!$A$1:$F$151,6,FALSE())</f>
        <v>0.98</v>
      </c>
      <c r="J7" s="119">
        <f>VLOOKUP(B7,All_Ingredients!$A$1:$J$151,10,FALSE())</f>
        <v>3.5</v>
      </c>
      <c r="K7" s="122">
        <f t="shared" si="8"/>
        <v>9.6685675840194829</v>
      </c>
      <c r="L7" s="122">
        <f t="shared" si="9"/>
        <v>33.839986544068189</v>
      </c>
      <c r="M7" s="131"/>
      <c r="N7" s="131"/>
      <c r="AI7" s="79" t="s">
        <v>97</v>
      </c>
      <c r="AJ7" s="323" t="s">
        <v>110</v>
      </c>
      <c r="AK7" s="124" t="s">
        <v>14</v>
      </c>
      <c r="AL7" s="116">
        <v>10</v>
      </c>
      <c r="AM7" s="197">
        <f t="shared" si="4"/>
        <v>4.7692307692307683</v>
      </c>
      <c r="AN7" s="299">
        <v>1</v>
      </c>
      <c r="AO7" s="249">
        <f t="shared" si="5"/>
        <v>47.692307692307679</v>
      </c>
      <c r="AP7" s="207">
        <f t="shared" si="6"/>
        <v>47.692307692307679</v>
      </c>
      <c r="AQ7" s="1172">
        <f>VLOOKUP(AJ7,Marination_Ordering!$A:$J,6,FALSE)</f>
        <v>1</v>
      </c>
      <c r="AR7" s="1172">
        <f>VLOOKUP(AJ7,Marination_Ordering!$A:$J,10,FALSE)</f>
        <v>8</v>
      </c>
      <c r="AS7" s="175">
        <f t="shared" ref="AS7:AS8" si="10">AP7/AQ7</f>
        <v>47.692307692307679</v>
      </c>
      <c r="AT7" s="1172">
        <f t="shared" ref="AT7:AT8" si="11">AR7*(AS7/1000)</f>
        <v>0.38153846153846144</v>
      </c>
    </row>
    <row r="8" spans="1:46" ht="14.25" customHeight="1" x14ac:dyDescent="0.3">
      <c r="A8" s="128" t="s">
        <v>57</v>
      </c>
      <c r="B8" s="114" t="s">
        <v>56</v>
      </c>
      <c r="C8" s="115" t="s">
        <v>14</v>
      </c>
      <c r="D8" s="125">
        <v>20</v>
      </c>
      <c r="E8" s="197">
        <f t="shared" si="7"/>
        <v>21.055991627420209</v>
      </c>
      <c r="F8" s="299">
        <v>0.9</v>
      </c>
      <c r="G8" s="249">
        <f t="shared" si="0"/>
        <v>421.11983254840419</v>
      </c>
      <c r="H8" s="207">
        <f t="shared" si="1"/>
        <v>379.00784929356377</v>
      </c>
      <c r="I8" s="81">
        <f>VLOOKUP(B8,All_Ingredients!$A$1:$F$151,6,FALSE())</f>
        <v>0.87</v>
      </c>
      <c r="J8" s="119">
        <f>VLOOKUP(B8,All_Ingredients!$A$1:$J$151,10,FALSE())</f>
        <v>7</v>
      </c>
      <c r="K8" s="122">
        <f t="shared" si="8"/>
        <v>0.43564120608455609</v>
      </c>
      <c r="L8" s="122">
        <f t="shared" si="9"/>
        <v>3.0494884425918927</v>
      </c>
      <c r="M8" s="131"/>
      <c r="N8" s="131"/>
      <c r="AI8" s="79" t="s">
        <v>158</v>
      </c>
      <c r="AJ8" s="374" t="s">
        <v>168</v>
      </c>
      <c r="AK8" s="124" t="s">
        <v>14</v>
      </c>
      <c r="AL8" s="223">
        <v>250</v>
      </c>
      <c r="AM8" s="197">
        <f t="shared" si="4"/>
        <v>4.7692307692307683</v>
      </c>
      <c r="AN8" s="299">
        <v>1</v>
      </c>
      <c r="AO8" s="249">
        <f t="shared" si="5"/>
        <v>1192.3076923076922</v>
      </c>
      <c r="AP8" s="207">
        <f t="shared" si="6"/>
        <v>1192.3076923076922</v>
      </c>
      <c r="AQ8" s="1172">
        <f>VLOOKUP(AJ8,Marination_Ordering!$A:$J,6,FALSE)</f>
        <v>1</v>
      </c>
      <c r="AR8" s="1172">
        <f>VLOOKUP(AJ8,Marination_Ordering!$A:$J,10,FALSE)</f>
        <v>6.6959999999999997</v>
      </c>
      <c r="AS8" s="175">
        <f t="shared" si="10"/>
        <v>1192.3076923076922</v>
      </c>
      <c r="AT8" s="1172">
        <f t="shared" si="11"/>
        <v>7.9836923076923059</v>
      </c>
    </row>
    <row r="9" spans="1:46" ht="14.25" customHeight="1" x14ac:dyDescent="0.3">
      <c r="A9" s="128" t="s">
        <v>13</v>
      </c>
      <c r="B9" s="114" t="s">
        <v>792</v>
      </c>
      <c r="C9" s="115" t="s">
        <v>14</v>
      </c>
      <c r="D9" s="125">
        <v>20</v>
      </c>
      <c r="E9" s="197">
        <f t="shared" si="7"/>
        <v>21.055991627420209</v>
      </c>
      <c r="F9" s="299">
        <v>0.9</v>
      </c>
      <c r="G9" s="249">
        <f t="shared" si="0"/>
        <v>421.11983254840419</v>
      </c>
      <c r="H9" s="207">
        <f t="shared" si="1"/>
        <v>379.00784929356377</v>
      </c>
      <c r="I9" s="81">
        <f>VLOOKUP(B9,All_Ingredients!$A$1:$F$151,6,FALSE())</f>
        <v>1</v>
      </c>
      <c r="J9" s="119">
        <f>VLOOKUP(B9,All_Ingredients!$A$1:$J$151,10,FALSE())</f>
        <v>10.5</v>
      </c>
      <c r="K9" s="122">
        <f t="shared" si="8"/>
        <v>0.37900784929356379</v>
      </c>
      <c r="L9" s="122">
        <f t="shared" si="9"/>
        <v>3.9795824175824199</v>
      </c>
      <c r="M9" s="131"/>
      <c r="N9" s="131"/>
      <c r="AI9" s="79" t="s">
        <v>97</v>
      </c>
      <c r="AJ9" s="374" t="s">
        <v>117</v>
      </c>
      <c r="AK9" s="124" t="s">
        <v>14</v>
      </c>
      <c r="AL9" s="116">
        <v>7</v>
      </c>
      <c r="AM9" s="197">
        <f t="shared" si="4"/>
        <v>4.7692307692307683</v>
      </c>
      <c r="AN9" s="299">
        <v>1</v>
      </c>
      <c r="AO9" s="249">
        <f t="shared" si="5"/>
        <v>33.38461538461538</v>
      </c>
      <c r="AP9" s="207">
        <f t="shared" si="6"/>
        <v>33.38461538461538</v>
      </c>
      <c r="AQ9" s="1172">
        <f>VLOOKUP(AJ9,Marination_Ordering!$A:$J,6,FALSE)</f>
        <v>1</v>
      </c>
      <c r="AR9" s="1172">
        <f>VLOOKUP(AJ9,Marination_Ordering!$A:$J,10,FALSE)</f>
        <v>20</v>
      </c>
      <c r="AS9" s="175">
        <f t="shared" ref="AS9:AS19" si="12">AP9/AQ9</f>
        <v>33.38461538461538</v>
      </c>
      <c r="AT9" s="1172">
        <f t="shared" ref="AT9:AT19" si="13">AR9*(AS9/1000)</f>
        <v>0.66769230769230759</v>
      </c>
    </row>
    <row r="10" spans="1:46" ht="14.25" customHeight="1" x14ac:dyDescent="0.3">
      <c r="A10" s="128" t="s">
        <v>13</v>
      </c>
      <c r="B10" s="114" t="s">
        <v>34</v>
      </c>
      <c r="C10" s="115" t="s">
        <v>14</v>
      </c>
      <c r="D10" s="125">
        <v>10</v>
      </c>
      <c r="E10" s="197">
        <f t="shared" si="7"/>
        <v>21.055991627420209</v>
      </c>
      <c r="F10" s="299">
        <v>0.75</v>
      </c>
      <c r="G10" s="249">
        <f t="shared" si="0"/>
        <v>210.5599162742021</v>
      </c>
      <c r="H10" s="207">
        <f t="shared" si="1"/>
        <v>157.91993720565156</v>
      </c>
      <c r="I10" s="81">
        <f>VLOOKUP(B10,All_Ingredients!$A$1:$F$151,6,FALSE())</f>
        <v>0.86</v>
      </c>
      <c r="J10" s="119">
        <f>VLOOKUP(B10,All_Ingredients!$A$1:$J$151,10,FALSE())</f>
        <v>14</v>
      </c>
      <c r="K10" s="122">
        <f t="shared" si="8"/>
        <v>0.18362783396005997</v>
      </c>
      <c r="L10" s="122">
        <f t="shared" si="9"/>
        <v>2.5707896754408397</v>
      </c>
      <c r="M10" s="131"/>
      <c r="N10" s="131"/>
      <c r="AI10" s="79" t="s">
        <v>97</v>
      </c>
      <c r="AJ10" s="374" t="s">
        <v>122</v>
      </c>
      <c r="AK10" s="124" t="s">
        <v>14</v>
      </c>
      <c r="AL10" s="116">
        <v>20</v>
      </c>
      <c r="AM10" s="197">
        <f t="shared" si="4"/>
        <v>4.7692307692307683</v>
      </c>
      <c r="AN10" s="299">
        <v>1</v>
      </c>
      <c r="AO10" s="249">
        <f t="shared" si="5"/>
        <v>95.384615384615358</v>
      </c>
      <c r="AP10" s="207">
        <f t="shared" si="6"/>
        <v>95.384615384615358</v>
      </c>
      <c r="AQ10" s="1172">
        <f>VLOOKUP(AJ10,Marination_Ordering!$A:$J,6,FALSE)</f>
        <v>1</v>
      </c>
      <c r="AR10" s="1172">
        <f>VLOOKUP(AJ10,Marination_Ordering!$A:$J,10,FALSE)</f>
        <v>15</v>
      </c>
      <c r="AS10" s="175">
        <f t="shared" si="12"/>
        <v>95.384615384615358</v>
      </c>
      <c r="AT10" s="1172">
        <f t="shared" si="13"/>
        <v>1.4307692307692303</v>
      </c>
    </row>
    <row r="11" spans="1:46" ht="14.25" customHeight="1" x14ac:dyDescent="0.3">
      <c r="A11" s="128" t="s">
        <v>183</v>
      </c>
      <c r="B11" s="114" t="s">
        <v>184</v>
      </c>
      <c r="C11" s="115" t="s">
        <v>14</v>
      </c>
      <c r="D11" s="125">
        <v>25</v>
      </c>
      <c r="E11" s="197">
        <f t="shared" si="7"/>
        <v>21.055991627420209</v>
      </c>
      <c r="F11" s="299">
        <v>1</v>
      </c>
      <c r="G11" s="249">
        <f t="shared" si="0"/>
        <v>526.3997906855052</v>
      </c>
      <c r="H11" s="207">
        <f t="shared" si="1"/>
        <v>526.3997906855052</v>
      </c>
      <c r="I11" s="81">
        <f>VLOOKUP(B11,All_Ingredients!$A$1:$F$151,6,FALSE())</f>
        <v>1</v>
      </c>
      <c r="J11" s="119">
        <f>VLOOKUP(B11,All_Ingredients!$A$1:$J$151,10,FALSE())</f>
        <v>40</v>
      </c>
      <c r="K11" s="122">
        <f t="shared" si="8"/>
        <v>0.52639979068550524</v>
      </c>
      <c r="L11" s="122">
        <f t="shared" si="9"/>
        <v>21.055991627420209</v>
      </c>
      <c r="M11" s="131"/>
      <c r="N11" s="131"/>
      <c r="AI11" s="79" t="s">
        <v>97</v>
      </c>
      <c r="AJ11" s="374" t="s">
        <v>789</v>
      </c>
      <c r="AK11" s="124" t="s">
        <v>14</v>
      </c>
      <c r="AL11" s="116">
        <v>10</v>
      </c>
      <c r="AM11" s="197">
        <f t="shared" si="4"/>
        <v>4.7692307692307683</v>
      </c>
      <c r="AN11" s="299">
        <v>1</v>
      </c>
      <c r="AO11" s="249">
        <f t="shared" si="5"/>
        <v>47.692307692307679</v>
      </c>
      <c r="AP11" s="207">
        <f t="shared" si="6"/>
        <v>47.692307692307679</v>
      </c>
      <c r="AQ11" s="1172">
        <f>VLOOKUP(AJ11,Marination_Ordering!$A:$J,6,FALSE)</f>
        <v>1</v>
      </c>
      <c r="AR11" s="1172">
        <f>VLOOKUP(AJ11,Marination_Ordering!$A:$J,10,FALSE)</f>
        <v>52</v>
      </c>
      <c r="AS11" s="175">
        <f t="shared" si="12"/>
        <v>47.692307692307679</v>
      </c>
      <c r="AT11" s="1172">
        <f t="shared" si="13"/>
        <v>2.4799999999999995</v>
      </c>
    </row>
    <row r="12" spans="1:46" ht="14.25" customHeight="1" x14ac:dyDescent="0.3">
      <c r="A12" s="128" t="s">
        <v>97</v>
      </c>
      <c r="B12" s="114" t="s">
        <v>117</v>
      </c>
      <c r="C12" s="115" t="s">
        <v>14</v>
      </c>
      <c r="D12" s="125">
        <v>3</v>
      </c>
      <c r="E12" s="197">
        <f t="shared" si="7"/>
        <v>21.055991627420209</v>
      </c>
      <c r="F12" s="299">
        <v>0.9</v>
      </c>
      <c r="G12" s="249">
        <f t="shared" si="0"/>
        <v>63.167974882260623</v>
      </c>
      <c r="H12" s="207">
        <f t="shared" si="1"/>
        <v>56.851177394034565</v>
      </c>
      <c r="I12" s="81">
        <f>VLOOKUP(B12,All_Ingredients!$A$1:$F$151,6,FALSE())</f>
        <v>1</v>
      </c>
      <c r="J12" s="119">
        <f>VLOOKUP(B12,All_Ingredients!$A$1:$J$151,10,FALSE())</f>
        <v>20</v>
      </c>
      <c r="K12" s="122">
        <f t="shared" si="8"/>
        <v>5.6851177394034565E-2</v>
      </c>
      <c r="L12" s="122">
        <f t="shared" si="9"/>
        <v>1.1370235478806914</v>
      </c>
      <c r="M12" s="131"/>
      <c r="N12" s="131"/>
      <c r="AI12" s="79" t="s">
        <v>97</v>
      </c>
      <c r="AJ12" s="374" t="s">
        <v>96</v>
      </c>
      <c r="AK12" s="124" t="s">
        <v>14</v>
      </c>
      <c r="AL12" s="125">
        <v>5</v>
      </c>
      <c r="AM12" s="197">
        <f t="shared" si="4"/>
        <v>4.7692307692307683</v>
      </c>
      <c r="AN12" s="299">
        <v>1</v>
      </c>
      <c r="AO12" s="249">
        <f t="shared" si="5"/>
        <v>23.84615384615384</v>
      </c>
      <c r="AP12" s="207">
        <f t="shared" si="6"/>
        <v>23.84615384615384</v>
      </c>
      <c r="AQ12" s="1172">
        <f>VLOOKUP(AJ12,Marination_Ordering!$A:$J,6,FALSE)</f>
        <v>1</v>
      </c>
      <c r="AR12" s="1172">
        <f>VLOOKUP(AJ12,Marination_Ordering!$A:$J,10,FALSE)</f>
        <v>0.74</v>
      </c>
      <c r="AS12" s="175">
        <f t="shared" si="12"/>
        <v>23.84615384615384</v>
      </c>
      <c r="AT12" s="1172">
        <f t="shared" si="13"/>
        <v>1.7646153846153843E-2</v>
      </c>
    </row>
    <row r="13" spans="1:46" ht="14.25" customHeight="1" x14ac:dyDescent="0.3">
      <c r="A13" s="128" t="s">
        <v>158</v>
      </c>
      <c r="B13" s="114" t="s">
        <v>168</v>
      </c>
      <c r="C13" s="115" t="s">
        <v>14</v>
      </c>
      <c r="D13" s="125">
        <v>300</v>
      </c>
      <c r="E13" s="197">
        <f t="shared" si="7"/>
        <v>21.055991627420209</v>
      </c>
      <c r="F13" s="299">
        <v>0.75</v>
      </c>
      <c r="G13" s="249">
        <f t="shared" si="0"/>
        <v>6316.7974882260623</v>
      </c>
      <c r="H13" s="207">
        <f t="shared" si="1"/>
        <v>4737.5981161695472</v>
      </c>
      <c r="I13" s="81">
        <f>VLOOKUP(B13,All_Ingredients!$A$1:$F$151,6,FALSE())</f>
        <v>1</v>
      </c>
      <c r="J13" s="119">
        <f>VLOOKUP(B13,All_Ingredients!$A$1:$J$151,10,FALSE())</f>
        <v>6.6959999999999997</v>
      </c>
      <c r="K13" s="122">
        <f t="shared" si="8"/>
        <v>4.7375981161695471</v>
      </c>
      <c r="L13" s="122">
        <f t="shared" si="9"/>
        <v>31.722956985871285</v>
      </c>
      <c r="M13" s="131"/>
      <c r="N13" s="131"/>
      <c r="AI13" s="79" t="s">
        <v>220</v>
      </c>
      <c r="AJ13" s="374" t="s">
        <v>221</v>
      </c>
      <c r="AK13" s="124" t="s">
        <v>14</v>
      </c>
      <c r="AL13" s="116">
        <v>2</v>
      </c>
      <c r="AM13" s="197">
        <f t="shared" si="4"/>
        <v>4.7692307692307683</v>
      </c>
      <c r="AN13" s="299">
        <v>1</v>
      </c>
      <c r="AO13" s="249">
        <f t="shared" si="5"/>
        <v>9.5384615384615365</v>
      </c>
      <c r="AP13" s="207">
        <f t="shared" si="6"/>
        <v>9.5384615384615365</v>
      </c>
      <c r="AQ13" s="1172">
        <f>VLOOKUP(AJ13,Marination_Ordering!$A:$J,6,FALSE)</f>
        <v>1</v>
      </c>
      <c r="AR13" s="1172">
        <f>VLOOKUP(AJ13,Marination_Ordering!$A:$J,10,FALSE)</f>
        <v>35</v>
      </c>
      <c r="AS13" s="175">
        <f t="shared" si="12"/>
        <v>9.5384615384615365</v>
      </c>
      <c r="AT13" s="1172">
        <f t="shared" si="13"/>
        <v>0.33384615384615379</v>
      </c>
    </row>
    <row r="14" spans="1:46" ht="14.25" customHeight="1" x14ac:dyDescent="0.3">
      <c r="A14" s="128" t="s">
        <v>97</v>
      </c>
      <c r="B14" s="114" t="s">
        <v>112</v>
      </c>
      <c r="C14" s="115" t="s">
        <v>14</v>
      </c>
      <c r="D14" s="125">
        <v>10</v>
      </c>
      <c r="E14" s="197">
        <f t="shared" si="7"/>
        <v>21.055991627420209</v>
      </c>
      <c r="F14" s="299">
        <v>0.75</v>
      </c>
      <c r="G14" s="249">
        <f t="shared" si="0"/>
        <v>210.5599162742021</v>
      </c>
      <c r="H14" s="207">
        <f t="shared" si="1"/>
        <v>157.91993720565156</v>
      </c>
      <c r="I14" s="81">
        <f>VLOOKUP(B14,All_Ingredients!$A$1:$F$151,6,FALSE())</f>
        <v>1</v>
      </c>
      <c r="J14" s="119">
        <f>VLOOKUP(B14,All_Ingredients!$A$1:$J$151,10,FALSE())</f>
        <v>26.5</v>
      </c>
      <c r="K14" s="122">
        <f t="shared" si="8"/>
        <v>0.15791993720565156</v>
      </c>
      <c r="L14" s="122">
        <f t="shared" si="9"/>
        <v>4.1848783359497661</v>
      </c>
      <c r="M14" s="131"/>
      <c r="N14" s="131"/>
      <c r="AI14" s="79" t="s">
        <v>97</v>
      </c>
      <c r="AJ14" s="374" t="s">
        <v>130</v>
      </c>
      <c r="AK14" s="124" t="s">
        <v>14</v>
      </c>
      <c r="AL14" s="116">
        <v>10</v>
      </c>
      <c r="AM14" s="197">
        <f t="shared" si="4"/>
        <v>4.7692307692307683</v>
      </c>
      <c r="AN14" s="299">
        <v>1</v>
      </c>
      <c r="AO14" s="249">
        <f t="shared" si="5"/>
        <v>47.692307692307679</v>
      </c>
      <c r="AP14" s="207">
        <f t="shared" si="6"/>
        <v>47.692307692307679</v>
      </c>
      <c r="AQ14" s="1172">
        <f>VLOOKUP(AJ14,Marination_Ordering!$A:$J,6,FALSE)</f>
        <v>1</v>
      </c>
      <c r="AR14" s="1172">
        <f>VLOOKUP(AJ14,Marination_Ordering!$A:$J,10,FALSE)</f>
        <v>125</v>
      </c>
      <c r="AS14" s="175">
        <f t="shared" si="12"/>
        <v>47.692307692307679</v>
      </c>
      <c r="AT14" s="1172">
        <f t="shared" si="13"/>
        <v>5.9615384615384599</v>
      </c>
    </row>
    <row r="15" spans="1:46" ht="14.25" customHeight="1" x14ac:dyDescent="0.3">
      <c r="A15" s="128" t="s">
        <v>97</v>
      </c>
      <c r="B15" s="114" t="s">
        <v>108</v>
      </c>
      <c r="C15" s="115" t="s">
        <v>14</v>
      </c>
      <c r="D15" s="125">
        <v>10</v>
      </c>
      <c r="E15" s="197">
        <f t="shared" si="7"/>
        <v>21.055991627420209</v>
      </c>
      <c r="F15" s="299">
        <v>0.75</v>
      </c>
      <c r="G15" s="249">
        <f t="shared" si="0"/>
        <v>210.5599162742021</v>
      </c>
      <c r="H15" s="207">
        <f t="shared" si="1"/>
        <v>157.91993720565156</v>
      </c>
      <c r="I15" s="81">
        <f>VLOOKUP(B15,All_Ingredients!$A$1:$F$151,6,FALSE())</f>
        <v>1</v>
      </c>
      <c r="J15" s="119">
        <f>VLOOKUP(B15,All_Ingredients!$A$1:$J$151,10,FALSE())</f>
        <v>15</v>
      </c>
      <c r="K15" s="122">
        <f t="shared" si="8"/>
        <v>0.15791993720565156</v>
      </c>
      <c r="L15" s="122">
        <f t="shared" si="9"/>
        <v>2.3687990580847735</v>
      </c>
      <c r="M15" s="131"/>
      <c r="N15" s="131"/>
      <c r="AI15" s="79" t="s">
        <v>97</v>
      </c>
      <c r="AJ15" s="374" t="s">
        <v>126</v>
      </c>
      <c r="AK15" s="124" t="s">
        <v>14</v>
      </c>
      <c r="AL15" s="116">
        <v>5</v>
      </c>
      <c r="AM15" s="197">
        <f t="shared" si="4"/>
        <v>4.7692307692307683</v>
      </c>
      <c r="AN15" s="299">
        <v>1</v>
      </c>
      <c r="AO15" s="249">
        <f t="shared" si="5"/>
        <v>23.84615384615384</v>
      </c>
      <c r="AP15" s="207">
        <f t="shared" si="6"/>
        <v>23.84615384615384</v>
      </c>
      <c r="AQ15" s="1172">
        <f>VLOOKUP(AJ15,Marination_Ordering!$A:$J,6,FALSE)</f>
        <v>1</v>
      </c>
      <c r="AR15" s="1172">
        <f>VLOOKUP(AJ15,Marination_Ordering!$A:$J,10,FALSE)</f>
        <v>14</v>
      </c>
      <c r="AS15" s="175">
        <f t="shared" si="12"/>
        <v>23.84615384615384</v>
      </c>
      <c r="AT15" s="1172">
        <f t="shared" si="13"/>
        <v>0.33384615384615374</v>
      </c>
    </row>
    <row r="16" spans="1:46" ht="14.25" customHeight="1" x14ac:dyDescent="0.3">
      <c r="A16" s="128" t="s">
        <v>97</v>
      </c>
      <c r="B16" s="114" t="s">
        <v>110</v>
      </c>
      <c r="C16" s="115" t="s">
        <v>14</v>
      </c>
      <c r="D16" s="125">
        <v>10</v>
      </c>
      <c r="E16" s="197">
        <f t="shared" si="7"/>
        <v>21.055991627420209</v>
      </c>
      <c r="F16" s="299">
        <v>0.75</v>
      </c>
      <c r="G16" s="249">
        <f t="shared" si="0"/>
        <v>210.5599162742021</v>
      </c>
      <c r="H16" s="207">
        <f t="shared" si="1"/>
        <v>157.91993720565156</v>
      </c>
      <c r="I16" s="81">
        <f>VLOOKUP(B16,All_Ingredients!$A$1:$F$151,6,FALSE())</f>
        <v>1</v>
      </c>
      <c r="J16" s="119">
        <f>VLOOKUP(B16,All_Ingredients!$A$1:$J$151,10,FALSE())</f>
        <v>8</v>
      </c>
      <c r="K16" s="122">
        <f t="shared" si="8"/>
        <v>0.15791993720565156</v>
      </c>
      <c r="L16" s="122">
        <f t="shared" si="9"/>
        <v>1.2633594976452125</v>
      </c>
      <c r="M16" s="131"/>
      <c r="N16" s="131"/>
      <c r="AI16" s="79" t="s">
        <v>57</v>
      </c>
      <c r="AJ16" s="374" t="s">
        <v>56</v>
      </c>
      <c r="AK16" s="124" t="s">
        <v>14</v>
      </c>
      <c r="AL16" s="125">
        <v>100</v>
      </c>
      <c r="AM16" s="197">
        <f t="shared" si="4"/>
        <v>4.7692307692307683</v>
      </c>
      <c r="AN16" s="299">
        <v>1</v>
      </c>
      <c r="AO16" s="249">
        <f t="shared" si="5"/>
        <v>476.92307692307685</v>
      </c>
      <c r="AP16" s="207">
        <f t="shared" si="6"/>
        <v>476.92307692307685</v>
      </c>
      <c r="AQ16" s="1172">
        <f>VLOOKUP(AJ16,Marination_Ordering!$A:$J,6,FALSE)</f>
        <v>0.87</v>
      </c>
      <c r="AR16" s="1172">
        <f>VLOOKUP(AJ16,Marination_Ordering!$A:$J,10,FALSE)</f>
        <v>3.2</v>
      </c>
      <c r="AS16" s="175">
        <f t="shared" si="12"/>
        <v>548.18744473916877</v>
      </c>
      <c r="AT16" s="1172">
        <f t="shared" si="13"/>
        <v>1.7541998231653402</v>
      </c>
    </row>
    <row r="17" spans="1:46" ht="14.25" customHeight="1" x14ac:dyDescent="0.3">
      <c r="A17" s="128" t="s">
        <v>63</v>
      </c>
      <c r="B17" s="114" t="s">
        <v>62</v>
      </c>
      <c r="C17" s="115" t="s">
        <v>14</v>
      </c>
      <c r="D17" s="125">
        <v>5</v>
      </c>
      <c r="E17" s="197">
        <f t="shared" si="7"/>
        <v>21.055991627420209</v>
      </c>
      <c r="F17" s="299">
        <v>1</v>
      </c>
      <c r="G17" s="249">
        <f t="shared" si="0"/>
        <v>105.27995813710105</v>
      </c>
      <c r="H17" s="207">
        <f t="shared" si="1"/>
        <v>105.27995813710105</v>
      </c>
      <c r="I17" s="81">
        <f>VLOOKUP(B17,All_Ingredients!$A$1:$F$151,6,FALSE())</f>
        <v>0.94</v>
      </c>
      <c r="J17" s="119">
        <f>VLOOKUP(B17,All_Ingredients!$A$1:$J$151,10,FALSE())</f>
        <v>3.6363636363636367</v>
      </c>
      <c r="K17" s="122">
        <f t="shared" si="8"/>
        <v>0.11199995546500112</v>
      </c>
      <c r="L17" s="122">
        <f t="shared" si="9"/>
        <v>0.40727256532727685</v>
      </c>
      <c r="M17" s="131"/>
      <c r="N17" s="131"/>
      <c r="AI17" s="79" t="s">
        <v>13</v>
      </c>
      <c r="AJ17" s="374" t="s">
        <v>792</v>
      </c>
      <c r="AK17" s="124" t="s">
        <v>14</v>
      </c>
      <c r="AL17" s="116">
        <v>150</v>
      </c>
      <c r="AM17" s="197">
        <f t="shared" si="4"/>
        <v>4.7692307692307683</v>
      </c>
      <c r="AN17" s="299">
        <v>1</v>
      </c>
      <c r="AO17" s="249">
        <f t="shared" si="5"/>
        <v>715.38461538461524</v>
      </c>
      <c r="AP17" s="207">
        <f t="shared" si="6"/>
        <v>715.38461538461524</v>
      </c>
      <c r="AQ17" s="1172">
        <f>VLOOKUP(AJ17,Marination_Ordering!$A:$J,6,FALSE)</f>
        <v>1</v>
      </c>
      <c r="AR17" s="1172">
        <f>VLOOKUP(AJ17,Marination_Ordering!$A:$J,10,FALSE)</f>
        <v>10.5</v>
      </c>
      <c r="AS17" s="175">
        <f t="shared" si="12"/>
        <v>715.38461538461524</v>
      </c>
      <c r="AT17" s="1172">
        <f t="shared" si="13"/>
        <v>7.5115384615384606</v>
      </c>
    </row>
    <row r="18" spans="1:46" ht="14.25" customHeight="1" x14ac:dyDescent="0.3">
      <c r="A18" s="128" t="s">
        <v>220</v>
      </c>
      <c r="B18" s="286" t="s">
        <v>815</v>
      </c>
      <c r="C18" s="115" t="s">
        <v>14</v>
      </c>
      <c r="D18" s="125">
        <v>2</v>
      </c>
      <c r="E18" s="197">
        <f t="shared" si="7"/>
        <v>21.055991627420209</v>
      </c>
      <c r="F18" s="299">
        <v>0.9</v>
      </c>
      <c r="G18" s="249">
        <f t="shared" si="0"/>
        <v>42.111983254840418</v>
      </c>
      <c r="H18" s="207">
        <f t="shared" si="1"/>
        <v>37.900784929356377</v>
      </c>
      <c r="I18" s="81">
        <f>VLOOKUP(B18,All_Ingredients!$A$1:$F$151,6,FALSE())</f>
        <v>1</v>
      </c>
      <c r="J18" s="119">
        <f>VLOOKUP(B18,All_Ingredients!$A$1:$J$151,10,FALSE())</f>
        <v>22.5</v>
      </c>
      <c r="K18" s="122">
        <f t="shared" si="8"/>
        <v>3.7900784929356376E-2</v>
      </c>
      <c r="L18" s="122">
        <f t="shared" si="9"/>
        <v>0.85276766091051848</v>
      </c>
      <c r="M18" s="131"/>
      <c r="N18" s="131"/>
      <c r="AI18" s="79" t="s">
        <v>210</v>
      </c>
      <c r="AJ18" s="374" t="s">
        <v>219</v>
      </c>
      <c r="AK18" s="124" t="s">
        <v>165</v>
      </c>
      <c r="AL18" s="116">
        <v>300</v>
      </c>
      <c r="AM18" s="197">
        <f t="shared" si="4"/>
        <v>4.7692307692307683</v>
      </c>
      <c r="AN18" s="299">
        <v>1</v>
      </c>
      <c r="AO18" s="249">
        <f t="shared" si="5"/>
        <v>1430.7692307692305</v>
      </c>
      <c r="AP18" s="207">
        <f t="shared" si="6"/>
        <v>1430.7692307692305</v>
      </c>
      <c r="AQ18" s="1172">
        <f>VLOOKUP(AJ18,Marination_Ordering!$A:$J,6,FALSE)</f>
        <v>1</v>
      </c>
      <c r="AR18" s="1172">
        <f>VLOOKUP(AJ18,Marination_Ordering!$A:$J,10,FALSE)</f>
        <v>5</v>
      </c>
      <c r="AS18" s="175">
        <f t="shared" si="12"/>
        <v>1430.7692307692305</v>
      </c>
      <c r="AT18" s="1172">
        <f t="shared" si="13"/>
        <v>7.1538461538461533</v>
      </c>
    </row>
    <row r="19" spans="1:46" ht="14.25" customHeight="1" x14ac:dyDescent="0.3">
      <c r="A19" s="128" t="s">
        <v>220</v>
      </c>
      <c r="B19" s="114" t="s">
        <v>221</v>
      </c>
      <c r="C19" s="115" t="s">
        <v>14</v>
      </c>
      <c r="D19" s="125">
        <v>1</v>
      </c>
      <c r="E19" s="197">
        <f t="shared" si="7"/>
        <v>21.055991627420209</v>
      </c>
      <c r="F19" s="299">
        <v>1</v>
      </c>
      <c r="G19" s="249">
        <f t="shared" si="0"/>
        <v>21.055991627420209</v>
      </c>
      <c r="H19" s="207">
        <f t="shared" si="1"/>
        <v>21.055991627420209</v>
      </c>
      <c r="I19" s="81">
        <f>VLOOKUP(B19,All_Ingredients!$A$1:$F$151,6,FALSE())</f>
        <v>1</v>
      </c>
      <c r="J19" s="119">
        <f>VLOOKUP(B19,All_Ingredients!$A$1:$J$151,10,FALSE())</f>
        <v>35</v>
      </c>
      <c r="K19" s="122">
        <f t="shared" si="8"/>
        <v>2.1055991627420209E-2</v>
      </c>
      <c r="L19" s="122">
        <f t="shared" si="9"/>
        <v>0.73695970695970736</v>
      </c>
      <c r="M19" s="131"/>
      <c r="N19" s="131"/>
      <c r="AI19" s="79" t="s">
        <v>210</v>
      </c>
      <c r="AJ19" s="323" t="s">
        <v>215</v>
      </c>
      <c r="AK19" s="124" t="s">
        <v>165</v>
      </c>
      <c r="AL19" s="116">
        <v>50</v>
      </c>
      <c r="AM19" s="197">
        <f t="shared" si="4"/>
        <v>4.7692307692307683</v>
      </c>
      <c r="AN19" s="299">
        <v>1</v>
      </c>
      <c r="AO19" s="249">
        <f t="shared" si="5"/>
        <v>238.46153846153842</v>
      </c>
      <c r="AP19" s="207">
        <f t="shared" si="6"/>
        <v>238.46153846153842</v>
      </c>
      <c r="AQ19" s="1172">
        <f>VLOOKUP(AJ19,Marination_Ordering!$A:$J,6,FALSE)</f>
        <v>1</v>
      </c>
      <c r="AR19" s="1172">
        <f>VLOOKUP(AJ19,Marination_Ordering!$A:$J,10,FALSE)</f>
        <v>2.1621621621621623</v>
      </c>
      <c r="AS19" s="175">
        <f t="shared" si="12"/>
        <v>238.46153846153842</v>
      </c>
      <c r="AT19" s="1172">
        <f t="shared" si="13"/>
        <v>0.51559251559251551</v>
      </c>
    </row>
    <row r="20" spans="1:46" ht="14.25" customHeight="1" x14ac:dyDescent="0.3">
      <c r="A20" s="128" t="s">
        <v>220</v>
      </c>
      <c r="B20" s="114" t="s">
        <v>224</v>
      </c>
      <c r="C20" s="115" t="s">
        <v>14</v>
      </c>
      <c r="D20" s="125">
        <v>10</v>
      </c>
      <c r="E20" s="197">
        <f t="shared" si="7"/>
        <v>21.055991627420209</v>
      </c>
      <c r="F20" s="299">
        <v>0.5</v>
      </c>
      <c r="G20" s="249">
        <f t="shared" si="0"/>
        <v>210.5599162742021</v>
      </c>
      <c r="H20" s="207">
        <f t="shared" si="1"/>
        <v>105.27995813710105</v>
      </c>
      <c r="I20" s="81">
        <f>VLOOKUP(B20,All_Ingredients!$A$1:$F$151,6,FALSE())</f>
        <v>1</v>
      </c>
      <c r="J20" s="119">
        <f>VLOOKUP(B20,All_Ingredients!$A$1:$J$151,10,FALSE())</f>
        <v>3</v>
      </c>
      <c r="K20" s="122">
        <f t="shared" si="8"/>
        <v>0.10527995813710105</v>
      </c>
      <c r="L20" s="122">
        <f t="shared" si="9"/>
        <v>0.31583987441130312</v>
      </c>
      <c r="M20" s="131"/>
      <c r="N20" s="131"/>
    </row>
    <row r="21" spans="1:46" ht="14.25" customHeight="1" x14ac:dyDescent="0.3">
      <c r="A21" s="128" t="s">
        <v>97</v>
      </c>
      <c r="B21" s="114" t="s">
        <v>96</v>
      </c>
      <c r="C21" s="115" t="s">
        <v>14</v>
      </c>
      <c r="D21" s="125">
        <v>11</v>
      </c>
      <c r="E21" s="197">
        <f t="shared" si="7"/>
        <v>21.055991627420209</v>
      </c>
      <c r="F21" s="299">
        <v>0.75</v>
      </c>
      <c r="G21" s="249">
        <f t="shared" si="0"/>
        <v>231.61590790162231</v>
      </c>
      <c r="H21" s="207">
        <f t="shared" si="1"/>
        <v>173.71193092621672</v>
      </c>
      <c r="I21" s="81">
        <f>VLOOKUP(B21,All_Ingredients!$A$1:$F$151,6,FALSE())</f>
        <v>1</v>
      </c>
      <c r="J21" s="119">
        <f>VLOOKUP(B21,All_Ingredients!$A$1:$J$151,10,FALSE())</f>
        <v>0.74</v>
      </c>
      <c r="K21" s="122">
        <f t="shared" si="8"/>
        <v>0.17371193092621673</v>
      </c>
      <c r="L21" s="122">
        <f t="shared" si="9"/>
        <v>0.12854682888540037</v>
      </c>
      <c r="M21" s="131"/>
      <c r="N21" s="131"/>
    </row>
    <row r="22" spans="1:46" ht="14.25" customHeight="1" x14ac:dyDescent="0.3">
      <c r="A22" s="128" t="s">
        <v>158</v>
      </c>
      <c r="B22" s="114" t="s">
        <v>157</v>
      </c>
      <c r="C22" s="115" t="s">
        <v>14</v>
      </c>
      <c r="D22" s="125">
        <v>40</v>
      </c>
      <c r="E22" s="197">
        <f t="shared" si="7"/>
        <v>21.055991627420209</v>
      </c>
      <c r="F22" s="299">
        <v>0.9</v>
      </c>
      <c r="G22" s="249">
        <f t="shared" si="0"/>
        <v>842.23966509680838</v>
      </c>
      <c r="H22" s="207">
        <f t="shared" si="1"/>
        <v>758.01569858712753</v>
      </c>
      <c r="I22" s="81">
        <f>VLOOKUP(B22,All_Ingredients!$A$1:$F$151,6,FALSE())</f>
        <v>1</v>
      </c>
      <c r="J22" s="119">
        <f>VLOOKUP(B22,All_Ingredients!$A$1:$J$151,10,FALSE())</f>
        <v>30</v>
      </c>
      <c r="K22" s="122">
        <f t="shared" si="8"/>
        <v>0.75801569858712758</v>
      </c>
      <c r="L22" s="122">
        <f t="shared" si="9"/>
        <v>22.740470957613827</v>
      </c>
      <c r="M22" s="131"/>
      <c r="N22" s="131"/>
    </row>
    <row r="23" spans="1:46" ht="14.25" customHeight="1" x14ac:dyDescent="0.3">
      <c r="A23" s="128" t="s">
        <v>158</v>
      </c>
      <c r="B23" s="114" t="s">
        <v>171</v>
      </c>
      <c r="C23" s="115" t="s">
        <v>165</v>
      </c>
      <c r="D23" s="125">
        <v>250</v>
      </c>
      <c r="E23" s="197">
        <f t="shared" si="7"/>
        <v>21.055991627420209</v>
      </c>
      <c r="F23" s="299">
        <v>1</v>
      </c>
      <c r="G23" s="249">
        <f t="shared" si="0"/>
        <v>5263.997906855052</v>
      </c>
      <c r="H23" s="207">
        <f t="shared" si="1"/>
        <v>5263.997906855052</v>
      </c>
      <c r="I23" s="81">
        <f>VLOOKUP(B23,All_Ingredients!$A$1:$F$151,6,FALSE())</f>
        <v>1</v>
      </c>
      <c r="J23" s="119">
        <f>VLOOKUP(B23,All_Ingredients!$A$1:$J$151,10,FALSE())</f>
        <v>12.666666666666666</v>
      </c>
      <c r="K23" s="122">
        <f t="shared" si="8"/>
        <v>5.2639979068550522</v>
      </c>
      <c r="L23" s="122">
        <f t="shared" si="9"/>
        <v>66.677306820163992</v>
      </c>
      <c r="M23" s="131"/>
      <c r="N23" s="131"/>
    </row>
    <row r="24" spans="1:46" ht="14.25" customHeight="1" x14ac:dyDescent="0.3">
      <c r="A24" s="128" t="s">
        <v>97</v>
      </c>
      <c r="B24" s="114" t="s">
        <v>789</v>
      </c>
      <c r="C24" s="115" t="s">
        <v>14</v>
      </c>
      <c r="D24" s="125">
        <v>2</v>
      </c>
      <c r="E24" s="197">
        <f t="shared" si="7"/>
        <v>21.055991627420209</v>
      </c>
      <c r="F24" s="299">
        <v>1</v>
      </c>
      <c r="G24" s="249">
        <f t="shared" si="0"/>
        <v>42.111983254840418</v>
      </c>
      <c r="H24" s="207">
        <f t="shared" si="1"/>
        <v>42.111983254840418</v>
      </c>
      <c r="I24" s="81">
        <f>VLOOKUP(B24,All_Ingredients!$A$1:$F$151,6,FALSE())</f>
        <v>1</v>
      </c>
      <c r="J24" s="119">
        <f>VLOOKUP(B24,All_Ingredients!$A$1:$J$151,10,FALSE())</f>
        <v>52</v>
      </c>
      <c r="K24" s="122">
        <f t="shared" si="8"/>
        <v>4.2111983254840418E-2</v>
      </c>
      <c r="L24" s="122">
        <f t="shared" si="9"/>
        <v>2.1898231292517019</v>
      </c>
      <c r="M24" s="131"/>
      <c r="N24" s="131"/>
      <c r="R24"/>
      <c r="Z24" s="1234"/>
    </row>
    <row r="25" spans="1:46" ht="14.25" customHeight="1" x14ac:dyDescent="0.3">
      <c r="L25" s="297"/>
      <c r="R25" s="1393" t="s">
        <v>396</v>
      </c>
      <c r="S25" s="1388"/>
      <c r="T25" s="1388"/>
      <c r="U25" s="1388"/>
      <c r="V25" s="1151"/>
      <c r="Z25" s="141" t="s">
        <v>264</v>
      </c>
      <c r="AA25" s="142">
        <v>40700</v>
      </c>
      <c r="AB25" s="141" t="s">
        <v>261</v>
      </c>
      <c r="AC25" s="143">
        <f>(AA25*(4/3))*AF30+(AA30*(AB28/R1))</f>
        <v>1345.0753153396934</v>
      </c>
    </row>
    <row r="26" spans="1:46" ht="14.25" customHeight="1" x14ac:dyDescent="0.3">
      <c r="L26" s="297"/>
      <c r="R26" s="1392" t="s">
        <v>265</v>
      </c>
      <c r="S26" s="1388"/>
      <c r="T26" s="1388"/>
      <c r="U26" s="1388"/>
      <c r="V26" s="1151"/>
    </row>
    <row r="27" spans="1:46" ht="14.25" customHeight="1" thickBot="1" x14ac:dyDescent="0.35">
      <c r="R27" s="427" t="s">
        <v>266</v>
      </c>
      <c r="S27" s="428" t="s">
        <v>267</v>
      </c>
      <c r="T27" s="428" t="s">
        <v>268</v>
      </c>
      <c r="U27" s="428" t="s">
        <v>269</v>
      </c>
      <c r="V27" s="146" t="s">
        <v>839</v>
      </c>
      <c r="W27" s="146" t="s">
        <v>848</v>
      </c>
      <c r="Z27" s="141" t="s">
        <v>270</v>
      </c>
      <c r="AA27" s="1185" t="s">
        <v>324</v>
      </c>
      <c r="AB27" s="147" t="s">
        <v>271</v>
      </c>
      <c r="AC27" s="147" t="s">
        <v>272</v>
      </c>
      <c r="AD27" s="147" t="s">
        <v>273</v>
      </c>
      <c r="AE27" s="1186" t="s">
        <v>848</v>
      </c>
      <c r="AF27" s="147" t="s">
        <v>274</v>
      </c>
    </row>
    <row r="28" spans="1:46" ht="14.25" customHeight="1" thickBot="1" x14ac:dyDescent="0.35">
      <c r="R28" s="429" t="s">
        <v>275</v>
      </c>
      <c r="S28" s="1366">
        <f>U28*S40</f>
        <v>28138.461538461532</v>
      </c>
      <c r="T28" s="1366">
        <f>U28*U40</f>
        <v>8441.5384615384701</v>
      </c>
      <c r="U28" s="1495">
        <f>$Z$1</f>
        <v>36580</v>
      </c>
      <c r="V28" s="149">
        <f>SUM(AP5:AP13)</f>
        <v>1592.9230769230767</v>
      </c>
      <c r="W28" s="149">
        <f>SUM(H37:H38)</f>
        <v>518</v>
      </c>
      <c r="Z28" s="151"/>
      <c r="AA28" s="1188"/>
      <c r="AB28" s="152">
        <f>AA25*$S$40</f>
        <v>31307.692307692301</v>
      </c>
      <c r="AC28" s="152">
        <f>AA25-AB28</f>
        <v>9392.3076923076987</v>
      </c>
      <c r="AD28" s="153">
        <f>AA25*(1/3)</f>
        <v>13566.666666666666</v>
      </c>
      <c r="AE28" s="1188"/>
      <c r="AF28" s="154">
        <f>SUM(AB28:AD28)</f>
        <v>54266.666666666664</v>
      </c>
    </row>
    <row r="29" spans="1:46" ht="14.25" customHeight="1" thickBot="1" x14ac:dyDescent="0.35">
      <c r="R29" s="429" t="s">
        <v>276</v>
      </c>
      <c r="S29" s="1246"/>
      <c r="T29" s="1245">
        <f>U28*(1/3)</f>
        <v>12193.333333333332</v>
      </c>
      <c r="U29" s="1366">
        <f>T29</f>
        <v>12193.333333333332</v>
      </c>
      <c r="V29" s="149"/>
      <c r="W29" s="149"/>
      <c r="Z29" s="151"/>
      <c r="AA29" s="1192"/>
      <c r="AB29" s="156">
        <f>AB28/$AF$28</f>
        <v>0.57692307692307687</v>
      </c>
      <c r="AC29" s="156">
        <f>AC28/$AF$28</f>
        <v>0.17307692307692321</v>
      </c>
      <c r="AD29" s="156">
        <f>AD28/$AF$28</f>
        <v>0.25</v>
      </c>
      <c r="AE29" s="1192"/>
      <c r="AF29" s="156">
        <f>AF28/$AF$28</f>
        <v>1</v>
      </c>
    </row>
    <row r="30" spans="1:46" ht="14.25" customHeight="1" thickBot="1" x14ac:dyDescent="0.35">
      <c r="R30" s="429" t="s">
        <v>277</v>
      </c>
      <c r="S30" s="1381">
        <f>U30*S40</f>
        <v>0</v>
      </c>
      <c r="T30" s="149">
        <f>(U30*U40)+(U30*(1/3))</f>
        <v>0</v>
      </c>
      <c r="U30" s="1380">
        <f>$AB$1</f>
        <v>0</v>
      </c>
      <c r="V30" s="1143"/>
      <c r="W30" s="1143"/>
      <c r="Z30" s="141" t="s">
        <v>278</v>
      </c>
      <c r="AA30" s="1196">
        <f>V35/(S32/R1)</f>
        <v>7.9586242000621312E-4</v>
      </c>
      <c r="AB30" s="157">
        <f>S35/(S32)</f>
        <v>3.3701221915648408E-2</v>
      </c>
      <c r="AC30" s="158">
        <f>T35/T32</f>
        <v>1.0300878394258632E-2</v>
      </c>
      <c r="AD30" s="158">
        <f>T35/T32</f>
        <v>1.0300878394258632E-2</v>
      </c>
      <c r="AE30" s="1199">
        <f>W35/U32</f>
        <v>2.0710087479496994E-4</v>
      </c>
      <c r="AF30" s="1201">
        <f>SUMPRODUCT(AB30:AD30,AB29:AD29)+AE30</f>
        <v>2.4008177454470783E-2</v>
      </c>
    </row>
    <row r="31" spans="1:46" ht="14.25" customHeight="1" thickBot="1" x14ac:dyDescent="0.35">
      <c r="R31" s="429" t="s">
        <v>279</v>
      </c>
      <c r="S31" s="1246"/>
      <c r="T31" s="1245"/>
      <c r="U31" s="1245"/>
      <c r="V31" s="149"/>
      <c r="W31" s="149"/>
    </row>
    <row r="32" spans="1:46" ht="14.25" customHeight="1" thickBot="1" x14ac:dyDescent="0.35">
      <c r="R32" s="430" t="s">
        <v>269</v>
      </c>
      <c r="S32" s="1245">
        <f>S28+S30</f>
        <v>28138.461538461532</v>
      </c>
      <c r="T32" s="1245">
        <f>SUM(T28:T30)</f>
        <v>20634.871794871804</v>
      </c>
      <c r="U32" s="1248">
        <f>S32+T32</f>
        <v>48773.333333333336</v>
      </c>
      <c r="V32" s="149"/>
      <c r="W32" s="149">
        <f>SUM(W28:W30)</f>
        <v>518</v>
      </c>
    </row>
    <row r="33" spans="2:25" ht="14.25" customHeight="1" thickBot="1" x14ac:dyDescent="0.35">
      <c r="R33" s="431" t="s">
        <v>280</v>
      </c>
      <c r="S33" s="1246"/>
      <c r="T33" s="1246"/>
      <c r="U33" s="1246"/>
      <c r="V33" s="155"/>
      <c r="W33" s="155"/>
    </row>
    <row r="34" spans="2:25" ht="14.25" customHeight="1" thickBot="1" x14ac:dyDescent="0.35">
      <c r="R34" s="426" t="s">
        <v>281</v>
      </c>
      <c r="S34" s="1246"/>
      <c r="T34" s="1245"/>
      <c r="U34" s="1246"/>
      <c r="V34" s="155"/>
      <c r="W34" s="155"/>
    </row>
    <row r="35" spans="2:25" ht="14.25" customHeight="1" thickBot="1" x14ac:dyDescent="0.35">
      <c r="B35" s="1394" t="s">
        <v>690</v>
      </c>
      <c r="C35" s="1394"/>
      <c r="D35" s="1394"/>
      <c r="E35" s="1394"/>
      <c r="F35" s="1394"/>
      <c r="G35" s="882"/>
      <c r="H35" s="882"/>
      <c r="I35" s="889"/>
      <c r="J35" s="889"/>
      <c r="K35" s="889"/>
      <c r="L35" s="889"/>
      <c r="R35" s="163" t="s">
        <v>261</v>
      </c>
      <c r="S35" s="1144">
        <f>$L$5</f>
        <v>948.30053667262951</v>
      </c>
      <c r="T35" s="1144">
        <f>SUM(L6:L24)</f>
        <v>212.55730504009182</v>
      </c>
      <c r="U35" s="1203">
        <f>S35+T35+V35+W35</f>
        <v>1208.9153571284025</v>
      </c>
      <c r="V35" s="1144">
        <f>SUM(AT6:AT19)</f>
        <v>37.956515415680926</v>
      </c>
      <c r="W35" s="1144" cm="1">
        <f t="array" ref="W35:W36">L37:L38</f>
        <v>10.101000000000001</v>
      </c>
    </row>
    <row r="36" spans="2:25" ht="31" x14ac:dyDescent="0.3">
      <c r="B36" s="860" t="s">
        <v>253</v>
      </c>
      <c r="C36" s="860" t="s">
        <v>329</v>
      </c>
      <c r="D36" s="862" t="s">
        <v>671</v>
      </c>
      <c r="E36" s="859" t="s">
        <v>672</v>
      </c>
      <c r="F36" s="862" t="s">
        <v>673</v>
      </c>
      <c r="G36" s="882"/>
      <c r="H36" s="862" t="s">
        <v>673</v>
      </c>
      <c r="I36" s="862" t="s">
        <v>258</v>
      </c>
      <c r="J36" s="862" t="s">
        <v>259</v>
      </c>
      <c r="K36" s="862" t="s">
        <v>260</v>
      </c>
      <c r="L36" s="862" t="s">
        <v>261</v>
      </c>
      <c r="W36" s="14">
        <v>0.80166666666666675</v>
      </c>
    </row>
    <row r="37" spans="2:25" x14ac:dyDescent="0.3">
      <c r="B37" s="855" t="s">
        <v>182</v>
      </c>
      <c r="C37" s="856" t="s">
        <v>14</v>
      </c>
      <c r="D37" s="857">
        <v>1</v>
      </c>
      <c r="E37" s="855">
        <f>$AD$1</f>
        <v>259</v>
      </c>
      <c r="F37" s="855">
        <f>D37*E37</f>
        <v>259</v>
      </c>
      <c r="H37" s="855">
        <f>F37</f>
        <v>259</v>
      </c>
      <c r="I37" s="855">
        <f>VLOOKUP(B37,All_Ingredients!$A$1:$F$151,6,FALSE())</f>
        <v>1</v>
      </c>
      <c r="J37" s="855">
        <f>VLOOKUP(B37,All_Ingredients!$A$1:$J$151,10,FALSE())</f>
        <v>39</v>
      </c>
      <c r="K37" s="855">
        <f>(H37/I37)/1000</f>
        <v>0.25900000000000001</v>
      </c>
      <c r="L37" s="855">
        <f t="shared" ref="L37" si="14">K37*J37</f>
        <v>10.101000000000001</v>
      </c>
    </row>
    <row r="38" spans="2:25" x14ac:dyDescent="0.3">
      <c r="B38" s="855" t="s">
        <v>19</v>
      </c>
      <c r="C38" s="856" t="s">
        <v>14</v>
      </c>
      <c r="D38" s="857">
        <v>1</v>
      </c>
      <c r="E38" s="855">
        <f>$AD$1</f>
        <v>259</v>
      </c>
      <c r="F38" s="855">
        <f>D38*E38</f>
        <v>259</v>
      </c>
      <c r="H38" s="855">
        <f>F38</f>
        <v>259</v>
      </c>
      <c r="I38" s="855">
        <f>VLOOKUP(B38,All_Ingredients!$A$1:$F$151,6,FALSE())</f>
        <v>0.84</v>
      </c>
      <c r="J38" s="855">
        <f>VLOOKUP(B38,All_Ingredients!$A$1:$J$151,10,FALSE())</f>
        <v>2.6</v>
      </c>
      <c r="K38" s="855">
        <f>(H38/I38)/1000</f>
        <v>0.30833333333333335</v>
      </c>
      <c r="L38" s="855">
        <f t="shared" ref="L38" si="15">K38*J38</f>
        <v>0.80166666666666675</v>
      </c>
    </row>
    <row r="40" spans="2:25" ht="15.75" customHeight="1" x14ac:dyDescent="0.3">
      <c r="R40" s="165" t="s">
        <v>282</v>
      </c>
      <c r="S40" s="166">
        <v>0.76923076923076905</v>
      </c>
      <c r="T40" s="165" t="s">
        <v>283</v>
      </c>
      <c r="U40" s="167">
        <v>0.230769230769231</v>
      </c>
      <c r="V40" s="168">
        <f>S40+U40</f>
        <v>1</v>
      </c>
    </row>
    <row r="41" spans="2:25" ht="14.25" customHeight="1" x14ac:dyDescent="0.3">
      <c r="U41" s="169"/>
    </row>
    <row r="43" spans="2:25" ht="14.25" customHeight="1" x14ac:dyDescent="0.3">
      <c r="Q43" s="170" t="s">
        <v>284</v>
      </c>
      <c r="R43" s="170" t="s">
        <v>285</v>
      </c>
      <c r="S43" s="170" t="s">
        <v>286</v>
      </c>
      <c r="T43" s="170" t="s">
        <v>287</v>
      </c>
      <c r="U43" s="170" t="s">
        <v>288</v>
      </c>
      <c r="V43" s="170" t="s">
        <v>289</v>
      </c>
      <c r="W43" s="258" t="s">
        <v>290</v>
      </c>
      <c r="X43" s="321"/>
      <c r="Y43" s="321"/>
    </row>
    <row r="44" spans="2:25" ht="14.25" customHeight="1" x14ac:dyDescent="0.3">
      <c r="Q44" s="172">
        <v>17728</v>
      </c>
      <c r="R44" s="173">
        <f>D51</f>
        <v>10000</v>
      </c>
      <c r="S44" s="174">
        <v>0.40899999999999997</v>
      </c>
      <c r="T44" s="174">
        <v>0.59099999999999997</v>
      </c>
      <c r="U44" s="242">
        <f>R44*S44</f>
        <v>4089.9999999999995</v>
      </c>
      <c r="V44" s="176">
        <f>R44*T44</f>
        <v>5910</v>
      </c>
      <c r="W44" s="260">
        <f>Q44-U44</f>
        <v>13638</v>
      </c>
      <c r="X44" s="298"/>
    </row>
    <row r="45" spans="2:25" x14ac:dyDescent="0.3">
      <c r="B45" s="14" t="s">
        <v>322</v>
      </c>
    </row>
    <row r="49" spans="1:10" ht="14.25" customHeight="1" x14ac:dyDescent="0.3"/>
    <row r="50" spans="1:10" ht="14.25" customHeight="1" x14ac:dyDescent="0.3">
      <c r="B50" s="145"/>
      <c r="C50" s="145" t="s">
        <v>245</v>
      </c>
      <c r="D50" s="145" t="s">
        <v>291</v>
      </c>
      <c r="E50" s="432"/>
      <c r="F50" s="100"/>
      <c r="G50" s="145" t="s">
        <v>292</v>
      </c>
      <c r="H50" s="145" t="s">
        <v>245</v>
      </c>
      <c r="I50" s="145" t="s">
        <v>293</v>
      </c>
      <c r="J50" s="145" t="s">
        <v>294</v>
      </c>
    </row>
    <row r="51" spans="1:10" ht="14.25" customHeight="1" x14ac:dyDescent="0.3">
      <c r="B51" s="180" t="s">
        <v>295</v>
      </c>
      <c r="C51" s="181">
        <f>10/$K$1</f>
        <v>10.204081632653061</v>
      </c>
      <c r="D51" s="182">
        <f>$C$1*10</f>
        <v>10000</v>
      </c>
      <c r="E51" s="183"/>
      <c r="F51" s="100"/>
      <c r="G51" s="180" t="s">
        <v>295</v>
      </c>
      <c r="H51" s="277">
        <f>I51/$D$5</f>
        <v>10</v>
      </c>
      <c r="I51" s="181">
        <f>J51/$R$1</f>
        <v>23115.254237288136</v>
      </c>
      <c r="J51" s="181">
        <f>$W$44</f>
        <v>13638</v>
      </c>
    </row>
    <row r="52" spans="1:10" ht="14.25" customHeight="1" x14ac:dyDescent="0.3">
      <c r="B52" s="231" t="s">
        <v>274</v>
      </c>
      <c r="C52" s="232">
        <f>$I$1</f>
        <v>21.055991627420209</v>
      </c>
      <c r="D52" s="233">
        <f>$E$1</f>
        <v>20634.871794871804</v>
      </c>
      <c r="E52" s="100"/>
      <c r="F52" s="100"/>
      <c r="G52" s="148" t="s">
        <v>274</v>
      </c>
      <c r="H52" s="210">
        <f>I52/$D$5</f>
        <v>20.632395907362906</v>
      </c>
      <c r="I52" s="176">
        <f>J52/$R$1</f>
        <v>47692.307692307681</v>
      </c>
      <c r="J52" s="184">
        <f>$S$32</f>
        <v>28138.461538461532</v>
      </c>
    </row>
    <row r="53" spans="1:10" ht="14.25" customHeight="1" x14ac:dyDescent="0.3">
      <c r="B53" s="231" t="s">
        <v>296</v>
      </c>
      <c r="C53" s="234">
        <f>MIN(C52, C51)</f>
        <v>10.204081632653061</v>
      </c>
      <c r="D53" s="233">
        <f>(C53*$K$1)*$C$1</f>
        <v>10000</v>
      </c>
      <c r="E53" s="100"/>
      <c r="F53" s="100"/>
      <c r="G53" s="148" t="s">
        <v>296</v>
      </c>
      <c r="H53" s="187">
        <f>MIN(H52,H51)</f>
        <v>10</v>
      </c>
      <c r="I53" s="176">
        <f>J53/$R$1</f>
        <v>23115.254237288136</v>
      </c>
      <c r="J53" s="176">
        <f>MIN(J52,J51)</f>
        <v>13638</v>
      </c>
    </row>
    <row r="54" spans="1:10" ht="14.25" customHeight="1" x14ac:dyDescent="0.3">
      <c r="B54" s="231" t="s">
        <v>297</v>
      </c>
      <c r="C54" s="234">
        <f>MIN(MAX(C52-C53,0),C51)</f>
        <v>10.204081632653061</v>
      </c>
      <c r="D54" s="233">
        <f>(C54*$K$1)*$C$1</f>
        <v>10000</v>
      </c>
      <c r="E54" s="100"/>
      <c r="F54" s="100"/>
      <c r="G54" s="148" t="s">
        <v>297</v>
      </c>
      <c r="H54" s="187">
        <f>MIN(MAX(H52-H53),H51)</f>
        <v>10</v>
      </c>
      <c r="I54" s="176">
        <f>J54/$R$1</f>
        <v>23115.254237288136</v>
      </c>
      <c r="J54" s="176">
        <f>MIN(MAX(J52-J53),J51)</f>
        <v>13638</v>
      </c>
    </row>
    <row r="55" spans="1:10" x14ac:dyDescent="0.3">
      <c r="B55" s="231" t="s">
        <v>298</v>
      </c>
      <c r="C55" s="234">
        <f>MIN(MAX(C52-C53-C54,0),C51)</f>
        <v>0.64782836211408679</v>
      </c>
      <c r="D55" s="233">
        <f>(C55*$K$1)*$C$1</f>
        <v>634.87179487180504</v>
      </c>
      <c r="E55" s="100"/>
      <c r="F55" s="100"/>
      <c r="G55" s="145" t="s">
        <v>298</v>
      </c>
      <c r="H55" s="564">
        <f>MIN(MAX(H52-H53-H54),H51)</f>
        <v>0.63239590736290552</v>
      </c>
      <c r="I55" s="176">
        <f>J55/$R$1</f>
        <v>1461.7992177314097</v>
      </c>
      <c r="J55" s="176">
        <f>MIN(MAX(J52-J53-J54),J51)</f>
        <v>862.46153846153175</v>
      </c>
    </row>
    <row r="62" spans="1:10" ht="17.75" customHeight="1" x14ac:dyDescent="0.3">
      <c r="A62" s="937"/>
      <c r="B62" s="1382" t="str">
        <f>" دجاج تشانجيزي 1 / " &amp; COUNTIF($C$53:$C$55, "&gt;0")</f>
        <v xml:space="preserve"> دجاج تشانجيزي 1 / 3</v>
      </c>
      <c r="C62" s="1383"/>
      <c r="D62" s="1383"/>
      <c r="E62" s="1383"/>
      <c r="F62" s="1383"/>
      <c r="G62" s="1383"/>
      <c r="H62" s="1383"/>
    </row>
    <row r="63" spans="1:10" ht="17.75" customHeight="1" x14ac:dyDescent="0.3">
      <c r="A63" s="937"/>
      <c r="B63" s="1384" t="str">
        <f>" Changezi Chicken 1 / " &amp; COUNTIF($C$53:$C$55, "&gt;0")</f>
        <v xml:space="preserve"> Changezi Chicken 1 / 3</v>
      </c>
      <c r="C63" s="1385"/>
      <c r="D63" s="1385"/>
      <c r="E63" s="1385"/>
      <c r="F63" s="1385"/>
      <c r="G63" s="1385"/>
      <c r="H63" s="1385"/>
    </row>
    <row r="64" spans="1:10" ht="36.75" customHeight="1" x14ac:dyDescent="0.25">
      <c r="A64" s="91"/>
      <c r="B64" s="243" t="s">
        <v>253</v>
      </c>
      <c r="C64" s="244" t="s">
        <v>254</v>
      </c>
      <c r="D64" s="245" t="s">
        <v>243</v>
      </c>
      <c r="E64" s="218" t="s">
        <v>246</v>
      </c>
      <c r="F64" s="218" t="s">
        <v>255</v>
      </c>
      <c r="G64" s="245" t="s">
        <v>256</v>
      </c>
      <c r="H64" s="218" t="s">
        <v>257</v>
      </c>
    </row>
    <row r="65" spans="1:8" ht="14.25" customHeight="1" x14ac:dyDescent="0.3">
      <c r="A65" s="128" t="s">
        <v>230</v>
      </c>
      <c r="B65" s="123" t="str">
        <f t="shared" ref="B65:D84" si="16">B5</f>
        <v>Chicken - دجاج</v>
      </c>
      <c r="C65" s="123" t="str">
        <f t="shared" si="16"/>
        <v>gm</v>
      </c>
      <c r="D65" s="263">
        <f t="shared" si="16"/>
        <v>2311.5254237288136</v>
      </c>
      <c r="E65" s="433">
        <f>H53</f>
        <v>10</v>
      </c>
      <c r="F65" s="299">
        <f t="shared" ref="F65:F84" si="17">F5</f>
        <v>1</v>
      </c>
      <c r="G65" s="119">
        <f t="shared" ref="G65:G84" si="18">D65*E65</f>
        <v>23115.254237288136</v>
      </c>
      <c r="H65" s="207">
        <f t="shared" ref="H65:H84" si="19">G65*F65</f>
        <v>23115.254237288136</v>
      </c>
    </row>
    <row r="66" spans="1:8" ht="14.25" customHeight="1" x14ac:dyDescent="0.3">
      <c r="A66" s="128" t="s">
        <v>13</v>
      </c>
      <c r="B66" s="123" t="str">
        <f t="shared" si="16"/>
        <v>Onion - بصل</v>
      </c>
      <c r="C66" s="123" t="str">
        <f t="shared" si="16"/>
        <v>gm</v>
      </c>
      <c r="D66" s="123">
        <f t="shared" si="16"/>
        <v>200</v>
      </c>
      <c r="E66" s="433">
        <f t="shared" ref="E66:E84" si="20">$C$53</f>
        <v>10.204081632653061</v>
      </c>
      <c r="F66" s="299">
        <f t="shared" si="17"/>
        <v>0.95</v>
      </c>
      <c r="G66" s="119">
        <f t="shared" si="18"/>
        <v>2040.8163265306123</v>
      </c>
      <c r="H66" s="207">
        <f t="shared" si="19"/>
        <v>1938.7755102040817</v>
      </c>
    </row>
    <row r="67" spans="1:8" ht="14.25" customHeight="1" x14ac:dyDescent="0.3">
      <c r="A67" s="128" t="s">
        <v>13</v>
      </c>
      <c r="B67" s="123" t="str">
        <f t="shared" si="16"/>
        <v>Tomato - طماطم</v>
      </c>
      <c r="C67" s="123" t="str">
        <f t="shared" si="16"/>
        <v>gm</v>
      </c>
      <c r="D67" s="123">
        <f t="shared" si="16"/>
        <v>450</v>
      </c>
      <c r="E67" s="433">
        <f t="shared" si="20"/>
        <v>10.204081632653061</v>
      </c>
      <c r="F67" s="299">
        <f t="shared" si="17"/>
        <v>1</v>
      </c>
      <c r="G67" s="119">
        <f t="shared" si="18"/>
        <v>4591.8367346938776</v>
      </c>
      <c r="H67" s="207">
        <f t="shared" si="19"/>
        <v>4591.8367346938776</v>
      </c>
    </row>
    <row r="68" spans="1:8" ht="14.25" customHeight="1" x14ac:dyDescent="0.3">
      <c r="A68" s="128" t="s">
        <v>57</v>
      </c>
      <c r="B68" s="123" t="str">
        <f t="shared" si="16"/>
        <v>Ginger - زنجبيل</v>
      </c>
      <c r="C68" s="123" t="str">
        <f t="shared" si="16"/>
        <v>gm</v>
      </c>
      <c r="D68" s="123">
        <f t="shared" si="16"/>
        <v>20</v>
      </c>
      <c r="E68" s="433">
        <f t="shared" si="20"/>
        <v>10.204081632653061</v>
      </c>
      <c r="F68" s="299">
        <f t="shared" si="17"/>
        <v>0.9</v>
      </c>
      <c r="G68" s="119">
        <f t="shared" si="18"/>
        <v>204.08163265306121</v>
      </c>
      <c r="H68" s="207">
        <f t="shared" si="19"/>
        <v>183.67346938775509</v>
      </c>
    </row>
    <row r="69" spans="1:8" ht="14.25" customHeight="1" x14ac:dyDescent="0.3">
      <c r="A69" s="128" t="s">
        <v>13</v>
      </c>
      <c r="B69" s="123" t="str">
        <f t="shared" si="16"/>
        <v>Garlic - ثوم مقشر</v>
      </c>
      <c r="C69" s="123" t="str">
        <f t="shared" si="16"/>
        <v>gm</v>
      </c>
      <c r="D69" s="123">
        <f t="shared" si="16"/>
        <v>20</v>
      </c>
      <c r="E69" s="433">
        <f t="shared" si="20"/>
        <v>10.204081632653061</v>
      </c>
      <c r="F69" s="299">
        <f t="shared" si="17"/>
        <v>0.9</v>
      </c>
      <c r="G69" s="119">
        <f t="shared" si="18"/>
        <v>204.08163265306121</v>
      </c>
      <c r="H69" s="207">
        <f t="shared" si="19"/>
        <v>183.67346938775509</v>
      </c>
    </row>
    <row r="70" spans="1:8" ht="14.25" customHeight="1" x14ac:dyDescent="0.3">
      <c r="A70" s="128" t="s">
        <v>13</v>
      </c>
      <c r="B70" s="123" t="str">
        <f t="shared" si="16"/>
        <v>Green Chilli Pepper - فلفل أخضر حار</v>
      </c>
      <c r="C70" s="123" t="str">
        <f t="shared" si="16"/>
        <v>gm</v>
      </c>
      <c r="D70" s="123">
        <f t="shared" si="16"/>
        <v>10</v>
      </c>
      <c r="E70" s="433">
        <f t="shared" si="20"/>
        <v>10.204081632653061</v>
      </c>
      <c r="F70" s="299">
        <f t="shared" si="17"/>
        <v>0.75</v>
      </c>
      <c r="G70" s="119">
        <f t="shared" si="18"/>
        <v>102.0408163265306</v>
      </c>
      <c r="H70" s="207">
        <f t="shared" si="19"/>
        <v>76.530612244897952</v>
      </c>
    </row>
    <row r="71" spans="1:8" ht="14.25" customHeight="1" x14ac:dyDescent="0.3">
      <c r="A71" s="128" t="s">
        <v>183</v>
      </c>
      <c r="B71" s="123" t="str">
        <f t="shared" si="16"/>
        <v>Cashew Nut - كاجو</v>
      </c>
      <c r="C71" s="123" t="str">
        <f t="shared" si="16"/>
        <v>gm</v>
      </c>
      <c r="D71" s="123">
        <f t="shared" si="16"/>
        <v>25</v>
      </c>
      <c r="E71" s="433">
        <f t="shared" si="20"/>
        <v>10.204081632653061</v>
      </c>
      <c r="F71" s="299">
        <f t="shared" si="17"/>
        <v>1</v>
      </c>
      <c r="G71" s="119">
        <f t="shared" si="18"/>
        <v>255.10204081632654</v>
      </c>
      <c r="H71" s="207">
        <f t="shared" si="19"/>
        <v>255.10204081632654</v>
      </c>
    </row>
    <row r="72" spans="1:8" ht="14.25" customHeight="1" x14ac:dyDescent="0.3">
      <c r="A72" s="128" t="s">
        <v>97</v>
      </c>
      <c r="B72" s="123" t="str">
        <f t="shared" si="16"/>
        <v>Red Chilli Powder - شطة حمراء مطحونة</v>
      </c>
      <c r="C72" s="123" t="str">
        <f t="shared" si="16"/>
        <v>gm</v>
      </c>
      <c r="D72" s="123">
        <f t="shared" si="16"/>
        <v>3</v>
      </c>
      <c r="E72" s="433">
        <f t="shared" si="20"/>
        <v>10.204081632653061</v>
      </c>
      <c r="F72" s="299">
        <f t="shared" si="17"/>
        <v>0.9</v>
      </c>
      <c r="G72" s="119">
        <f t="shared" si="18"/>
        <v>30.612244897959183</v>
      </c>
      <c r="H72" s="207">
        <f t="shared" si="19"/>
        <v>27.551020408163264</v>
      </c>
    </row>
    <row r="73" spans="1:8" ht="14.25" customHeight="1" x14ac:dyDescent="0.3">
      <c r="A73" s="128" t="s">
        <v>158</v>
      </c>
      <c r="B73" s="123" t="str">
        <f t="shared" si="16"/>
        <v>Yogurt - زبادي</v>
      </c>
      <c r="C73" s="123" t="str">
        <f t="shared" si="16"/>
        <v>gm</v>
      </c>
      <c r="D73" s="123">
        <f t="shared" si="16"/>
        <v>300</v>
      </c>
      <c r="E73" s="433">
        <f t="shared" si="20"/>
        <v>10.204081632653061</v>
      </c>
      <c r="F73" s="299">
        <f t="shared" si="17"/>
        <v>0.75</v>
      </c>
      <c r="G73" s="119">
        <f t="shared" si="18"/>
        <v>3061.2244897959181</v>
      </c>
      <c r="H73" s="207">
        <f t="shared" si="19"/>
        <v>2295.9183673469388</v>
      </c>
    </row>
    <row r="74" spans="1:8" ht="14.25" customHeight="1" x14ac:dyDescent="0.3">
      <c r="A74" s="128" t="s">
        <v>97</v>
      </c>
      <c r="B74" s="123" t="str">
        <f t="shared" si="16"/>
        <v>Curry Powder - كاري بودرة</v>
      </c>
      <c r="C74" s="123" t="str">
        <f t="shared" si="16"/>
        <v>gm</v>
      </c>
      <c r="D74" s="123">
        <f t="shared" si="16"/>
        <v>10</v>
      </c>
      <c r="E74" s="433">
        <f t="shared" si="20"/>
        <v>10.204081632653061</v>
      </c>
      <c r="F74" s="299">
        <f t="shared" si="17"/>
        <v>0.75</v>
      </c>
      <c r="G74" s="119">
        <f t="shared" si="18"/>
        <v>102.0408163265306</v>
      </c>
      <c r="H74" s="207">
        <f t="shared" si="19"/>
        <v>76.530612244897952</v>
      </c>
    </row>
    <row r="75" spans="1:8" ht="14.25" customHeight="1" x14ac:dyDescent="0.3">
      <c r="A75" s="128" t="s">
        <v>97</v>
      </c>
      <c r="B75" s="123" t="str">
        <f t="shared" si="16"/>
        <v>Cumin Powder - كمون مطحون</v>
      </c>
      <c r="C75" s="123" t="str">
        <f t="shared" si="16"/>
        <v>gm</v>
      </c>
      <c r="D75" s="123">
        <f t="shared" si="16"/>
        <v>10</v>
      </c>
      <c r="E75" s="433">
        <f t="shared" si="20"/>
        <v>10.204081632653061</v>
      </c>
      <c r="F75" s="299">
        <f t="shared" si="17"/>
        <v>0.75</v>
      </c>
      <c r="G75" s="119">
        <f t="shared" si="18"/>
        <v>102.0408163265306</v>
      </c>
      <c r="H75" s="207">
        <f t="shared" si="19"/>
        <v>76.530612244897952</v>
      </c>
    </row>
    <row r="76" spans="1:8" ht="14.25" customHeight="1" x14ac:dyDescent="0.3">
      <c r="A76" s="128" t="s">
        <v>97</v>
      </c>
      <c r="B76" s="123" t="str">
        <f t="shared" si="16"/>
        <v>Coriander Powder - كزبرة مطحونة</v>
      </c>
      <c r="C76" s="123" t="str">
        <f t="shared" si="16"/>
        <v>gm</v>
      </c>
      <c r="D76" s="123">
        <f t="shared" si="16"/>
        <v>10</v>
      </c>
      <c r="E76" s="433">
        <f t="shared" si="20"/>
        <v>10.204081632653061</v>
      </c>
      <c r="F76" s="299">
        <f t="shared" si="17"/>
        <v>0.75</v>
      </c>
      <c r="G76" s="119">
        <f t="shared" si="18"/>
        <v>102.0408163265306</v>
      </c>
      <c r="H76" s="207">
        <f t="shared" si="19"/>
        <v>76.530612244897952</v>
      </c>
    </row>
    <row r="77" spans="1:8" ht="14.25" customHeight="1" x14ac:dyDescent="0.3">
      <c r="A77" s="128" t="s">
        <v>63</v>
      </c>
      <c r="B77" s="123" t="str">
        <f t="shared" si="16"/>
        <v>Coriander Leaves - كزبرة خضراء</v>
      </c>
      <c r="C77" s="123" t="str">
        <f t="shared" si="16"/>
        <v>gm</v>
      </c>
      <c r="D77" s="123">
        <f t="shared" si="16"/>
        <v>5</v>
      </c>
      <c r="E77" s="433">
        <f t="shared" si="20"/>
        <v>10.204081632653061</v>
      </c>
      <c r="F77" s="299">
        <f t="shared" si="17"/>
        <v>1</v>
      </c>
      <c r="G77" s="119">
        <f t="shared" si="18"/>
        <v>51.020408163265301</v>
      </c>
      <c r="H77" s="207">
        <f t="shared" si="19"/>
        <v>51.020408163265301</v>
      </c>
    </row>
    <row r="78" spans="1:8" ht="14.25" customHeight="1" x14ac:dyDescent="0.3">
      <c r="A78" s="128" t="s">
        <v>220</v>
      </c>
      <c r="B78" s="123" t="str">
        <f t="shared" si="16"/>
        <v>لون صفار زعفران بودر - Saffron yellow color powder</v>
      </c>
      <c r="C78" s="123" t="str">
        <f t="shared" si="16"/>
        <v>gm</v>
      </c>
      <c r="D78" s="123">
        <f t="shared" si="16"/>
        <v>2</v>
      </c>
      <c r="E78" s="433">
        <f t="shared" si="20"/>
        <v>10.204081632653061</v>
      </c>
      <c r="F78" s="299">
        <f t="shared" si="17"/>
        <v>0.9</v>
      </c>
      <c r="G78" s="119">
        <f t="shared" si="18"/>
        <v>20.408163265306122</v>
      </c>
      <c r="H78" s="207">
        <f t="shared" si="19"/>
        <v>18.367346938775512</v>
      </c>
    </row>
    <row r="79" spans="1:8" ht="14.25" customHeight="1" x14ac:dyDescent="0.3">
      <c r="A79" s="128" t="s">
        <v>220</v>
      </c>
      <c r="B79" s="123" t="str">
        <f t="shared" si="16"/>
        <v>Orange Color - لون برتقالي</v>
      </c>
      <c r="C79" s="123" t="str">
        <f t="shared" si="16"/>
        <v>gm</v>
      </c>
      <c r="D79" s="123">
        <f t="shared" si="16"/>
        <v>1</v>
      </c>
      <c r="E79" s="433">
        <f t="shared" si="20"/>
        <v>10.204081632653061</v>
      </c>
      <c r="F79" s="299">
        <f t="shared" si="17"/>
        <v>1</v>
      </c>
      <c r="G79" s="119">
        <f t="shared" si="18"/>
        <v>10.204081632653061</v>
      </c>
      <c r="H79" s="207">
        <f t="shared" si="19"/>
        <v>10.204081632653061</v>
      </c>
    </row>
    <row r="80" spans="1:8" ht="14.25" customHeight="1" x14ac:dyDescent="0.3">
      <c r="A80" s="128" t="s">
        <v>220</v>
      </c>
      <c r="B80" s="123" t="str">
        <f t="shared" si="16"/>
        <v>Charcoal - فحم</v>
      </c>
      <c r="C80" s="123" t="str">
        <f t="shared" si="16"/>
        <v>gm</v>
      </c>
      <c r="D80" s="123">
        <f t="shared" si="16"/>
        <v>10</v>
      </c>
      <c r="E80" s="433">
        <f t="shared" si="20"/>
        <v>10.204081632653061</v>
      </c>
      <c r="F80" s="299">
        <f t="shared" si="17"/>
        <v>0.5</v>
      </c>
      <c r="G80" s="119">
        <f t="shared" si="18"/>
        <v>102.0408163265306</v>
      </c>
      <c r="H80" s="207">
        <f t="shared" si="19"/>
        <v>51.020408163265301</v>
      </c>
    </row>
    <row r="81" spans="1:8" ht="14.25" customHeight="1" x14ac:dyDescent="0.3">
      <c r="A81" s="128" t="s">
        <v>97</v>
      </c>
      <c r="B81" s="123" t="str">
        <f t="shared" si="16"/>
        <v>Salt - ملح</v>
      </c>
      <c r="C81" s="123" t="str">
        <f t="shared" si="16"/>
        <v>gm</v>
      </c>
      <c r="D81" s="123">
        <f t="shared" si="16"/>
        <v>11</v>
      </c>
      <c r="E81" s="433">
        <f t="shared" si="20"/>
        <v>10.204081632653061</v>
      </c>
      <c r="F81" s="299">
        <f t="shared" si="17"/>
        <v>0.75</v>
      </c>
      <c r="G81" s="119">
        <f t="shared" si="18"/>
        <v>112.24489795918367</v>
      </c>
      <c r="H81" s="207">
        <f t="shared" si="19"/>
        <v>84.183673469387756</v>
      </c>
    </row>
    <row r="82" spans="1:8" ht="14.25" customHeight="1" x14ac:dyDescent="0.3">
      <c r="A82" s="128" t="s">
        <v>158</v>
      </c>
      <c r="B82" s="123" t="str">
        <f t="shared" si="16"/>
        <v>Butter - زبدة</v>
      </c>
      <c r="C82" s="123" t="str">
        <f t="shared" si="16"/>
        <v>gm</v>
      </c>
      <c r="D82" s="123">
        <f t="shared" si="16"/>
        <v>40</v>
      </c>
      <c r="E82" s="433">
        <f t="shared" si="20"/>
        <v>10.204081632653061</v>
      </c>
      <c r="F82" s="299">
        <f t="shared" si="17"/>
        <v>0.9</v>
      </c>
      <c r="G82" s="119">
        <f t="shared" si="18"/>
        <v>408.16326530612241</v>
      </c>
      <c r="H82" s="207">
        <f t="shared" si="19"/>
        <v>367.34693877551018</v>
      </c>
    </row>
    <row r="83" spans="1:8" ht="14.25" customHeight="1" x14ac:dyDescent="0.3">
      <c r="A83" s="128" t="s">
        <v>158</v>
      </c>
      <c r="B83" s="123" t="str">
        <f t="shared" si="16"/>
        <v>Cooking Cream - كريمة طبخ</v>
      </c>
      <c r="C83" s="123" t="str">
        <f t="shared" si="16"/>
        <v>ml</v>
      </c>
      <c r="D83" s="123">
        <f t="shared" si="16"/>
        <v>250</v>
      </c>
      <c r="E83" s="433">
        <f t="shared" si="20"/>
        <v>10.204081632653061</v>
      </c>
      <c r="F83" s="299">
        <f t="shared" si="17"/>
        <v>1</v>
      </c>
      <c r="G83" s="119">
        <f t="shared" si="18"/>
        <v>2551.0204081632651</v>
      </c>
      <c r="H83" s="207">
        <f t="shared" si="19"/>
        <v>2551.0204081632651</v>
      </c>
    </row>
    <row r="84" spans="1:8" ht="14.25" customHeight="1" x14ac:dyDescent="0.3">
      <c r="A84" s="128" t="s">
        <v>97</v>
      </c>
      <c r="B84" s="123" t="str">
        <f t="shared" si="16"/>
        <v>Kasuri Methi - ورق حلبة مجففة</v>
      </c>
      <c r="C84" s="123" t="str">
        <f t="shared" si="16"/>
        <v>gm</v>
      </c>
      <c r="D84" s="123">
        <f t="shared" si="16"/>
        <v>2</v>
      </c>
      <c r="E84" s="433">
        <f t="shared" si="20"/>
        <v>10.204081632653061</v>
      </c>
      <c r="F84" s="299">
        <f t="shared" si="17"/>
        <v>1</v>
      </c>
      <c r="G84" s="119">
        <f t="shared" si="18"/>
        <v>20.408163265306122</v>
      </c>
      <c r="H84" s="207">
        <f t="shared" si="19"/>
        <v>20.408163265306122</v>
      </c>
    </row>
    <row r="85" spans="1:8" ht="20.25" customHeight="1" x14ac:dyDescent="0.3">
      <c r="A85" s="211"/>
      <c r="B85" s="198" t="s">
        <v>299</v>
      </c>
      <c r="C85" s="200" t="s">
        <v>285</v>
      </c>
      <c r="E85" s="200" t="s">
        <v>300</v>
      </c>
      <c r="G85" s="890" t="s">
        <v>276</v>
      </c>
      <c r="H85" s="890" t="s">
        <v>733</v>
      </c>
    </row>
    <row r="86" spans="1:8" ht="19.25" customHeight="1" x14ac:dyDescent="0.4">
      <c r="A86" s="211"/>
      <c r="B86" s="199">
        <f>$J$53</f>
        <v>13638</v>
      </c>
      <c r="C86" s="199">
        <f>E86+G86</f>
        <v>10000</v>
      </c>
      <c r="D86" s="930"/>
      <c r="E86" s="199">
        <f>$D$53*$S$44</f>
        <v>4089.9999999999995</v>
      </c>
      <c r="F86" s="934"/>
      <c r="G86" s="199">
        <f>$D$53*$T$44</f>
        <v>5910</v>
      </c>
      <c r="H86" s="199">
        <f>B86+E86</f>
        <v>17728</v>
      </c>
    </row>
    <row r="87" spans="1:8" ht="14.25" customHeight="1" x14ac:dyDescent="0.3">
      <c r="B87" s="100"/>
      <c r="E87" s="92"/>
      <c r="F87" s="100"/>
    </row>
    <row r="88" spans="1:8" ht="17.75" customHeight="1" x14ac:dyDescent="0.3">
      <c r="A88" s="937"/>
      <c r="B88" s="1382" t="str">
        <f>" دجاج تشانجيزي 2 / " &amp; COUNTIF($C$53:$C$55, "&gt;0")</f>
        <v xml:space="preserve"> دجاج تشانجيزي 2 / 3</v>
      </c>
      <c r="C88" s="1383"/>
      <c r="D88" s="1383"/>
      <c r="E88" s="1383"/>
      <c r="F88" s="1383"/>
      <c r="G88" s="1383"/>
      <c r="H88" s="1383"/>
    </row>
    <row r="89" spans="1:8" ht="17.75" customHeight="1" x14ac:dyDescent="0.3">
      <c r="A89" s="937"/>
      <c r="B89" s="1384" t="str">
        <f>" Changezi Chicken 2 / " &amp; COUNTIF($C$53:$C$55, "&gt;0")</f>
        <v xml:space="preserve"> Changezi Chicken 2 / 3</v>
      </c>
      <c r="C89" s="1385"/>
      <c r="D89" s="1385"/>
      <c r="E89" s="1385"/>
      <c r="F89" s="1385"/>
      <c r="G89" s="1385"/>
      <c r="H89" s="1385"/>
    </row>
    <row r="90" spans="1:8" ht="36.75" customHeight="1" x14ac:dyDescent="0.25">
      <c r="A90" s="91"/>
      <c r="B90" s="243" t="s">
        <v>253</v>
      </c>
      <c r="C90" s="244" t="s">
        <v>254</v>
      </c>
      <c r="D90" s="245" t="s">
        <v>243</v>
      </c>
      <c r="E90" s="218" t="s">
        <v>246</v>
      </c>
      <c r="F90" s="218" t="s">
        <v>255</v>
      </c>
      <c r="G90" s="245" t="s">
        <v>256</v>
      </c>
      <c r="H90" s="218" t="s">
        <v>257</v>
      </c>
    </row>
    <row r="91" spans="1:8" ht="14.25" customHeight="1" x14ac:dyDescent="0.3">
      <c r="A91" s="128" t="s">
        <v>230</v>
      </c>
      <c r="B91" s="123" t="str">
        <f t="shared" ref="B91:D110" si="21">B5</f>
        <v>Chicken - دجاج</v>
      </c>
      <c r="C91" s="123" t="str">
        <f t="shared" si="21"/>
        <v>gm</v>
      </c>
      <c r="D91" s="263">
        <f t="shared" si="21"/>
        <v>2311.5254237288136</v>
      </c>
      <c r="E91" s="197">
        <f>$H$54</f>
        <v>10</v>
      </c>
      <c r="F91" s="299">
        <f t="shared" ref="F91:F110" si="22">F5</f>
        <v>1</v>
      </c>
      <c r="G91" s="119">
        <f t="shared" ref="G91:G110" si="23">D91*E91</f>
        <v>23115.254237288136</v>
      </c>
      <c r="H91" s="207">
        <f t="shared" ref="H91:H110" si="24">G91*F91</f>
        <v>23115.254237288136</v>
      </c>
    </row>
    <row r="92" spans="1:8" ht="14.25" customHeight="1" x14ac:dyDescent="0.3">
      <c r="A92" s="128" t="s">
        <v>13</v>
      </c>
      <c r="B92" s="123" t="str">
        <f t="shared" si="21"/>
        <v>Onion - بصل</v>
      </c>
      <c r="C92" s="123" t="str">
        <f t="shared" si="21"/>
        <v>gm</v>
      </c>
      <c r="D92" s="123">
        <f t="shared" si="21"/>
        <v>200</v>
      </c>
      <c r="E92" s="197">
        <f t="shared" ref="E92:E110" si="25">$C$54</f>
        <v>10.204081632653061</v>
      </c>
      <c r="F92" s="299">
        <f t="shared" si="22"/>
        <v>0.95</v>
      </c>
      <c r="G92" s="119">
        <f t="shared" si="23"/>
        <v>2040.8163265306123</v>
      </c>
      <c r="H92" s="207">
        <f t="shared" si="24"/>
        <v>1938.7755102040817</v>
      </c>
    </row>
    <row r="93" spans="1:8" ht="14.25" customHeight="1" x14ac:dyDescent="0.3">
      <c r="A93" s="128" t="s">
        <v>13</v>
      </c>
      <c r="B93" s="123" t="str">
        <f t="shared" si="21"/>
        <v>Tomato - طماطم</v>
      </c>
      <c r="C93" s="123" t="str">
        <f t="shared" si="21"/>
        <v>gm</v>
      </c>
      <c r="D93" s="123">
        <f t="shared" si="21"/>
        <v>450</v>
      </c>
      <c r="E93" s="197">
        <f t="shared" si="25"/>
        <v>10.204081632653061</v>
      </c>
      <c r="F93" s="299">
        <f t="shared" si="22"/>
        <v>1</v>
      </c>
      <c r="G93" s="119">
        <f t="shared" si="23"/>
        <v>4591.8367346938776</v>
      </c>
      <c r="H93" s="207">
        <f t="shared" si="24"/>
        <v>4591.8367346938776</v>
      </c>
    </row>
    <row r="94" spans="1:8" ht="14.25" customHeight="1" x14ac:dyDescent="0.3">
      <c r="A94" s="128" t="s">
        <v>57</v>
      </c>
      <c r="B94" s="123" t="str">
        <f t="shared" si="21"/>
        <v>Ginger - زنجبيل</v>
      </c>
      <c r="C94" s="123" t="str">
        <f t="shared" si="21"/>
        <v>gm</v>
      </c>
      <c r="D94" s="123">
        <f t="shared" si="21"/>
        <v>20</v>
      </c>
      <c r="E94" s="197">
        <f t="shared" si="25"/>
        <v>10.204081632653061</v>
      </c>
      <c r="F94" s="299">
        <f t="shared" si="22"/>
        <v>0.9</v>
      </c>
      <c r="G94" s="119">
        <f t="shared" si="23"/>
        <v>204.08163265306121</v>
      </c>
      <c r="H94" s="207">
        <f t="shared" si="24"/>
        <v>183.67346938775509</v>
      </c>
    </row>
    <row r="95" spans="1:8" ht="14.25" customHeight="1" x14ac:dyDescent="0.3">
      <c r="A95" s="128" t="s">
        <v>13</v>
      </c>
      <c r="B95" s="123" t="str">
        <f t="shared" si="21"/>
        <v>Garlic - ثوم مقشر</v>
      </c>
      <c r="C95" s="123" t="str">
        <f t="shared" si="21"/>
        <v>gm</v>
      </c>
      <c r="D95" s="123">
        <f t="shared" si="21"/>
        <v>20</v>
      </c>
      <c r="E95" s="197">
        <f t="shared" si="25"/>
        <v>10.204081632653061</v>
      </c>
      <c r="F95" s="299">
        <f t="shared" si="22"/>
        <v>0.9</v>
      </c>
      <c r="G95" s="119">
        <f t="shared" si="23"/>
        <v>204.08163265306121</v>
      </c>
      <c r="H95" s="207">
        <f t="shared" si="24"/>
        <v>183.67346938775509</v>
      </c>
    </row>
    <row r="96" spans="1:8" ht="14.25" customHeight="1" x14ac:dyDescent="0.3">
      <c r="A96" s="128" t="s">
        <v>13</v>
      </c>
      <c r="B96" s="123" t="str">
        <f t="shared" si="21"/>
        <v>Green Chilli Pepper - فلفل أخضر حار</v>
      </c>
      <c r="C96" s="123" t="str">
        <f t="shared" si="21"/>
        <v>gm</v>
      </c>
      <c r="D96" s="123">
        <f t="shared" si="21"/>
        <v>10</v>
      </c>
      <c r="E96" s="197">
        <f t="shared" si="25"/>
        <v>10.204081632653061</v>
      </c>
      <c r="F96" s="299">
        <f t="shared" si="22"/>
        <v>0.75</v>
      </c>
      <c r="G96" s="119">
        <f t="shared" si="23"/>
        <v>102.0408163265306</v>
      </c>
      <c r="H96" s="207">
        <f t="shared" si="24"/>
        <v>76.530612244897952</v>
      </c>
    </row>
    <row r="97" spans="1:8" ht="14.25" customHeight="1" x14ac:dyDescent="0.3">
      <c r="A97" s="128" t="s">
        <v>183</v>
      </c>
      <c r="B97" s="123" t="str">
        <f t="shared" si="21"/>
        <v>Cashew Nut - كاجو</v>
      </c>
      <c r="C97" s="123" t="str">
        <f t="shared" si="21"/>
        <v>gm</v>
      </c>
      <c r="D97" s="123">
        <f t="shared" si="21"/>
        <v>25</v>
      </c>
      <c r="E97" s="197">
        <f t="shared" si="25"/>
        <v>10.204081632653061</v>
      </c>
      <c r="F97" s="299">
        <f t="shared" si="22"/>
        <v>1</v>
      </c>
      <c r="G97" s="119">
        <f t="shared" si="23"/>
        <v>255.10204081632654</v>
      </c>
      <c r="H97" s="207">
        <f t="shared" si="24"/>
        <v>255.10204081632654</v>
      </c>
    </row>
    <row r="98" spans="1:8" ht="14.25" customHeight="1" x14ac:dyDescent="0.3">
      <c r="A98" s="128" t="s">
        <v>97</v>
      </c>
      <c r="B98" s="123" t="str">
        <f t="shared" si="21"/>
        <v>Red Chilli Powder - شطة حمراء مطحونة</v>
      </c>
      <c r="C98" s="123" t="str">
        <f t="shared" si="21"/>
        <v>gm</v>
      </c>
      <c r="D98" s="123">
        <f t="shared" si="21"/>
        <v>3</v>
      </c>
      <c r="E98" s="197">
        <f t="shared" si="25"/>
        <v>10.204081632653061</v>
      </c>
      <c r="F98" s="299">
        <f t="shared" si="22"/>
        <v>0.9</v>
      </c>
      <c r="G98" s="119">
        <f t="shared" si="23"/>
        <v>30.612244897959183</v>
      </c>
      <c r="H98" s="207">
        <f t="shared" si="24"/>
        <v>27.551020408163264</v>
      </c>
    </row>
    <row r="99" spans="1:8" ht="14.25" customHeight="1" x14ac:dyDescent="0.3">
      <c r="A99" s="128" t="s">
        <v>158</v>
      </c>
      <c r="B99" s="123" t="str">
        <f t="shared" si="21"/>
        <v>Yogurt - زبادي</v>
      </c>
      <c r="C99" s="123" t="str">
        <f t="shared" si="21"/>
        <v>gm</v>
      </c>
      <c r="D99" s="123">
        <f t="shared" si="21"/>
        <v>300</v>
      </c>
      <c r="E99" s="197">
        <f t="shared" si="25"/>
        <v>10.204081632653061</v>
      </c>
      <c r="F99" s="299">
        <f t="shared" si="22"/>
        <v>0.75</v>
      </c>
      <c r="G99" s="119">
        <f t="shared" si="23"/>
        <v>3061.2244897959181</v>
      </c>
      <c r="H99" s="207">
        <f t="shared" si="24"/>
        <v>2295.9183673469388</v>
      </c>
    </row>
    <row r="100" spans="1:8" ht="14.25" customHeight="1" x14ac:dyDescent="0.3">
      <c r="A100" s="128" t="s">
        <v>97</v>
      </c>
      <c r="B100" s="123" t="str">
        <f t="shared" si="21"/>
        <v>Curry Powder - كاري بودرة</v>
      </c>
      <c r="C100" s="123" t="str">
        <f t="shared" si="21"/>
        <v>gm</v>
      </c>
      <c r="D100" s="123">
        <f t="shared" si="21"/>
        <v>10</v>
      </c>
      <c r="E100" s="197">
        <f t="shared" si="25"/>
        <v>10.204081632653061</v>
      </c>
      <c r="F100" s="299">
        <f t="shared" si="22"/>
        <v>0.75</v>
      </c>
      <c r="G100" s="119">
        <f t="shared" si="23"/>
        <v>102.0408163265306</v>
      </c>
      <c r="H100" s="207">
        <f t="shared" si="24"/>
        <v>76.530612244897952</v>
      </c>
    </row>
    <row r="101" spans="1:8" ht="14.25" customHeight="1" x14ac:dyDescent="0.3">
      <c r="A101" s="128" t="s">
        <v>97</v>
      </c>
      <c r="B101" s="123" t="str">
        <f t="shared" si="21"/>
        <v>Cumin Powder - كمون مطحون</v>
      </c>
      <c r="C101" s="123" t="str">
        <f t="shared" si="21"/>
        <v>gm</v>
      </c>
      <c r="D101" s="123">
        <f t="shared" si="21"/>
        <v>10</v>
      </c>
      <c r="E101" s="197">
        <f t="shared" si="25"/>
        <v>10.204081632653061</v>
      </c>
      <c r="F101" s="299">
        <f t="shared" si="22"/>
        <v>0.75</v>
      </c>
      <c r="G101" s="119">
        <f t="shared" si="23"/>
        <v>102.0408163265306</v>
      </c>
      <c r="H101" s="207">
        <f t="shared" si="24"/>
        <v>76.530612244897952</v>
      </c>
    </row>
    <row r="102" spans="1:8" ht="14.25" customHeight="1" x14ac:dyDescent="0.3">
      <c r="A102" s="128" t="s">
        <v>97</v>
      </c>
      <c r="B102" s="123" t="str">
        <f t="shared" si="21"/>
        <v>Coriander Powder - كزبرة مطحونة</v>
      </c>
      <c r="C102" s="123" t="str">
        <f t="shared" si="21"/>
        <v>gm</v>
      </c>
      <c r="D102" s="123">
        <f t="shared" si="21"/>
        <v>10</v>
      </c>
      <c r="E102" s="197">
        <f t="shared" si="25"/>
        <v>10.204081632653061</v>
      </c>
      <c r="F102" s="299">
        <f t="shared" si="22"/>
        <v>0.75</v>
      </c>
      <c r="G102" s="119">
        <f t="shared" si="23"/>
        <v>102.0408163265306</v>
      </c>
      <c r="H102" s="207">
        <f t="shared" si="24"/>
        <v>76.530612244897952</v>
      </c>
    </row>
    <row r="103" spans="1:8" ht="14.25" customHeight="1" x14ac:dyDescent="0.3">
      <c r="A103" s="128" t="s">
        <v>63</v>
      </c>
      <c r="B103" s="123" t="str">
        <f t="shared" si="21"/>
        <v>Coriander Leaves - كزبرة خضراء</v>
      </c>
      <c r="C103" s="123" t="str">
        <f t="shared" si="21"/>
        <v>gm</v>
      </c>
      <c r="D103" s="123">
        <f t="shared" si="21"/>
        <v>5</v>
      </c>
      <c r="E103" s="197">
        <f t="shared" si="25"/>
        <v>10.204081632653061</v>
      </c>
      <c r="F103" s="299">
        <f t="shared" si="22"/>
        <v>1</v>
      </c>
      <c r="G103" s="119">
        <f t="shared" si="23"/>
        <v>51.020408163265301</v>
      </c>
      <c r="H103" s="207">
        <f t="shared" si="24"/>
        <v>51.020408163265301</v>
      </c>
    </row>
    <row r="104" spans="1:8" ht="14.25" customHeight="1" x14ac:dyDescent="0.3">
      <c r="A104" s="128" t="s">
        <v>220</v>
      </c>
      <c r="B104" s="123" t="str">
        <f t="shared" si="21"/>
        <v>لون صفار زعفران بودر - Saffron yellow color powder</v>
      </c>
      <c r="C104" s="123" t="str">
        <f t="shared" si="21"/>
        <v>gm</v>
      </c>
      <c r="D104" s="123">
        <f t="shared" si="21"/>
        <v>2</v>
      </c>
      <c r="E104" s="197">
        <f t="shared" si="25"/>
        <v>10.204081632653061</v>
      </c>
      <c r="F104" s="299">
        <f t="shared" si="22"/>
        <v>0.9</v>
      </c>
      <c r="G104" s="119">
        <f t="shared" si="23"/>
        <v>20.408163265306122</v>
      </c>
      <c r="H104" s="207">
        <f t="shared" si="24"/>
        <v>18.367346938775512</v>
      </c>
    </row>
    <row r="105" spans="1:8" ht="14.25" customHeight="1" x14ac:dyDescent="0.3">
      <c r="A105" s="128" t="s">
        <v>220</v>
      </c>
      <c r="B105" s="123" t="str">
        <f t="shared" si="21"/>
        <v>Orange Color - لون برتقالي</v>
      </c>
      <c r="C105" s="123" t="str">
        <f t="shared" si="21"/>
        <v>gm</v>
      </c>
      <c r="D105" s="123">
        <f t="shared" si="21"/>
        <v>1</v>
      </c>
      <c r="E105" s="197">
        <f t="shared" si="25"/>
        <v>10.204081632653061</v>
      </c>
      <c r="F105" s="299">
        <f t="shared" si="22"/>
        <v>1</v>
      </c>
      <c r="G105" s="119">
        <f t="shared" si="23"/>
        <v>10.204081632653061</v>
      </c>
      <c r="H105" s="207">
        <f t="shared" si="24"/>
        <v>10.204081632653061</v>
      </c>
    </row>
    <row r="106" spans="1:8" ht="14.25" customHeight="1" x14ac:dyDescent="0.3">
      <c r="A106" s="128" t="s">
        <v>220</v>
      </c>
      <c r="B106" s="123" t="str">
        <f t="shared" si="21"/>
        <v>Charcoal - فحم</v>
      </c>
      <c r="C106" s="123" t="str">
        <f t="shared" si="21"/>
        <v>gm</v>
      </c>
      <c r="D106" s="123">
        <f t="shared" si="21"/>
        <v>10</v>
      </c>
      <c r="E106" s="197">
        <f t="shared" si="25"/>
        <v>10.204081632653061</v>
      </c>
      <c r="F106" s="299">
        <f t="shared" si="22"/>
        <v>0.5</v>
      </c>
      <c r="G106" s="119">
        <f t="shared" si="23"/>
        <v>102.0408163265306</v>
      </c>
      <c r="H106" s="207">
        <f t="shared" si="24"/>
        <v>51.020408163265301</v>
      </c>
    </row>
    <row r="107" spans="1:8" ht="14.25" customHeight="1" x14ac:dyDescent="0.3">
      <c r="A107" s="128" t="s">
        <v>97</v>
      </c>
      <c r="B107" s="123" t="str">
        <f t="shared" si="21"/>
        <v>Salt - ملح</v>
      </c>
      <c r="C107" s="123" t="str">
        <f t="shared" si="21"/>
        <v>gm</v>
      </c>
      <c r="D107" s="123">
        <f t="shared" si="21"/>
        <v>11</v>
      </c>
      <c r="E107" s="197">
        <f t="shared" si="25"/>
        <v>10.204081632653061</v>
      </c>
      <c r="F107" s="299">
        <f t="shared" si="22"/>
        <v>0.75</v>
      </c>
      <c r="G107" s="119">
        <f t="shared" si="23"/>
        <v>112.24489795918367</v>
      </c>
      <c r="H107" s="207">
        <f t="shared" si="24"/>
        <v>84.183673469387756</v>
      </c>
    </row>
    <row r="108" spans="1:8" ht="14.25" customHeight="1" x14ac:dyDescent="0.3">
      <c r="A108" s="128" t="s">
        <v>158</v>
      </c>
      <c r="B108" s="123" t="str">
        <f t="shared" si="21"/>
        <v>Butter - زبدة</v>
      </c>
      <c r="C108" s="123" t="str">
        <f t="shared" si="21"/>
        <v>gm</v>
      </c>
      <c r="D108" s="123">
        <f t="shared" si="21"/>
        <v>40</v>
      </c>
      <c r="E108" s="197">
        <f t="shared" si="25"/>
        <v>10.204081632653061</v>
      </c>
      <c r="F108" s="299">
        <f t="shared" si="22"/>
        <v>0.9</v>
      </c>
      <c r="G108" s="119">
        <f t="shared" si="23"/>
        <v>408.16326530612241</v>
      </c>
      <c r="H108" s="207">
        <f t="shared" si="24"/>
        <v>367.34693877551018</v>
      </c>
    </row>
    <row r="109" spans="1:8" ht="14.25" customHeight="1" x14ac:dyDescent="0.3">
      <c r="A109" s="128" t="s">
        <v>158</v>
      </c>
      <c r="B109" s="123" t="str">
        <f t="shared" si="21"/>
        <v>Cooking Cream - كريمة طبخ</v>
      </c>
      <c r="C109" s="123" t="str">
        <f t="shared" si="21"/>
        <v>ml</v>
      </c>
      <c r="D109" s="123">
        <f t="shared" si="21"/>
        <v>250</v>
      </c>
      <c r="E109" s="197">
        <f t="shared" si="25"/>
        <v>10.204081632653061</v>
      </c>
      <c r="F109" s="299">
        <f t="shared" si="22"/>
        <v>1</v>
      </c>
      <c r="G109" s="119">
        <f t="shared" si="23"/>
        <v>2551.0204081632651</v>
      </c>
      <c r="H109" s="207">
        <f t="shared" si="24"/>
        <v>2551.0204081632651</v>
      </c>
    </row>
    <row r="110" spans="1:8" ht="14.25" customHeight="1" x14ac:dyDescent="0.3">
      <c r="A110" s="128" t="s">
        <v>97</v>
      </c>
      <c r="B110" s="123" t="str">
        <f t="shared" si="21"/>
        <v>Kasuri Methi - ورق حلبة مجففة</v>
      </c>
      <c r="C110" s="123" t="str">
        <f t="shared" si="21"/>
        <v>gm</v>
      </c>
      <c r="D110" s="123">
        <f t="shared" si="21"/>
        <v>2</v>
      </c>
      <c r="E110" s="197">
        <f t="shared" si="25"/>
        <v>10.204081632653061</v>
      </c>
      <c r="F110" s="299">
        <f t="shared" si="22"/>
        <v>1</v>
      </c>
      <c r="G110" s="119">
        <f t="shared" si="23"/>
        <v>20.408163265306122</v>
      </c>
      <c r="H110" s="207">
        <f t="shared" si="24"/>
        <v>20.408163265306122</v>
      </c>
    </row>
    <row r="111" spans="1:8" ht="20.25" customHeight="1" x14ac:dyDescent="0.3">
      <c r="A111" s="211"/>
      <c r="B111" s="198" t="s">
        <v>299</v>
      </c>
      <c r="C111" s="200" t="s">
        <v>285</v>
      </c>
      <c r="E111" s="200" t="s">
        <v>300</v>
      </c>
      <c r="G111" s="890" t="s">
        <v>276</v>
      </c>
      <c r="H111" s="890" t="s">
        <v>733</v>
      </c>
    </row>
    <row r="112" spans="1:8" ht="20" x14ac:dyDescent="0.4">
      <c r="A112" s="211"/>
      <c r="B112" s="199">
        <f>$J$54</f>
        <v>13638</v>
      </c>
      <c r="C112" s="199">
        <f>E112+G112</f>
        <v>10000</v>
      </c>
      <c r="D112" s="930"/>
      <c r="E112" s="199">
        <f>$D$54*$S$44</f>
        <v>4089.9999999999995</v>
      </c>
      <c r="F112" s="934"/>
      <c r="G112" s="199">
        <f>$D$54*$T$44</f>
        <v>5910</v>
      </c>
      <c r="H112" s="199">
        <f>B112+E112</f>
        <v>17728</v>
      </c>
    </row>
    <row r="115" spans="1:8" x14ac:dyDescent="0.3">
      <c r="A115" s="937"/>
      <c r="B115" s="1382" t="str">
        <f>" دجاج تشانجيزي 3 / " &amp; COUNTIF($C$53:$C$55, "&gt;0")</f>
        <v xml:space="preserve"> دجاج تشانجيزي 3 / 3</v>
      </c>
      <c r="C115" s="1383"/>
      <c r="D115" s="1383"/>
      <c r="E115" s="1383"/>
      <c r="F115" s="1383"/>
      <c r="G115" s="1383"/>
      <c r="H115" s="1383"/>
    </row>
    <row r="116" spans="1:8" x14ac:dyDescent="0.3">
      <c r="A116" s="937"/>
      <c r="B116" s="1384" t="str">
        <f>" Changezi Chicken 3 / " &amp; COUNTIF($C$53:$C$55, "&gt;0")</f>
        <v xml:space="preserve"> Changezi Chicken 3 / 3</v>
      </c>
      <c r="C116" s="1385"/>
      <c r="D116" s="1385"/>
      <c r="E116" s="1385"/>
      <c r="F116" s="1385"/>
      <c r="G116" s="1385"/>
      <c r="H116" s="1385"/>
    </row>
    <row r="117" spans="1:8" ht="39" x14ac:dyDescent="0.25">
      <c r="A117" s="91"/>
      <c r="B117" s="243" t="s">
        <v>253</v>
      </c>
      <c r="C117" s="244" t="s">
        <v>254</v>
      </c>
      <c r="D117" s="245" t="s">
        <v>243</v>
      </c>
      <c r="E117" s="218" t="s">
        <v>246</v>
      </c>
      <c r="F117" s="218" t="s">
        <v>255</v>
      </c>
      <c r="G117" s="245" t="s">
        <v>256</v>
      </c>
      <c r="H117" s="218" t="s">
        <v>257</v>
      </c>
    </row>
    <row r="118" spans="1:8" x14ac:dyDescent="0.3">
      <c r="A118" s="128" t="s">
        <v>230</v>
      </c>
      <c r="B118" s="123" t="str">
        <f>B5</f>
        <v>Chicken - دجاج</v>
      </c>
      <c r="C118" s="123" t="str">
        <f t="shared" ref="C118:D118" si="26">C5</f>
        <v>gm</v>
      </c>
      <c r="D118" s="123">
        <f t="shared" si="26"/>
        <v>2311.5254237288136</v>
      </c>
      <c r="E118" s="197">
        <f>$H$55</f>
        <v>0.63239590736290552</v>
      </c>
      <c r="F118" s="299">
        <f>F5</f>
        <v>1</v>
      </c>
      <c r="G118" s="119">
        <f t="shared" ref="G118:G137" si="27">D118*E118</f>
        <v>1461.7992177314077</v>
      </c>
      <c r="H118" s="207">
        <f t="shared" ref="H118:H137" si="28">G118*F118</f>
        <v>1461.7992177314077</v>
      </c>
    </row>
    <row r="119" spans="1:8" x14ac:dyDescent="0.3">
      <c r="A119" s="128" t="s">
        <v>13</v>
      </c>
      <c r="B119" s="123" t="str">
        <f t="shared" ref="B119:D119" si="29">B6</f>
        <v>Onion - بصل</v>
      </c>
      <c r="C119" s="123" t="str">
        <f t="shared" si="29"/>
        <v>gm</v>
      </c>
      <c r="D119" s="123">
        <f t="shared" si="29"/>
        <v>200</v>
      </c>
      <c r="E119" s="197">
        <f>$C$55</f>
        <v>0.64782836211408679</v>
      </c>
      <c r="F119" s="299">
        <f t="shared" ref="F119:F137" si="30">F6</f>
        <v>0.95</v>
      </c>
      <c r="G119" s="119">
        <f t="shared" si="27"/>
        <v>129.56567242281736</v>
      </c>
      <c r="H119" s="207">
        <f t="shared" si="28"/>
        <v>123.08738880167648</v>
      </c>
    </row>
    <row r="120" spans="1:8" x14ac:dyDescent="0.3">
      <c r="A120" s="128" t="s">
        <v>13</v>
      </c>
      <c r="B120" s="123" t="str">
        <f t="shared" ref="B120:D120" si="31">B7</f>
        <v>Tomato - طماطم</v>
      </c>
      <c r="C120" s="123" t="str">
        <f t="shared" si="31"/>
        <v>gm</v>
      </c>
      <c r="D120" s="123">
        <f t="shared" si="31"/>
        <v>450</v>
      </c>
      <c r="E120" s="197">
        <f t="shared" ref="E120:E137" si="32">$C$55</f>
        <v>0.64782836211408679</v>
      </c>
      <c r="F120" s="299">
        <f t="shared" si="30"/>
        <v>1</v>
      </c>
      <c r="G120" s="119">
        <f t="shared" si="27"/>
        <v>291.52276295133908</v>
      </c>
      <c r="H120" s="207">
        <f t="shared" si="28"/>
        <v>291.52276295133908</v>
      </c>
    </row>
    <row r="121" spans="1:8" x14ac:dyDescent="0.3">
      <c r="A121" s="128" t="s">
        <v>57</v>
      </c>
      <c r="B121" s="123" t="str">
        <f t="shared" ref="B121:D121" si="33">B8</f>
        <v>Ginger - زنجبيل</v>
      </c>
      <c r="C121" s="123" t="str">
        <f t="shared" si="33"/>
        <v>gm</v>
      </c>
      <c r="D121" s="123">
        <f t="shared" si="33"/>
        <v>20</v>
      </c>
      <c r="E121" s="197">
        <f t="shared" si="32"/>
        <v>0.64782836211408679</v>
      </c>
      <c r="F121" s="299">
        <f t="shared" si="30"/>
        <v>0.9</v>
      </c>
      <c r="G121" s="119">
        <f t="shared" si="27"/>
        <v>12.956567242281736</v>
      </c>
      <c r="H121" s="207">
        <f t="shared" si="28"/>
        <v>11.660910518053562</v>
      </c>
    </row>
    <row r="122" spans="1:8" x14ac:dyDescent="0.3">
      <c r="A122" s="128" t="s">
        <v>13</v>
      </c>
      <c r="B122" s="123" t="str">
        <f t="shared" ref="B122:D122" si="34">B9</f>
        <v>Garlic - ثوم مقشر</v>
      </c>
      <c r="C122" s="123" t="str">
        <f t="shared" si="34"/>
        <v>gm</v>
      </c>
      <c r="D122" s="123">
        <f t="shared" si="34"/>
        <v>20</v>
      </c>
      <c r="E122" s="197">
        <f t="shared" si="32"/>
        <v>0.64782836211408679</v>
      </c>
      <c r="F122" s="299">
        <f t="shared" si="30"/>
        <v>0.9</v>
      </c>
      <c r="G122" s="119">
        <f t="shared" si="27"/>
        <v>12.956567242281736</v>
      </c>
      <c r="H122" s="207">
        <f t="shared" si="28"/>
        <v>11.660910518053562</v>
      </c>
    </row>
    <row r="123" spans="1:8" x14ac:dyDescent="0.3">
      <c r="A123" s="128" t="s">
        <v>13</v>
      </c>
      <c r="B123" s="123" t="str">
        <f t="shared" ref="B123:D123" si="35">B10</f>
        <v>Green Chilli Pepper - فلفل أخضر حار</v>
      </c>
      <c r="C123" s="123" t="str">
        <f t="shared" si="35"/>
        <v>gm</v>
      </c>
      <c r="D123" s="123">
        <f t="shared" si="35"/>
        <v>10</v>
      </c>
      <c r="E123" s="197">
        <f t="shared" si="32"/>
        <v>0.64782836211408679</v>
      </c>
      <c r="F123" s="299">
        <f t="shared" si="30"/>
        <v>0.75</v>
      </c>
      <c r="G123" s="119">
        <f t="shared" si="27"/>
        <v>6.4782836211408679</v>
      </c>
      <c r="H123" s="207">
        <f t="shared" si="28"/>
        <v>4.8587127158556509</v>
      </c>
    </row>
    <row r="124" spans="1:8" x14ac:dyDescent="0.3">
      <c r="A124" s="128" t="s">
        <v>183</v>
      </c>
      <c r="B124" s="123" t="str">
        <f t="shared" ref="B124:D124" si="36">B11</f>
        <v>Cashew Nut - كاجو</v>
      </c>
      <c r="C124" s="123" t="str">
        <f t="shared" si="36"/>
        <v>gm</v>
      </c>
      <c r="D124" s="123">
        <f t="shared" si="36"/>
        <v>25</v>
      </c>
      <c r="E124" s="197">
        <f t="shared" si="32"/>
        <v>0.64782836211408679</v>
      </c>
      <c r="F124" s="299">
        <f t="shared" si="30"/>
        <v>1</v>
      </c>
      <c r="G124" s="119">
        <f t="shared" si="27"/>
        <v>16.19570905285217</v>
      </c>
      <c r="H124" s="207">
        <f t="shared" si="28"/>
        <v>16.19570905285217</v>
      </c>
    </row>
    <row r="125" spans="1:8" x14ac:dyDescent="0.3">
      <c r="A125" s="128" t="s">
        <v>97</v>
      </c>
      <c r="B125" s="123" t="str">
        <f t="shared" ref="B125:D125" si="37">B12</f>
        <v>Red Chilli Powder - شطة حمراء مطحونة</v>
      </c>
      <c r="C125" s="123" t="str">
        <f t="shared" si="37"/>
        <v>gm</v>
      </c>
      <c r="D125" s="123">
        <f t="shared" si="37"/>
        <v>3</v>
      </c>
      <c r="E125" s="197">
        <f t="shared" si="32"/>
        <v>0.64782836211408679</v>
      </c>
      <c r="F125" s="299">
        <f t="shared" si="30"/>
        <v>0.9</v>
      </c>
      <c r="G125" s="119">
        <f t="shared" si="27"/>
        <v>1.9434850863422604</v>
      </c>
      <c r="H125" s="207">
        <f t="shared" si="28"/>
        <v>1.7491365777080343</v>
      </c>
    </row>
    <row r="126" spans="1:8" x14ac:dyDescent="0.3">
      <c r="A126" s="128" t="s">
        <v>158</v>
      </c>
      <c r="B126" s="123" t="str">
        <f t="shared" ref="B126:D126" si="38">B13</f>
        <v>Yogurt - زبادي</v>
      </c>
      <c r="C126" s="123" t="str">
        <f t="shared" si="38"/>
        <v>gm</v>
      </c>
      <c r="D126" s="123">
        <f t="shared" si="38"/>
        <v>300</v>
      </c>
      <c r="E126" s="197">
        <f t="shared" si="32"/>
        <v>0.64782836211408679</v>
      </c>
      <c r="F126" s="299">
        <f t="shared" si="30"/>
        <v>0.75</v>
      </c>
      <c r="G126" s="119">
        <f t="shared" si="27"/>
        <v>194.34850863422605</v>
      </c>
      <c r="H126" s="207">
        <f t="shared" si="28"/>
        <v>145.76138147566954</v>
      </c>
    </row>
    <row r="127" spans="1:8" x14ac:dyDescent="0.3">
      <c r="A127" s="128" t="s">
        <v>97</v>
      </c>
      <c r="B127" s="123" t="str">
        <f t="shared" ref="B127:D127" si="39">B14</f>
        <v>Curry Powder - كاري بودرة</v>
      </c>
      <c r="C127" s="123" t="str">
        <f t="shared" si="39"/>
        <v>gm</v>
      </c>
      <c r="D127" s="123">
        <f t="shared" si="39"/>
        <v>10</v>
      </c>
      <c r="E127" s="197">
        <f t="shared" si="32"/>
        <v>0.64782836211408679</v>
      </c>
      <c r="F127" s="299">
        <f t="shared" si="30"/>
        <v>0.75</v>
      </c>
      <c r="G127" s="119">
        <f t="shared" si="27"/>
        <v>6.4782836211408679</v>
      </c>
      <c r="H127" s="207">
        <f t="shared" si="28"/>
        <v>4.8587127158556509</v>
      </c>
    </row>
    <row r="128" spans="1:8" x14ac:dyDescent="0.3">
      <c r="A128" s="128" t="s">
        <v>97</v>
      </c>
      <c r="B128" s="123" t="str">
        <f t="shared" ref="B128:D128" si="40">B15</f>
        <v>Cumin Powder - كمون مطحون</v>
      </c>
      <c r="C128" s="123" t="str">
        <f t="shared" si="40"/>
        <v>gm</v>
      </c>
      <c r="D128" s="123">
        <f t="shared" si="40"/>
        <v>10</v>
      </c>
      <c r="E128" s="197">
        <f t="shared" si="32"/>
        <v>0.64782836211408679</v>
      </c>
      <c r="F128" s="299">
        <f t="shared" si="30"/>
        <v>0.75</v>
      </c>
      <c r="G128" s="119">
        <f t="shared" si="27"/>
        <v>6.4782836211408679</v>
      </c>
      <c r="H128" s="207">
        <f t="shared" si="28"/>
        <v>4.8587127158556509</v>
      </c>
    </row>
    <row r="129" spans="1:8" x14ac:dyDescent="0.3">
      <c r="A129" s="128" t="s">
        <v>97</v>
      </c>
      <c r="B129" s="123" t="str">
        <f t="shared" ref="B129:D129" si="41">B16</f>
        <v>Coriander Powder - كزبرة مطحونة</v>
      </c>
      <c r="C129" s="123" t="str">
        <f t="shared" si="41"/>
        <v>gm</v>
      </c>
      <c r="D129" s="123">
        <f t="shared" si="41"/>
        <v>10</v>
      </c>
      <c r="E129" s="197">
        <f t="shared" si="32"/>
        <v>0.64782836211408679</v>
      </c>
      <c r="F129" s="299">
        <f t="shared" si="30"/>
        <v>0.75</v>
      </c>
      <c r="G129" s="119">
        <f t="shared" si="27"/>
        <v>6.4782836211408679</v>
      </c>
      <c r="H129" s="207">
        <f t="shared" si="28"/>
        <v>4.8587127158556509</v>
      </c>
    </row>
    <row r="130" spans="1:8" x14ac:dyDescent="0.3">
      <c r="A130" s="128" t="s">
        <v>63</v>
      </c>
      <c r="B130" s="123" t="str">
        <f t="shared" ref="B130:D130" si="42">B17</f>
        <v>Coriander Leaves - كزبرة خضراء</v>
      </c>
      <c r="C130" s="123" t="str">
        <f t="shared" si="42"/>
        <v>gm</v>
      </c>
      <c r="D130" s="123">
        <f t="shared" si="42"/>
        <v>5</v>
      </c>
      <c r="E130" s="197">
        <f t="shared" si="32"/>
        <v>0.64782836211408679</v>
      </c>
      <c r="F130" s="299">
        <f t="shared" si="30"/>
        <v>1</v>
      </c>
      <c r="G130" s="119">
        <f t="shared" si="27"/>
        <v>3.2391418105704339</v>
      </c>
      <c r="H130" s="207">
        <f t="shared" si="28"/>
        <v>3.2391418105704339</v>
      </c>
    </row>
    <row r="131" spans="1:8" x14ac:dyDescent="0.3">
      <c r="A131" s="128" t="s">
        <v>220</v>
      </c>
      <c r="B131" s="123" t="str">
        <f t="shared" ref="B131:D131" si="43">B18</f>
        <v>لون صفار زعفران بودر - Saffron yellow color powder</v>
      </c>
      <c r="C131" s="123" t="str">
        <f t="shared" si="43"/>
        <v>gm</v>
      </c>
      <c r="D131" s="123">
        <f t="shared" si="43"/>
        <v>2</v>
      </c>
      <c r="E131" s="197">
        <f t="shared" si="32"/>
        <v>0.64782836211408679</v>
      </c>
      <c r="F131" s="299">
        <f t="shared" si="30"/>
        <v>0.9</v>
      </c>
      <c r="G131" s="119">
        <f t="shared" si="27"/>
        <v>1.2956567242281736</v>
      </c>
      <c r="H131" s="207">
        <f t="shared" si="28"/>
        <v>1.1660910518053562</v>
      </c>
    </row>
    <row r="132" spans="1:8" x14ac:dyDescent="0.3">
      <c r="A132" s="128" t="s">
        <v>220</v>
      </c>
      <c r="B132" s="123" t="str">
        <f t="shared" ref="B132:D132" si="44">B19</f>
        <v>Orange Color - لون برتقالي</v>
      </c>
      <c r="C132" s="123" t="str">
        <f t="shared" si="44"/>
        <v>gm</v>
      </c>
      <c r="D132" s="123">
        <f t="shared" si="44"/>
        <v>1</v>
      </c>
      <c r="E132" s="197">
        <f t="shared" si="32"/>
        <v>0.64782836211408679</v>
      </c>
      <c r="F132" s="299">
        <f t="shared" si="30"/>
        <v>1</v>
      </c>
      <c r="G132" s="119">
        <f t="shared" si="27"/>
        <v>0.64782836211408679</v>
      </c>
      <c r="H132" s="207">
        <f t="shared" si="28"/>
        <v>0.64782836211408679</v>
      </c>
    </row>
    <row r="133" spans="1:8" x14ac:dyDescent="0.3">
      <c r="A133" s="128" t="s">
        <v>220</v>
      </c>
      <c r="B133" s="123" t="str">
        <f t="shared" ref="B133:D133" si="45">B20</f>
        <v>Charcoal - فحم</v>
      </c>
      <c r="C133" s="123" t="str">
        <f t="shared" si="45"/>
        <v>gm</v>
      </c>
      <c r="D133" s="123">
        <f t="shared" si="45"/>
        <v>10</v>
      </c>
      <c r="E133" s="197">
        <f t="shared" si="32"/>
        <v>0.64782836211408679</v>
      </c>
      <c r="F133" s="299">
        <f t="shared" si="30"/>
        <v>0.5</v>
      </c>
      <c r="G133" s="119">
        <f t="shared" si="27"/>
        <v>6.4782836211408679</v>
      </c>
      <c r="H133" s="207">
        <f t="shared" si="28"/>
        <v>3.2391418105704339</v>
      </c>
    </row>
    <row r="134" spans="1:8" x14ac:dyDescent="0.3">
      <c r="A134" s="128" t="s">
        <v>97</v>
      </c>
      <c r="B134" s="123" t="str">
        <f t="shared" ref="B134:D134" si="46">B21</f>
        <v>Salt - ملح</v>
      </c>
      <c r="C134" s="123" t="str">
        <f t="shared" si="46"/>
        <v>gm</v>
      </c>
      <c r="D134" s="123">
        <f t="shared" si="46"/>
        <v>11</v>
      </c>
      <c r="E134" s="197">
        <f t="shared" si="32"/>
        <v>0.64782836211408679</v>
      </c>
      <c r="F134" s="299">
        <f t="shared" si="30"/>
        <v>0.75</v>
      </c>
      <c r="G134" s="119">
        <f t="shared" si="27"/>
        <v>7.1261119832549547</v>
      </c>
      <c r="H134" s="207">
        <f t="shared" si="28"/>
        <v>5.344583987441216</v>
      </c>
    </row>
    <row r="135" spans="1:8" x14ac:dyDescent="0.3">
      <c r="A135" s="128" t="s">
        <v>158</v>
      </c>
      <c r="B135" s="123" t="str">
        <f t="shared" ref="B135:D135" si="47">B22</f>
        <v>Butter - زبدة</v>
      </c>
      <c r="C135" s="123" t="str">
        <f t="shared" si="47"/>
        <v>gm</v>
      </c>
      <c r="D135" s="123">
        <f t="shared" si="47"/>
        <v>40</v>
      </c>
      <c r="E135" s="197">
        <f t="shared" si="32"/>
        <v>0.64782836211408679</v>
      </c>
      <c r="F135" s="299">
        <f t="shared" si="30"/>
        <v>0.9</v>
      </c>
      <c r="G135" s="119">
        <f t="shared" si="27"/>
        <v>25.913134484563471</v>
      </c>
      <c r="H135" s="207">
        <f t="shared" si="28"/>
        <v>23.321821036107124</v>
      </c>
    </row>
    <row r="136" spans="1:8" x14ac:dyDescent="0.3">
      <c r="A136" s="128" t="s">
        <v>158</v>
      </c>
      <c r="B136" s="123" t="str">
        <f t="shared" ref="B136:D136" si="48">B23</f>
        <v>Cooking Cream - كريمة طبخ</v>
      </c>
      <c r="C136" s="123" t="str">
        <f t="shared" si="48"/>
        <v>ml</v>
      </c>
      <c r="D136" s="123">
        <f t="shared" si="48"/>
        <v>250</v>
      </c>
      <c r="E136" s="197">
        <f t="shared" si="32"/>
        <v>0.64782836211408679</v>
      </c>
      <c r="F136" s="299">
        <f t="shared" si="30"/>
        <v>1</v>
      </c>
      <c r="G136" s="119">
        <f t="shared" si="27"/>
        <v>161.95709052852169</v>
      </c>
      <c r="H136" s="207">
        <f t="shared" si="28"/>
        <v>161.95709052852169</v>
      </c>
    </row>
    <row r="137" spans="1:8" x14ac:dyDescent="0.3">
      <c r="A137" s="128" t="s">
        <v>97</v>
      </c>
      <c r="B137" s="123" t="str">
        <f t="shared" ref="B137:D137" si="49">B24</f>
        <v>Kasuri Methi - ورق حلبة مجففة</v>
      </c>
      <c r="C137" s="123" t="str">
        <f t="shared" si="49"/>
        <v>gm</v>
      </c>
      <c r="D137" s="123">
        <f t="shared" si="49"/>
        <v>2</v>
      </c>
      <c r="E137" s="197">
        <f t="shared" si="32"/>
        <v>0.64782836211408679</v>
      </c>
      <c r="F137" s="299">
        <f t="shared" si="30"/>
        <v>1</v>
      </c>
      <c r="G137" s="119">
        <f t="shared" si="27"/>
        <v>1.2956567242281736</v>
      </c>
      <c r="H137" s="207">
        <f t="shared" si="28"/>
        <v>1.2956567242281736</v>
      </c>
    </row>
    <row r="138" spans="1:8" ht="18" x14ac:dyDescent="0.3">
      <c r="A138" s="211"/>
      <c r="B138" s="198" t="s">
        <v>299</v>
      </c>
      <c r="C138" s="200" t="s">
        <v>285</v>
      </c>
      <c r="E138" s="200" t="s">
        <v>300</v>
      </c>
      <c r="G138" s="890" t="s">
        <v>276</v>
      </c>
      <c r="H138" s="890" t="s">
        <v>733</v>
      </c>
    </row>
    <row r="139" spans="1:8" ht="20" x14ac:dyDescent="0.4">
      <c r="A139" s="211"/>
      <c r="B139" s="199">
        <f>$J$55</f>
        <v>862.46153846153175</v>
      </c>
      <c r="C139" s="199">
        <f>E139+G139</f>
        <v>634.87179487180492</v>
      </c>
      <c r="D139" s="930"/>
      <c r="E139" s="199">
        <f>$D$55*$S$44</f>
        <v>259.66256410256824</v>
      </c>
      <c r="F139" s="934"/>
      <c r="G139" s="199">
        <f>$D$55*$T$44</f>
        <v>375.20923076923674</v>
      </c>
      <c r="H139" s="199">
        <f>B139+E139</f>
        <v>1122.1241025641</v>
      </c>
    </row>
  </sheetData>
  <mergeCells count="14">
    <mergeCell ref="B115:H115"/>
    <mergeCell ref="B116:H116"/>
    <mergeCell ref="AK2:AM2"/>
    <mergeCell ref="B89:H89"/>
    <mergeCell ref="L2:L3"/>
    <mergeCell ref="B2:J3"/>
    <mergeCell ref="AE2:AG3"/>
    <mergeCell ref="B88:H88"/>
    <mergeCell ref="R26:U26"/>
    <mergeCell ref="R25:U25"/>
    <mergeCell ref="B62:H62"/>
    <mergeCell ref="B63:H63"/>
    <mergeCell ref="K2:K3"/>
    <mergeCell ref="B35:F35"/>
  </mergeCells>
  <printOptions horizontalCentered="1"/>
  <pageMargins left="0.5" right="0.5" top="1" bottom="0.5" header="0.3" footer="0.511811023622047"/>
  <pageSetup paperSize="9" scale="24" orientation="portrait"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rgb="FFBF9000"/>
    <pageSetUpPr fitToPage="1"/>
  </sheetPr>
  <dimension ref="A1:AT126"/>
  <sheetViews>
    <sheetView topLeftCell="A29" zoomScale="85" zoomScaleNormal="85" workbookViewId="0">
      <selection activeCell="T28" sqref="S28:T30"/>
    </sheetView>
  </sheetViews>
  <sheetFormatPr defaultColWidth="12.5" defaultRowHeight="14" x14ac:dyDescent="0.3"/>
  <cols>
    <col min="1" max="1" width="12.5" style="1" customWidth="1"/>
    <col min="2" max="2" width="37" customWidth="1"/>
    <col min="3" max="3" width="15.4140625" customWidth="1"/>
    <col min="4" max="4" width="19" style="3" customWidth="1"/>
    <col min="5" max="5" width="16.1640625" customWidth="1"/>
    <col min="6" max="6" width="23.08203125" customWidth="1"/>
    <col min="7" max="7" width="25.1640625" customWidth="1"/>
    <col min="8" max="8" width="36.1640625" customWidth="1"/>
    <col min="9" max="9" width="15.6640625" customWidth="1"/>
    <col min="10" max="10" width="16.9140625" customWidth="1"/>
    <col min="12" max="12" width="8.33203125" customWidth="1"/>
    <col min="13" max="13" width="31.83203125" customWidth="1"/>
    <col min="18" max="18" width="32.83203125" customWidth="1"/>
    <col min="28" max="28" width="11.9140625" bestFit="1" customWidth="1"/>
    <col min="29" max="29" width="13.33203125" bestFit="1" customWidth="1"/>
    <col min="30" max="30" width="9.83203125" bestFit="1" customWidth="1"/>
    <col min="31" max="31" width="11" bestFit="1" customWidth="1"/>
    <col min="32" max="34" width="5.6640625" customWidth="1"/>
    <col min="36" max="36" width="33.5" customWidth="1"/>
  </cols>
  <sheetData>
    <row r="1" spans="1:46" ht="35.25" customHeight="1" x14ac:dyDescent="0.3">
      <c r="B1" s="80" t="s">
        <v>243</v>
      </c>
      <c r="C1" s="81">
        <v>1000</v>
      </c>
      <c r="D1" s="82" t="s">
        <v>244</v>
      </c>
      <c r="E1" s="117">
        <f>T32</f>
        <v>21156.000000000007</v>
      </c>
      <c r="F1" s="80" t="s">
        <v>245</v>
      </c>
      <c r="G1" s="121">
        <f>E1/C1</f>
        <v>21.156000000000006</v>
      </c>
      <c r="H1" s="80" t="s">
        <v>246</v>
      </c>
      <c r="I1" s="282">
        <f>(G1/K1)</f>
        <v>21.817125000000004</v>
      </c>
      <c r="J1" s="86" t="s">
        <v>247</v>
      </c>
      <c r="K1" s="434">
        <f>0.96/0.99</f>
        <v>0.96969696969696972</v>
      </c>
      <c r="L1" s="100"/>
      <c r="M1" s="89"/>
      <c r="N1" s="90"/>
      <c r="O1" s="91" t="s">
        <v>248</v>
      </c>
      <c r="P1" s="92" t="s">
        <v>311</v>
      </c>
      <c r="Q1" s="93" t="s">
        <v>250</v>
      </c>
      <c r="R1" s="92">
        <v>0.57999999999999996</v>
      </c>
      <c r="Y1" s="91" t="s">
        <v>479</v>
      </c>
      <c r="Z1" s="847">
        <v>33040</v>
      </c>
      <c r="AA1" s="91" t="s">
        <v>600</v>
      </c>
      <c r="AB1" s="1250">
        <v>500</v>
      </c>
      <c r="AC1" s="91" t="s">
        <v>587</v>
      </c>
      <c r="AD1" s="847">
        <v>224</v>
      </c>
      <c r="AE1" s="250"/>
      <c r="AF1" s="252"/>
      <c r="AG1" s="92"/>
      <c r="AI1" s="1"/>
      <c r="AJ1" s="110" t="s">
        <v>262</v>
      </c>
      <c r="AK1" s="94">
        <v>10000</v>
      </c>
      <c r="AL1" s="628" t="s">
        <v>522</v>
      </c>
      <c r="AM1" s="629">
        <f>$S$32</f>
        <v>25799.999999999993</v>
      </c>
      <c r="AN1" s="94" t="s">
        <v>251</v>
      </c>
      <c r="AO1" s="96">
        <f>($S$32/$R$1)/$AK$1</f>
        <v>4.4482758620689644</v>
      </c>
      <c r="AP1" s="95"/>
    </row>
    <row r="2" spans="1:46" ht="12.75" customHeight="1" x14ac:dyDescent="0.3">
      <c r="A2" s="265"/>
      <c r="B2" s="1387" t="s">
        <v>397</v>
      </c>
      <c r="C2" s="1422"/>
      <c r="D2" s="1396"/>
      <c r="E2" s="1422"/>
      <c r="F2" s="1422"/>
      <c r="G2" s="1422"/>
      <c r="H2" s="1422"/>
      <c r="I2" s="1422"/>
      <c r="J2" s="1422"/>
      <c r="K2" s="1422"/>
      <c r="L2" s="293"/>
      <c r="M2" s="100"/>
      <c r="N2" s="100"/>
      <c r="O2" s="100"/>
      <c r="P2" s="100"/>
      <c r="Q2" s="100"/>
      <c r="R2" s="100"/>
      <c r="AC2" s="99"/>
      <c r="AD2" s="99"/>
      <c r="AE2" s="1391"/>
      <c r="AF2" s="1422"/>
      <c r="AG2" s="1422"/>
      <c r="AI2" s="1"/>
      <c r="AJ2" s="101"/>
      <c r="AK2" s="1386" t="s">
        <v>397</v>
      </c>
      <c r="AL2" s="1386"/>
      <c r="AM2" s="1386"/>
      <c r="AN2" s="102"/>
      <c r="AO2" s="101"/>
      <c r="AP2" s="101"/>
    </row>
    <row r="3" spans="1:46" ht="12.75" customHeight="1" x14ac:dyDescent="0.3">
      <c r="A3" s="435"/>
      <c r="B3" s="1388"/>
      <c r="C3" s="1388"/>
      <c r="D3" s="1388"/>
      <c r="E3" s="1388"/>
      <c r="F3" s="1388"/>
      <c r="G3" s="1388"/>
      <c r="H3" s="1388"/>
      <c r="I3" s="1388"/>
      <c r="J3" s="1388"/>
      <c r="K3" s="1388"/>
      <c r="L3" s="293"/>
      <c r="M3" s="100"/>
      <c r="N3" s="100"/>
      <c r="O3" s="100"/>
      <c r="P3" s="100"/>
      <c r="Q3" s="100"/>
      <c r="R3" s="100"/>
      <c r="AC3" s="99"/>
      <c r="AD3" s="99"/>
      <c r="AE3" s="1422"/>
      <c r="AF3" s="1422"/>
      <c r="AG3" s="1422"/>
      <c r="AI3" s="1"/>
      <c r="AJ3" s="373"/>
      <c r="AK3" s="104"/>
      <c r="AL3" s="105"/>
      <c r="AM3" s="105"/>
      <c r="AN3" s="105"/>
      <c r="AO3" s="104"/>
      <c r="AP3" s="104"/>
    </row>
    <row r="4" spans="1:46" ht="69" customHeight="1" x14ac:dyDescent="0.3">
      <c r="A4" s="91" t="s">
        <v>1</v>
      </c>
      <c r="B4" s="416" t="s">
        <v>253</v>
      </c>
      <c r="C4" s="107" t="s">
        <v>254</v>
      </c>
      <c r="D4" s="91" t="s">
        <v>243</v>
      </c>
      <c r="E4" s="218" t="s">
        <v>246</v>
      </c>
      <c r="F4" s="108" t="s">
        <v>255</v>
      </c>
      <c r="G4" s="91" t="s">
        <v>256</v>
      </c>
      <c r="H4" s="107" t="s">
        <v>347</v>
      </c>
      <c r="I4" s="91" t="s">
        <v>258</v>
      </c>
      <c r="J4" s="91" t="s">
        <v>259</v>
      </c>
      <c r="K4" s="91" t="s">
        <v>260</v>
      </c>
      <c r="L4" s="91" t="s">
        <v>261</v>
      </c>
      <c r="M4" s="100"/>
      <c r="N4" s="100"/>
      <c r="O4" s="100"/>
      <c r="P4" s="100"/>
      <c r="AA4" s="251"/>
      <c r="AB4" s="253"/>
      <c r="AC4" s="251"/>
      <c r="AD4" s="251"/>
      <c r="AE4" s="251"/>
      <c r="AI4" s="1"/>
      <c r="AJ4" s="110" t="s">
        <v>253</v>
      </c>
      <c r="AK4" s="111" t="s">
        <v>254</v>
      </c>
      <c r="AL4" s="110" t="s">
        <v>262</v>
      </c>
      <c r="AM4" s="110" t="s">
        <v>246</v>
      </c>
      <c r="AN4" s="110" t="s">
        <v>255</v>
      </c>
      <c r="AO4" s="110" t="s">
        <v>256</v>
      </c>
      <c r="AP4" s="112" t="s">
        <v>257</v>
      </c>
      <c r="AQ4" s="91" t="s">
        <v>258</v>
      </c>
      <c r="AR4" s="91" t="s">
        <v>259</v>
      </c>
      <c r="AS4" s="91" t="s">
        <v>260</v>
      </c>
      <c r="AT4" s="91" t="s">
        <v>261</v>
      </c>
    </row>
    <row r="5" spans="1:46" ht="15.75" customHeight="1" x14ac:dyDescent="0.3">
      <c r="A5" s="266" t="s">
        <v>230</v>
      </c>
      <c r="B5" s="267" t="s">
        <v>237</v>
      </c>
      <c r="C5" s="115" t="s">
        <v>14</v>
      </c>
      <c r="D5" s="121">
        <f>I51/10</f>
        <v>2095.5172413793107</v>
      </c>
      <c r="E5" s="117">
        <f>H52</f>
        <v>21.227579397729134</v>
      </c>
      <c r="F5" s="127">
        <v>1</v>
      </c>
      <c r="G5" s="119">
        <f t="shared" ref="G5:G19" si="0">D5*E5</f>
        <v>44482.758620689645</v>
      </c>
      <c r="H5" s="120">
        <f t="shared" ref="H5:H19" si="1">G5*F5</f>
        <v>44482.758620689645</v>
      </c>
      <c r="I5" s="81">
        <f>VLOOKUP(B5,All_Ingredients!$A$1:$F$151,6,FALSE())</f>
        <v>0.99</v>
      </c>
      <c r="J5" s="119">
        <f>VLOOKUP(B5,All_Ingredients!$A$1:$J$151,10,FALSE())</f>
        <v>0</v>
      </c>
      <c r="K5" s="122">
        <f t="shared" ref="K5" si="2">(H5/I5)/1000</f>
        <v>44.932079414838022</v>
      </c>
      <c r="L5" s="122">
        <f t="shared" ref="L5" si="3">K5*J5</f>
        <v>0</v>
      </c>
      <c r="M5" s="100"/>
      <c r="N5" s="100"/>
      <c r="O5" s="100"/>
      <c r="P5" s="100"/>
      <c r="AA5" s="92"/>
      <c r="AB5" s="133"/>
      <c r="AC5" s="254"/>
      <c r="AD5" s="135"/>
      <c r="AE5" s="136"/>
      <c r="AI5" s="1"/>
      <c r="AJ5" s="267" t="s">
        <v>237</v>
      </c>
      <c r="AK5" s="124" t="s">
        <v>238</v>
      </c>
      <c r="AL5" s="125">
        <v>10</v>
      </c>
      <c r="AM5" s="223">
        <f t="shared" ref="AM5:AM13" si="4">$AO$1</f>
        <v>4.4482758620689644</v>
      </c>
      <c r="AN5" s="127">
        <v>1</v>
      </c>
      <c r="AO5" s="119">
        <f t="shared" ref="AO5:AO13" si="5">AL5*AM5</f>
        <v>44.482758620689644</v>
      </c>
      <c r="AP5" s="120">
        <f t="shared" ref="AP5:AP13" si="6">AO5*AN5</f>
        <v>44.482758620689644</v>
      </c>
      <c r="AQ5" s="295"/>
      <c r="AR5" s="1171"/>
      <c r="AS5" s="175"/>
      <c r="AT5" s="1172"/>
    </row>
    <row r="6" spans="1:46" ht="14.25" customHeight="1" x14ac:dyDescent="0.3">
      <c r="A6" s="270" t="s">
        <v>13</v>
      </c>
      <c r="B6" s="222" t="s">
        <v>12</v>
      </c>
      <c r="C6" s="124" t="s">
        <v>14</v>
      </c>
      <c r="D6" s="125">
        <v>200</v>
      </c>
      <c r="E6" s="223">
        <f t="shared" ref="E6:E19" si="7">$I$1</f>
        <v>21.817125000000004</v>
      </c>
      <c r="F6" s="127">
        <v>1</v>
      </c>
      <c r="G6" s="119">
        <f t="shared" si="0"/>
        <v>4363.4250000000011</v>
      </c>
      <c r="H6" s="120">
        <f t="shared" si="1"/>
        <v>4363.4250000000011</v>
      </c>
      <c r="I6" s="81">
        <f>VLOOKUP(B6,All_Ingredients!$A$1:$F$151,6,FALSE())</f>
        <v>0.9</v>
      </c>
      <c r="J6" s="119">
        <f>VLOOKUP(B6,All_Ingredients!$A$1:$J$151,10,FALSE())</f>
        <v>3</v>
      </c>
      <c r="K6" s="122">
        <f t="shared" ref="K6:K19" si="8">(H6/I6)/1000</f>
        <v>4.8482500000000011</v>
      </c>
      <c r="L6" s="122">
        <f t="shared" ref="L6:L19" si="9">K6*J6</f>
        <v>14.544750000000004</v>
      </c>
      <c r="AI6" s="1" t="s">
        <v>97</v>
      </c>
      <c r="AJ6" s="294" t="s">
        <v>149</v>
      </c>
      <c r="AK6" s="124" t="s">
        <v>14</v>
      </c>
      <c r="AL6" s="125">
        <v>50</v>
      </c>
      <c r="AM6" s="223">
        <f t="shared" si="4"/>
        <v>4.4482758620689644</v>
      </c>
      <c r="AN6" s="127">
        <v>1</v>
      </c>
      <c r="AO6" s="119">
        <f t="shared" si="5"/>
        <v>222.41379310344823</v>
      </c>
      <c r="AP6" s="120">
        <f t="shared" si="6"/>
        <v>222.41379310344823</v>
      </c>
      <c r="AQ6" s="1172">
        <f>VLOOKUP(AJ6,Marination_Ordering!$A:$J,6,FALSE)</f>
        <v>1</v>
      </c>
      <c r="AR6" s="1172">
        <f>VLOOKUP(AJ6,Marination_Ordering!$A:$J,10,FALSE)</f>
        <v>18</v>
      </c>
      <c r="AS6" s="175">
        <f>AP6/AQ6</f>
        <v>222.41379310344823</v>
      </c>
      <c r="AT6" s="1172">
        <f>AR6*(AS6/1000)</f>
        <v>4.003448275862068</v>
      </c>
    </row>
    <row r="7" spans="1:46" ht="14.25" customHeight="1" x14ac:dyDescent="0.3">
      <c r="A7" s="270" t="s">
        <v>13</v>
      </c>
      <c r="B7" s="222" t="s">
        <v>792</v>
      </c>
      <c r="C7" s="124" t="s">
        <v>14</v>
      </c>
      <c r="D7" s="125">
        <v>25</v>
      </c>
      <c r="E7" s="223">
        <f t="shared" si="7"/>
        <v>21.817125000000004</v>
      </c>
      <c r="F7" s="127">
        <v>1</v>
      </c>
      <c r="G7" s="119">
        <f t="shared" si="0"/>
        <v>545.42812500000014</v>
      </c>
      <c r="H7" s="120">
        <f t="shared" si="1"/>
        <v>545.42812500000014</v>
      </c>
      <c r="I7" s="81">
        <f>VLOOKUP(B7,All_Ingredients!$A$1:$F$151,6,FALSE())</f>
        <v>1</v>
      </c>
      <c r="J7" s="119">
        <f>VLOOKUP(B7,All_Ingredients!$A$1:$J$151,10,FALSE())</f>
        <v>10.5</v>
      </c>
      <c r="K7" s="122">
        <f t="shared" si="8"/>
        <v>0.54542812500000015</v>
      </c>
      <c r="L7" s="122">
        <f t="shared" si="9"/>
        <v>5.7269953125000015</v>
      </c>
      <c r="AI7" s="1" t="s">
        <v>97</v>
      </c>
      <c r="AJ7" s="294" t="s">
        <v>154</v>
      </c>
      <c r="AK7" s="124" t="s">
        <v>14</v>
      </c>
      <c r="AL7" s="125">
        <v>50</v>
      </c>
      <c r="AM7" s="223">
        <f t="shared" si="4"/>
        <v>4.4482758620689644</v>
      </c>
      <c r="AN7" s="127">
        <v>1</v>
      </c>
      <c r="AO7" s="119">
        <f t="shared" si="5"/>
        <v>222.41379310344823</v>
      </c>
      <c r="AP7" s="120">
        <f t="shared" si="6"/>
        <v>222.41379310344823</v>
      </c>
      <c r="AQ7" s="1172">
        <f>VLOOKUP(AJ7,Marination_Ordering!$A:$J,6,FALSE)</f>
        <v>1</v>
      </c>
      <c r="AR7" s="1172">
        <f>VLOOKUP(AJ7,Marination_Ordering!$A:$J,10,FALSE)</f>
        <v>10</v>
      </c>
      <c r="AS7" s="175">
        <f t="shared" ref="AS7:AS8" si="10">AP7/AQ7</f>
        <v>222.41379310344823</v>
      </c>
      <c r="AT7" s="1172">
        <f t="shared" ref="AT7:AT8" si="11">AR7*(AS7/1000)</f>
        <v>2.2241379310344822</v>
      </c>
    </row>
    <row r="8" spans="1:46" ht="14.25" customHeight="1" x14ac:dyDescent="0.3">
      <c r="A8" s="270" t="s">
        <v>13</v>
      </c>
      <c r="B8" s="222" t="s">
        <v>17</v>
      </c>
      <c r="C8" s="124" t="s">
        <v>14</v>
      </c>
      <c r="D8" s="125">
        <v>200</v>
      </c>
      <c r="E8" s="223">
        <f t="shared" si="7"/>
        <v>21.817125000000004</v>
      </c>
      <c r="F8" s="127">
        <v>1</v>
      </c>
      <c r="G8" s="119">
        <f t="shared" si="0"/>
        <v>4363.4250000000011</v>
      </c>
      <c r="H8" s="120">
        <f t="shared" si="1"/>
        <v>4363.4250000000011</v>
      </c>
      <c r="I8" s="81">
        <f>VLOOKUP(B8,All_Ingredients!$A$1:$F$151,6,FALSE())</f>
        <v>0.98</v>
      </c>
      <c r="J8" s="119">
        <f>VLOOKUP(B8,All_Ingredients!$A$1:$J$151,10,FALSE())</f>
        <v>3.5</v>
      </c>
      <c r="K8" s="122">
        <f t="shared" si="8"/>
        <v>4.4524744897959199</v>
      </c>
      <c r="L8" s="122">
        <f t="shared" si="9"/>
        <v>15.58366071428572</v>
      </c>
      <c r="AI8" s="1" t="s">
        <v>97</v>
      </c>
      <c r="AJ8" s="294" t="s">
        <v>108</v>
      </c>
      <c r="AK8" s="124" t="s">
        <v>14</v>
      </c>
      <c r="AL8" s="125">
        <v>50</v>
      </c>
      <c r="AM8" s="223">
        <f t="shared" si="4"/>
        <v>4.4482758620689644</v>
      </c>
      <c r="AN8" s="127">
        <v>1</v>
      </c>
      <c r="AO8" s="119">
        <f t="shared" si="5"/>
        <v>222.41379310344823</v>
      </c>
      <c r="AP8" s="120">
        <f t="shared" si="6"/>
        <v>222.41379310344823</v>
      </c>
      <c r="AQ8" s="1172">
        <f>VLOOKUP(AJ8,Marination_Ordering!$A:$J,6,FALSE)</f>
        <v>1</v>
      </c>
      <c r="AR8" s="1172">
        <f>VLOOKUP(AJ8,Marination_Ordering!$A:$J,10,FALSE)</f>
        <v>15</v>
      </c>
      <c r="AS8" s="175">
        <f t="shared" si="10"/>
        <v>222.41379310344823</v>
      </c>
      <c r="AT8" s="1172">
        <f t="shared" si="11"/>
        <v>3.3362068965517233</v>
      </c>
    </row>
    <row r="9" spans="1:46" ht="14.25" customHeight="1" x14ac:dyDescent="0.3">
      <c r="A9" s="270" t="s">
        <v>196</v>
      </c>
      <c r="B9" s="222" t="s">
        <v>761</v>
      </c>
      <c r="C9" s="124" t="s">
        <v>14</v>
      </c>
      <c r="D9" s="125">
        <v>240</v>
      </c>
      <c r="E9" s="223">
        <f t="shared" si="7"/>
        <v>21.817125000000004</v>
      </c>
      <c r="F9" s="127">
        <v>1</v>
      </c>
      <c r="G9" s="119">
        <f t="shared" si="0"/>
        <v>5236.1100000000006</v>
      </c>
      <c r="H9" s="120">
        <f t="shared" si="1"/>
        <v>5236.1100000000006</v>
      </c>
      <c r="I9" s="81">
        <f>VLOOKUP(B9,All_Ingredients!$A$1:$F$151,6,FALSE())</f>
        <v>1</v>
      </c>
      <c r="J9" s="119">
        <f>VLOOKUP(B9,All_Ingredients!$A$1:$J$151,10,FALSE())</f>
        <v>8.1520833333333336</v>
      </c>
      <c r="K9" s="122">
        <f t="shared" si="8"/>
        <v>5.2361100000000009</v>
      </c>
      <c r="L9" s="122">
        <f t="shared" si="9"/>
        <v>42.68520506250001</v>
      </c>
      <c r="AI9" s="1" t="s">
        <v>97</v>
      </c>
      <c r="AJ9" s="436" t="s">
        <v>790</v>
      </c>
      <c r="AK9" s="124" t="s">
        <v>14</v>
      </c>
      <c r="AL9" s="125">
        <v>100</v>
      </c>
      <c r="AM9" s="223">
        <f t="shared" si="4"/>
        <v>4.4482758620689644</v>
      </c>
      <c r="AN9" s="127">
        <v>1</v>
      </c>
      <c r="AO9" s="119">
        <f t="shared" si="5"/>
        <v>444.82758620689646</v>
      </c>
      <c r="AP9" s="120">
        <f t="shared" si="6"/>
        <v>444.82758620689646</v>
      </c>
      <c r="AQ9" s="1172">
        <f>VLOOKUP(AJ9,Marination_Ordering!$A:$J,6,FALSE)</f>
        <v>1</v>
      </c>
      <c r="AR9" s="1172">
        <f>VLOOKUP(AJ9,Marination_Ordering!$A:$J,10,FALSE)</f>
        <v>43.333333333333336</v>
      </c>
      <c r="AS9" s="175">
        <f t="shared" ref="AS9:AS13" si="12">AP9/AQ9</f>
        <v>444.82758620689646</v>
      </c>
      <c r="AT9" s="1172">
        <f t="shared" ref="AT9:AT13" si="13">AR9*(AS9/1000)</f>
        <v>19.275862068965512</v>
      </c>
    </row>
    <row r="10" spans="1:46" ht="14.25" customHeight="1" x14ac:dyDescent="0.3">
      <c r="A10" s="270" t="s">
        <v>97</v>
      </c>
      <c r="B10" s="222" t="s">
        <v>144</v>
      </c>
      <c r="C10" s="124" t="s">
        <v>14</v>
      </c>
      <c r="D10" s="125">
        <v>6</v>
      </c>
      <c r="E10" s="223">
        <f t="shared" si="7"/>
        <v>21.817125000000004</v>
      </c>
      <c r="F10" s="127">
        <v>0.75</v>
      </c>
      <c r="G10" s="119">
        <f t="shared" si="0"/>
        <v>130.90275000000003</v>
      </c>
      <c r="H10" s="120">
        <f t="shared" si="1"/>
        <v>98.177062500000019</v>
      </c>
      <c r="I10" s="81">
        <f>VLOOKUP(B10,All_Ingredients!$A$1:$F$151,6,FALSE())</f>
        <v>1</v>
      </c>
      <c r="J10" s="119">
        <f>VLOOKUP(B10,All_Ingredients!$A$1:$J$151,10,FALSE())</f>
        <v>15.277777777777779</v>
      </c>
      <c r="K10" s="122">
        <f t="shared" si="8"/>
        <v>9.8177062500000023E-2</v>
      </c>
      <c r="L10" s="122">
        <f t="shared" si="9"/>
        <v>1.4999273437500005</v>
      </c>
      <c r="AI10" s="1" t="s">
        <v>97</v>
      </c>
      <c r="AJ10" s="294" t="s">
        <v>96</v>
      </c>
      <c r="AK10" s="124" t="s">
        <v>14</v>
      </c>
      <c r="AL10" s="125">
        <v>25</v>
      </c>
      <c r="AM10" s="223">
        <f t="shared" si="4"/>
        <v>4.4482758620689644</v>
      </c>
      <c r="AN10" s="127">
        <v>1</v>
      </c>
      <c r="AO10" s="119">
        <f t="shared" si="5"/>
        <v>111.20689655172411</v>
      </c>
      <c r="AP10" s="120">
        <f t="shared" si="6"/>
        <v>111.20689655172411</v>
      </c>
      <c r="AQ10" s="1172">
        <f>VLOOKUP(AJ10,Marination_Ordering!$A:$J,6,FALSE)</f>
        <v>1</v>
      </c>
      <c r="AR10" s="1172">
        <f>VLOOKUP(AJ10,Marination_Ordering!$A:$J,10,FALSE)</f>
        <v>0.74</v>
      </c>
      <c r="AS10" s="175">
        <f t="shared" si="12"/>
        <v>111.20689655172411</v>
      </c>
      <c r="AT10" s="1172">
        <f t="shared" si="13"/>
        <v>8.2293103448275839E-2</v>
      </c>
    </row>
    <row r="11" spans="1:46" ht="14.25" customHeight="1" x14ac:dyDescent="0.3">
      <c r="A11" s="270" t="s">
        <v>97</v>
      </c>
      <c r="B11" s="222" t="s">
        <v>108</v>
      </c>
      <c r="C11" s="124" t="s">
        <v>14</v>
      </c>
      <c r="D11" s="125">
        <v>10</v>
      </c>
      <c r="E11" s="223">
        <f t="shared" si="7"/>
        <v>21.817125000000004</v>
      </c>
      <c r="F11" s="127">
        <v>0.75</v>
      </c>
      <c r="G11" s="119">
        <f t="shared" si="0"/>
        <v>218.17125000000004</v>
      </c>
      <c r="H11" s="120">
        <f t="shared" si="1"/>
        <v>163.62843750000002</v>
      </c>
      <c r="I11" s="81">
        <f>VLOOKUP(B11,All_Ingredients!$A$1:$F$151,6,FALSE())</f>
        <v>1</v>
      </c>
      <c r="J11" s="119">
        <f>VLOOKUP(B11,All_Ingredients!$A$1:$J$151,10,FALSE())</f>
        <v>15</v>
      </c>
      <c r="K11" s="122">
        <f t="shared" si="8"/>
        <v>0.16362843750000003</v>
      </c>
      <c r="L11" s="122">
        <f t="shared" si="9"/>
        <v>2.4544265625000006</v>
      </c>
      <c r="AI11" s="1" t="s">
        <v>97</v>
      </c>
      <c r="AJ11" s="294" t="s">
        <v>102</v>
      </c>
      <c r="AK11" s="124" t="s">
        <v>14</v>
      </c>
      <c r="AL11" s="125">
        <v>25</v>
      </c>
      <c r="AM11" s="223">
        <f t="shared" si="4"/>
        <v>4.4482758620689644</v>
      </c>
      <c r="AN11" s="127">
        <v>1</v>
      </c>
      <c r="AO11" s="119">
        <f t="shared" si="5"/>
        <v>111.20689655172411</v>
      </c>
      <c r="AP11" s="120">
        <f t="shared" si="6"/>
        <v>111.20689655172411</v>
      </c>
      <c r="AQ11" s="1172">
        <f>VLOOKUP(AJ11,Marination_Ordering!$A:$J,6,FALSE)</f>
        <v>1</v>
      </c>
      <c r="AR11" s="1172">
        <f>VLOOKUP(AJ11,Marination_Ordering!$A:$J,10,FALSE)</f>
        <v>31</v>
      </c>
      <c r="AS11" s="175">
        <f t="shared" si="12"/>
        <v>111.20689655172411</v>
      </c>
      <c r="AT11" s="1172">
        <f t="shared" si="13"/>
        <v>3.4474137931034474</v>
      </c>
    </row>
    <row r="12" spans="1:46" ht="14.25" customHeight="1" x14ac:dyDescent="0.3">
      <c r="A12" s="270" t="s">
        <v>97</v>
      </c>
      <c r="B12" s="222" t="s">
        <v>110</v>
      </c>
      <c r="C12" s="124" t="s">
        <v>14</v>
      </c>
      <c r="D12" s="125">
        <v>10</v>
      </c>
      <c r="E12" s="223">
        <f t="shared" si="7"/>
        <v>21.817125000000004</v>
      </c>
      <c r="F12" s="127">
        <v>0.75</v>
      </c>
      <c r="G12" s="119">
        <f t="shared" si="0"/>
        <v>218.17125000000004</v>
      </c>
      <c r="H12" s="120">
        <f t="shared" si="1"/>
        <v>163.62843750000002</v>
      </c>
      <c r="I12" s="81">
        <f>VLOOKUP(B12,All_Ingredients!$A$1:$F$151,6,FALSE())</f>
        <v>1</v>
      </c>
      <c r="J12" s="119">
        <f>VLOOKUP(B12,All_Ingredients!$A$1:$J$151,10,FALSE())</f>
        <v>8</v>
      </c>
      <c r="K12" s="122">
        <f t="shared" si="8"/>
        <v>0.16362843750000003</v>
      </c>
      <c r="L12" s="122">
        <f t="shared" si="9"/>
        <v>1.3090275000000002</v>
      </c>
      <c r="AI12" s="1" t="s">
        <v>97</v>
      </c>
      <c r="AJ12" s="294" t="s">
        <v>110</v>
      </c>
      <c r="AK12" s="124" t="s">
        <v>14</v>
      </c>
      <c r="AL12" s="125">
        <v>50</v>
      </c>
      <c r="AM12" s="223">
        <f t="shared" si="4"/>
        <v>4.4482758620689644</v>
      </c>
      <c r="AN12" s="127">
        <v>1</v>
      </c>
      <c r="AO12" s="119">
        <f t="shared" si="5"/>
        <v>222.41379310344823</v>
      </c>
      <c r="AP12" s="120">
        <f t="shared" si="6"/>
        <v>222.41379310344823</v>
      </c>
      <c r="AQ12" s="1172">
        <f>VLOOKUP(AJ12,Marination_Ordering!$A:$J,6,FALSE)</f>
        <v>1</v>
      </c>
      <c r="AR12" s="1172">
        <f>VLOOKUP(AJ12,Marination_Ordering!$A:$J,10,FALSE)</f>
        <v>8</v>
      </c>
      <c r="AS12" s="175">
        <f t="shared" si="12"/>
        <v>222.41379310344823</v>
      </c>
      <c r="AT12" s="1172">
        <f t="shared" si="13"/>
        <v>1.7793103448275858</v>
      </c>
    </row>
    <row r="13" spans="1:46" ht="14.25" customHeight="1" x14ac:dyDescent="0.3">
      <c r="A13" s="270" t="s">
        <v>158</v>
      </c>
      <c r="B13" s="222" t="s">
        <v>171</v>
      </c>
      <c r="C13" s="124" t="s">
        <v>165</v>
      </c>
      <c r="D13" s="125">
        <v>500</v>
      </c>
      <c r="E13" s="223">
        <f t="shared" si="7"/>
        <v>21.817125000000004</v>
      </c>
      <c r="F13" s="127">
        <v>1</v>
      </c>
      <c r="G13" s="119">
        <f t="shared" si="0"/>
        <v>10908.562500000002</v>
      </c>
      <c r="H13" s="120">
        <f t="shared" si="1"/>
        <v>10908.562500000002</v>
      </c>
      <c r="I13" s="81">
        <f>VLOOKUP(B13,All_Ingredients!$A$1:$F$151,6,FALSE())</f>
        <v>1</v>
      </c>
      <c r="J13" s="119">
        <f>VLOOKUP(B13,All_Ingredients!$A$1:$J$151,10,FALSE())</f>
        <v>12.666666666666666</v>
      </c>
      <c r="K13" s="122">
        <f t="shared" si="8"/>
        <v>10.908562500000002</v>
      </c>
      <c r="L13" s="122">
        <f t="shared" si="9"/>
        <v>138.17512500000001</v>
      </c>
      <c r="AI13" s="1" t="s">
        <v>97</v>
      </c>
      <c r="AJ13" s="436" t="s">
        <v>122</v>
      </c>
      <c r="AK13" s="124" t="s">
        <v>14</v>
      </c>
      <c r="AL13" s="125">
        <v>50</v>
      </c>
      <c r="AM13" s="223">
        <f t="shared" si="4"/>
        <v>4.4482758620689644</v>
      </c>
      <c r="AN13" s="127">
        <v>1</v>
      </c>
      <c r="AO13" s="119">
        <f t="shared" si="5"/>
        <v>222.41379310344823</v>
      </c>
      <c r="AP13" s="120">
        <f t="shared" si="6"/>
        <v>222.41379310344823</v>
      </c>
      <c r="AQ13" s="1172">
        <f>VLOOKUP(AJ13,Marination_Ordering!$A:$J,6,FALSE)</f>
        <v>1</v>
      </c>
      <c r="AR13" s="1172">
        <f>VLOOKUP(AJ13,Marination_Ordering!$A:$J,10,FALSE)</f>
        <v>15</v>
      </c>
      <c r="AS13" s="175">
        <f t="shared" si="12"/>
        <v>222.41379310344823</v>
      </c>
      <c r="AT13" s="1172">
        <f t="shared" si="13"/>
        <v>3.3362068965517233</v>
      </c>
    </row>
    <row r="14" spans="1:46" ht="14.25" customHeight="1" x14ac:dyDescent="0.3">
      <c r="A14" s="270" t="s">
        <v>158</v>
      </c>
      <c r="B14" s="222" t="s">
        <v>157</v>
      </c>
      <c r="C14" s="124" t="s">
        <v>14</v>
      </c>
      <c r="D14" s="125">
        <v>25</v>
      </c>
      <c r="E14" s="223">
        <f t="shared" si="7"/>
        <v>21.817125000000004</v>
      </c>
      <c r="F14" s="127">
        <v>1</v>
      </c>
      <c r="G14" s="119">
        <f t="shared" si="0"/>
        <v>545.42812500000014</v>
      </c>
      <c r="H14" s="120">
        <f t="shared" si="1"/>
        <v>545.42812500000014</v>
      </c>
      <c r="I14" s="81">
        <f>VLOOKUP(B14,All_Ingredients!$A$1:$F$151,6,FALSE())</f>
        <v>1</v>
      </c>
      <c r="J14" s="119">
        <f>VLOOKUP(B14,All_Ingredients!$A$1:$J$151,10,FALSE())</f>
        <v>30</v>
      </c>
      <c r="K14" s="122">
        <f t="shared" si="8"/>
        <v>0.54542812500000015</v>
      </c>
      <c r="L14" s="122">
        <f t="shared" si="9"/>
        <v>16.362843750000003</v>
      </c>
      <c r="AQ14" s="14"/>
      <c r="AR14" s="1147"/>
      <c r="AS14" s="556"/>
      <c r="AT14" s="1145"/>
    </row>
    <row r="15" spans="1:46" ht="14.25" customHeight="1" x14ac:dyDescent="0.3">
      <c r="A15" s="270" t="s">
        <v>83</v>
      </c>
      <c r="B15" s="222" t="s">
        <v>90</v>
      </c>
      <c r="C15" s="124" t="s">
        <v>14</v>
      </c>
      <c r="D15" s="125">
        <v>1</v>
      </c>
      <c r="E15" s="223">
        <f t="shared" si="7"/>
        <v>21.817125000000004</v>
      </c>
      <c r="F15" s="127">
        <v>1</v>
      </c>
      <c r="G15" s="119">
        <f t="shared" si="0"/>
        <v>21.817125000000004</v>
      </c>
      <c r="H15" s="120">
        <f t="shared" si="1"/>
        <v>21.817125000000004</v>
      </c>
      <c r="I15" s="81">
        <f>VLOOKUP(B15,All_Ingredients!$A$1:$F$151,6,FALSE())</f>
        <v>1</v>
      </c>
      <c r="J15" s="119">
        <f>VLOOKUP(B15,All_Ingredients!$A$1:$J$151,10,FALSE())</f>
        <v>20</v>
      </c>
      <c r="K15" s="122">
        <f t="shared" si="8"/>
        <v>2.1817125000000003E-2</v>
      </c>
      <c r="L15" s="122">
        <f t="shared" si="9"/>
        <v>0.43634250000000008</v>
      </c>
    </row>
    <row r="16" spans="1:46" ht="14.25" customHeight="1" x14ac:dyDescent="0.3">
      <c r="A16" s="270" t="s">
        <v>97</v>
      </c>
      <c r="B16" s="222" t="s">
        <v>96</v>
      </c>
      <c r="C16" s="124" t="s">
        <v>14</v>
      </c>
      <c r="D16" s="125">
        <v>6</v>
      </c>
      <c r="E16" s="223">
        <f t="shared" si="7"/>
        <v>21.817125000000004</v>
      </c>
      <c r="F16" s="127">
        <v>1</v>
      </c>
      <c r="G16" s="119">
        <f t="shared" si="0"/>
        <v>130.90275000000003</v>
      </c>
      <c r="H16" s="120">
        <f t="shared" si="1"/>
        <v>130.90275000000003</v>
      </c>
      <c r="I16" s="81">
        <f>VLOOKUP(B16,All_Ingredients!$A$1:$F$151,6,FALSE())</f>
        <v>1</v>
      </c>
      <c r="J16" s="119">
        <f>VLOOKUP(B16,All_Ingredients!$A$1:$J$151,10,FALSE())</f>
        <v>0.74</v>
      </c>
      <c r="K16" s="122">
        <f t="shared" si="8"/>
        <v>0.13090275000000001</v>
      </c>
      <c r="L16" s="122">
        <f t="shared" si="9"/>
        <v>9.6868035000000005E-2</v>
      </c>
    </row>
    <row r="17" spans="1:32" ht="14.25" customHeight="1" x14ac:dyDescent="0.3">
      <c r="A17" s="270" t="s">
        <v>158</v>
      </c>
      <c r="B17" s="222" t="s">
        <v>178</v>
      </c>
      <c r="C17" s="124" t="s">
        <v>14</v>
      </c>
      <c r="D17" s="125">
        <v>100</v>
      </c>
      <c r="E17" s="223">
        <f t="shared" si="7"/>
        <v>21.817125000000004</v>
      </c>
      <c r="F17" s="127">
        <v>1</v>
      </c>
      <c r="G17" s="119">
        <f t="shared" si="0"/>
        <v>2181.7125000000005</v>
      </c>
      <c r="H17" s="120">
        <f t="shared" si="1"/>
        <v>2181.7125000000005</v>
      </c>
      <c r="I17" s="81">
        <f>VLOOKUP(B17,All_Ingredients!$A$1:$F$151,6,FALSE())</f>
        <v>1</v>
      </c>
      <c r="J17" s="119">
        <f>VLOOKUP(B17,All_Ingredients!$A$1:$J$151,10,FALSE())</f>
        <v>17.934782608695652</v>
      </c>
      <c r="K17" s="122">
        <f t="shared" si="8"/>
        <v>2.1817125000000006</v>
      </c>
      <c r="L17" s="122">
        <f t="shared" si="9"/>
        <v>39.128539402173921</v>
      </c>
    </row>
    <row r="18" spans="1:32" ht="14.25" customHeight="1" x14ac:dyDescent="0.3">
      <c r="A18" s="270" t="s">
        <v>97</v>
      </c>
      <c r="B18" s="267" t="s">
        <v>102</v>
      </c>
      <c r="C18" s="124" t="s">
        <v>14</v>
      </c>
      <c r="D18" s="125">
        <v>3</v>
      </c>
      <c r="E18" s="223">
        <f t="shared" si="7"/>
        <v>21.817125000000004</v>
      </c>
      <c r="F18" s="127">
        <v>0.9</v>
      </c>
      <c r="G18" s="119">
        <f t="shared" si="0"/>
        <v>65.451375000000013</v>
      </c>
      <c r="H18" s="120">
        <f t="shared" si="1"/>
        <v>58.90623750000001</v>
      </c>
      <c r="I18" s="81">
        <f>VLOOKUP(B18,All_Ingredients!$A$1:$F$151,6,FALSE())</f>
        <v>1</v>
      </c>
      <c r="J18" s="119">
        <f>VLOOKUP(B18,All_Ingredients!$A$1:$J$151,10,FALSE())</f>
        <v>31</v>
      </c>
      <c r="K18" s="122">
        <f t="shared" si="8"/>
        <v>5.8906237500000007E-2</v>
      </c>
      <c r="L18" s="122">
        <f t="shared" si="9"/>
        <v>1.8260933625000002</v>
      </c>
    </row>
    <row r="19" spans="1:32" ht="14.25" customHeight="1" x14ac:dyDescent="0.3">
      <c r="A19" s="270" t="s">
        <v>97</v>
      </c>
      <c r="B19" s="383" t="s">
        <v>126</v>
      </c>
      <c r="C19" s="124" t="s">
        <v>14</v>
      </c>
      <c r="D19" s="125">
        <v>5</v>
      </c>
      <c r="E19" s="223">
        <f t="shared" si="7"/>
        <v>21.817125000000004</v>
      </c>
      <c r="F19" s="127">
        <v>0.5</v>
      </c>
      <c r="G19" s="119">
        <f t="shared" si="0"/>
        <v>109.08562500000002</v>
      </c>
      <c r="H19" s="120">
        <f t="shared" si="1"/>
        <v>54.542812500000011</v>
      </c>
      <c r="I19" s="81">
        <f>VLOOKUP(B19,All_Ingredients!$A$1:$F$151,6,FALSE())</f>
        <v>1</v>
      </c>
      <c r="J19" s="119">
        <f>VLOOKUP(B19,All_Ingredients!$A$1:$J$151,10,FALSE())</f>
        <v>14</v>
      </c>
      <c r="K19" s="122">
        <f t="shared" si="8"/>
        <v>5.454281250000001E-2</v>
      </c>
      <c r="L19" s="122">
        <f t="shared" si="9"/>
        <v>0.76359937500000008</v>
      </c>
    </row>
    <row r="20" spans="1:32" ht="14.25" customHeight="1" x14ac:dyDescent="0.3">
      <c r="B20" s="100"/>
      <c r="E20" s="100"/>
      <c r="F20" s="100"/>
      <c r="L20" s="209"/>
    </row>
    <row r="21" spans="1:32" ht="14.25" customHeight="1" x14ac:dyDescent="0.3">
      <c r="B21" s="100"/>
      <c r="E21" s="100"/>
      <c r="F21" s="100"/>
      <c r="L21" s="209"/>
    </row>
    <row r="22" spans="1:32" ht="14.25" customHeight="1" x14ac:dyDescent="0.3">
      <c r="L22" s="209"/>
    </row>
    <row r="23" spans="1:32" ht="41.75" customHeight="1" x14ac:dyDescent="0.3">
      <c r="L23" s="209"/>
    </row>
    <row r="24" spans="1:32" ht="14.25" customHeight="1" x14ac:dyDescent="0.3">
      <c r="L24" s="209"/>
      <c r="R24" s="5"/>
      <c r="Z24" s="1294"/>
    </row>
    <row r="25" spans="1:32" ht="14.25" customHeight="1" x14ac:dyDescent="0.3">
      <c r="L25" s="209"/>
      <c r="R25" s="1393" t="s">
        <v>397</v>
      </c>
      <c r="S25" s="1388"/>
      <c r="T25" s="1388"/>
      <c r="U25" s="1388"/>
      <c r="V25" s="1151"/>
      <c r="Z25" s="141" t="s">
        <v>264</v>
      </c>
      <c r="AA25" s="1251">
        <f>U28+U30</f>
        <v>33540</v>
      </c>
      <c r="AB25" s="141" t="s">
        <v>261</v>
      </c>
      <c r="AC25" s="143">
        <f>(AA25*(1.4))*AF30+(AA30*(AB28/R1))</f>
        <v>333.58597553824677</v>
      </c>
      <c r="AD25" s="14"/>
    </row>
    <row r="26" spans="1:32" ht="19.25" customHeight="1" x14ac:dyDescent="0.3">
      <c r="L26" s="209"/>
      <c r="R26" s="1392" t="s">
        <v>265</v>
      </c>
      <c r="S26" s="1388"/>
      <c r="T26" s="1388"/>
      <c r="U26" s="1388"/>
      <c r="V26" s="1151"/>
      <c r="Z26" s="14"/>
      <c r="AA26" s="14"/>
      <c r="AB26" s="14"/>
      <c r="AC26" s="14"/>
      <c r="AD26" s="14"/>
    </row>
    <row r="27" spans="1:32" ht="14.25" customHeight="1" thickBot="1" x14ac:dyDescent="0.35">
      <c r="R27" s="427" t="s">
        <v>266</v>
      </c>
      <c r="S27" s="428" t="s">
        <v>398</v>
      </c>
      <c r="T27" s="428" t="s">
        <v>268</v>
      </c>
      <c r="U27" s="428" t="s">
        <v>269</v>
      </c>
      <c r="V27" s="146" t="s">
        <v>839</v>
      </c>
      <c r="W27" s="146" t="s">
        <v>848</v>
      </c>
      <c r="Z27" s="141" t="s">
        <v>270</v>
      </c>
      <c r="AA27" s="1185" t="s">
        <v>324</v>
      </c>
      <c r="AB27" s="147" t="s">
        <v>271</v>
      </c>
      <c r="AC27" s="147" t="s">
        <v>272</v>
      </c>
      <c r="AD27" s="147" t="s">
        <v>273</v>
      </c>
      <c r="AE27" s="1186" t="s">
        <v>848</v>
      </c>
      <c r="AF27" s="147" t="s">
        <v>274</v>
      </c>
    </row>
    <row r="28" spans="1:32" ht="14.25" customHeight="1" thickBot="1" x14ac:dyDescent="0.35">
      <c r="R28" s="429" t="s">
        <v>275</v>
      </c>
      <c r="S28" s="1366">
        <f>U28*S40</f>
        <v>25415.38461538461</v>
      </c>
      <c r="T28" s="1367">
        <f>U28*U40</f>
        <v>7624.615384615392</v>
      </c>
      <c r="U28" s="1370">
        <f>$Z$1</f>
        <v>33040</v>
      </c>
      <c r="V28" s="149">
        <f>SUM(AP5:AP13)</f>
        <v>1823.7931034482754</v>
      </c>
      <c r="W28" s="149">
        <f>H37</f>
        <v>224</v>
      </c>
      <c r="Z28" s="151"/>
      <c r="AA28" s="1188"/>
      <c r="AB28" s="152">
        <f>AA25*$S$40</f>
        <v>25799.999999999993</v>
      </c>
      <c r="AC28" s="152">
        <f>AA25*U40</f>
        <v>7740.0000000000082</v>
      </c>
      <c r="AD28" s="153">
        <f>AA25*0.4</f>
        <v>13416</v>
      </c>
      <c r="AE28" s="1188"/>
      <c r="AF28" s="154">
        <f>SUM(AB28:AD28)</f>
        <v>46956</v>
      </c>
    </row>
    <row r="29" spans="1:32" ht="14.25" customHeight="1" thickBot="1" x14ac:dyDescent="0.35">
      <c r="R29" s="429" t="s">
        <v>276</v>
      </c>
      <c r="S29" s="1246"/>
      <c r="T29" s="1248">
        <f>U28*0.4</f>
        <v>13216</v>
      </c>
      <c r="U29" s="1367">
        <f>T29</f>
        <v>13216</v>
      </c>
      <c r="V29" s="149"/>
      <c r="W29" s="149"/>
      <c r="Z29" s="151"/>
      <c r="AA29" s="1192"/>
      <c r="AB29" s="156">
        <f>AB28/$AF$28</f>
        <v>0.54945054945054927</v>
      </c>
      <c r="AC29" s="156">
        <f>AC28/$AF$28</f>
        <v>0.164835164835165</v>
      </c>
      <c r="AD29" s="156">
        <f>AD28/$AF$28</f>
        <v>0.2857142857142857</v>
      </c>
      <c r="AE29" s="1192"/>
      <c r="AF29" s="156">
        <f>AF28/$AF$28</f>
        <v>1</v>
      </c>
    </row>
    <row r="30" spans="1:32" ht="14.75" customHeight="1" thickBot="1" x14ac:dyDescent="0.35">
      <c r="R30" s="429" t="s">
        <v>277</v>
      </c>
      <c r="S30" s="1368">
        <f>U30*S40</f>
        <v>384.61538461538453</v>
      </c>
      <c r="T30" s="1369">
        <f>(U30*U40)+(U30*0.4)</f>
        <v>315.38461538461547</v>
      </c>
      <c r="U30" s="1371">
        <f>$AB$1</f>
        <v>500</v>
      </c>
      <c r="V30" s="1143"/>
      <c r="W30" s="1143"/>
      <c r="Z30" s="141" t="s">
        <v>278</v>
      </c>
      <c r="AA30" s="1196">
        <f>V35/(S32/R1)</f>
        <v>8.4268333333333326E-4</v>
      </c>
      <c r="AB30" s="157">
        <f>S35/(S32)</f>
        <v>0</v>
      </c>
      <c r="AC30" s="158">
        <f>T35/T32</f>
        <v>1.3263065036878879E-2</v>
      </c>
      <c r="AD30" s="158">
        <f>T35/T32</f>
        <v>1.3263065036878879E-2</v>
      </c>
      <c r="AE30" s="1199">
        <f>W35/U32</f>
        <v>3.3026007981285264E-4</v>
      </c>
      <c r="AF30" s="1197">
        <f>(SUMPRODUCT(AB30:AD30,AB29:AD29))+AE30</f>
        <v>6.3059267447802617E-3</v>
      </c>
    </row>
    <row r="31" spans="1:32" ht="14.25" customHeight="1" thickBot="1" x14ac:dyDescent="0.35">
      <c r="R31" s="429" t="s">
        <v>279</v>
      </c>
      <c r="S31" s="1246"/>
      <c r="T31" s="1245"/>
      <c r="U31" s="1245"/>
      <c r="V31" s="149"/>
      <c r="W31" s="149"/>
    </row>
    <row r="32" spans="1:32" ht="14.25" customHeight="1" thickBot="1" x14ac:dyDescent="0.35">
      <c r="R32" s="430" t="s">
        <v>269</v>
      </c>
      <c r="S32" s="1249">
        <f>SUM(S28:S30)</f>
        <v>25799.999999999993</v>
      </c>
      <c r="T32" s="1247">
        <f>SUM(T28:T30)</f>
        <v>21156.000000000007</v>
      </c>
      <c r="U32" s="1248">
        <f>SUM(S32:T32)</f>
        <v>46956</v>
      </c>
      <c r="V32" s="149"/>
      <c r="W32" s="149">
        <f>SUM(W28:W30)</f>
        <v>224</v>
      </c>
    </row>
    <row r="33" spans="2:23" ht="14.25" customHeight="1" thickBot="1" x14ac:dyDescent="0.35">
      <c r="R33" s="431" t="s">
        <v>280</v>
      </c>
      <c r="S33" s="1246"/>
      <c r="T33" s="1246"/>
      <c r="U33" s="1246"/>
      <c r="V33" s="155"/>
      <c r="W33" s="155"/>
    </row>
    <row r="34" spans="2:23" ht="14.25" customHeight="1" thickBot="1" x14ac:dyDescent="0.35">
      <c r="R34" s="426" t="s">
        <v>281</v>
      </c>
      <c r="S34" s="1246"/>
      <c r="T34" s="1245"/>
      <c r="U34" s="1246"/>
      <c r="V34" s="155"/>
      <c r="W34" s="155"/>
    </row>
    <row r="35" spans="2:23" ht="14.25" customHeight="1" thickBot="1" x14ac:dyDescent="0.35">
      <c r="B35" s="1394" t="s">
        <v>691</v>
      </c>
      <c r="C35" s="1394"/>
      <c r="D35" s="1394"/>
      <c r="E35" s="1394"/>
      <c r="F35" s="1394"/>
      <c r="G35" s="882"/>
      <c r="H35" s="882"/>
      <c r="I35" s="889"/>
      <c r="J35" s="889"/>
      <c r="K35" s="889"/>
      <c r="L35" s="889"/>
      <c r="R35" s="163" t="s">
        <v>261</v>
      </c>
      <c r="S35" s="1144">
        <f>$L$5</f>
        <v>0</v>
      </c>
      <c r="T35" s="1144">
        <f>SUM(L6:L19)</f>
        <v>280.59340392020965</v>
      </c>
      <c r="U35" s="1203">
        <f>S35+T35+V35+W35</f>
        <v>333.58597553824677</v>
      </c>
      <c r="V35" s="1144">
        <f>SUM(AT6:AT13)</f>
        <v>37.484879310344816</v>
      </c>
      <c r="W35" s="1144">
        <f>L37</f>
        <v>15.507692307692308</v>
      </c>
    </row>
    <row r="36" spans="2:23" ht="46.5" x14ac:dyDescent="0.3">
      <c r="B36" s="860" t="s">
        <v>253</v>
      </c>
      <c r="C36" s="860" t="s">
        <v>329</v>
      </c>
      <c r="D36" s="862" t="s">
        <v>671</v>
      </c>
      <c r="E36" s="859" t="s">
        <v>672</v>
      </c>
      <c r="F36" s="862" t="s">
        <v>673</v>
      </c>
      <c r="G36" s="882"/>
      <c r="H36" s="862" t="s">
        <v>673</v>
      </c>
      <c r="I36" s="862" t="s">
        <v>258</v>
      </c>
      <c r="J36" s="862" t="s">
        <v>259</v>
      </c>
      <c r="K36" s="862" t="s">
        <v>260</v>
      </c>
      <c r="L36" s="862" t="s">
        <v>261</v>
      </c>
    </row>
    <row r="37" spans="2:23" x14ac:dyDescent="0.3">
      <c r="B37" s="855" t="s">
        <v>746</v>
      </c>
      <c r="C37" s="856" t="s">
        <v>14</v>
      </c>
      <c r="D37" s="857">
        <v>1</v>
      </c>
      <c r="E37" s="855">
        <f>$AD$1</f>
        <v>224</v>
      </c>
      <c r="F37" s="855">
        <f>D37*E37</f>
        <v>224</v>
      </c>
      <c r="G37" s="14"/>
      <c r="H37" s="855">
        <f>F37</f>
        <v>224</v>
      </c>
      <c r="I37" s="855">
        <f>VLOOKUP(B37,All_Ingredients!$A$1:$F$151,6,FALSE())</f>
        <v>0.65</v>
      </c>
      <c r="J37" s="855">
        <f>VLOOKUP(B37,All_Ingredients!$A$1:$J$151,10,FALSE())</f>
        <v>45</v>
      </c>
      <c r="K37" s="855">
        <f>(H37/I37)/1000</f>
        <v>0.3446153846153846</v>
      </c>
      <c r="L37" s="855">
        <f t="shared" ref="L37" si="14">K37*J37</f>
        <v>15.507692307692308</v>
      </c>
    </row>
    <row r="39" spans="2:23" ht="14.25" customHeight="1" x14ac:dyDescent="0.3">
      <c r="S39" s="437"/>
      <c r="U39" s="437"/>
    </row>
    <row r="40" spans="2:23" ht="15" customHeight="1" x14ac:dyDescent="0.3">
      <c r="Q40" s="14"/>
      <c r="R40" s="165" t="s">
        <v>282</v>
      </c>
      <c r="S40" s="166">
        <v>0.76923076923076905</v>
      </c>
      <c r="T40" s="165" t="s">
        <v>283</v>
      </c>
      <c r="U40" s="167">
        <v>0.230769230769231</v>
      </c>
      <c r="V40" s="168">
        <f>S40+U40</f>
        <v>1</v>
      </c>
      <c r="W40" s="14"/>
    </row>
    <row r="41" spans="2:23" ht="14.25" customHeight="1" x14ac:dyDescent="0.3">
      <c r="Q41" s="14"/>
      <c r="R41" s="14"/>
      <c r="S41" s="14"/>
      <c r="T41" s="14"/>
      <c r="U41" s="169"/>
      <c r="V41" s="14"/>
      <c r="W41" s="14"/>
    </row>
    <row r="42" spans="2:23" ht="14.25" customHeight="1" x14ac:dyDescent="0.3">
      <c r="Q42" s="14"/>
      <c r="R42" s="14"/>
      <c r="S42" s="14"/>
      <c r="T42" s="14"/>
      <c r="U42" s="14"/>
      <c r="V42" s="14"/>
      <c r="W42" s="14"/>
    </row>
    <row r="43" spans="2:23" ht="14.25" customHeight="1" x14ac:dyDescent="0.3">
      <c r="Q43" s="170" t="s">
        <v>284</v>
      </c>
      <c r="R43" s="170" t="s">
        <v>285</v>
      </c>
      <c r="S43" s="170" t="s">
        <v>286</v>
      </c>
      <c r="T43" s="170" t="s">
        <v>287</v>
      </c>
      <c r="U43" s="170" t="s">
        <v>288</v>
      </c>
      <c r="V43" s="170" t="s">
        <v>289</v>
      </c>
      <c r="W43" s="258" t="s">
        <v>290</v>
      </c>
    </row>
    <row r="44" spans="2:23" ht="14.25" customHeight="1" x14ac:dyDescent="0.3">
      <c r="Q44" s="172">
        <v>15854</v>
      </c>
      <c r="R44" s="173">
        <f>D51</f>
        <v>10000</v>
      </c>
      <c r="S44" s="174">
        <v>0.37</v>
      </c>
      <c r="T44" s="174">
        <v>0.63</v>
      </c>
      <c r="U44" s="242">
        <f>R44*S44</f>
        <v>3700</v>
      </c>
      <c r="V44" s="176">
        <f>R44*T44</f>
        <v>6300</v>
      </c>
      <c r="W44" s="260">
        <f>Q44-U44</f>
        <v>12154</v>
      </c>
    </row>
    <row r="45" spans="2:23" ht="14.25" customHeight="1" x14ac:dyDescent="0.3"/>
    <row r="50" spans="1:10" x14ac:dyDescent="0.3">
      <c r="B50" s="145"/>
      <c r="C50" s="145" t="s">
        <v>245</v>
      </c>
      <c r="D50" s="144" t="s">
        <v>291</v>
      </c>
      <c r="E50" s="438"/>
      <c r="F50" s="100"/>
      <c r="G50" s="145" t="s">
        <v>292</v>
      </c>
      <c r="H50" s="145" t="s">
        <v>245</v>
      </c>
      <c r="I50" s="145" t="s">
        <v>293</v>
      </c>
      <c r="J50" s="145" t="s">
        <v>294</v>
      </c>
    </row>
    <row r="51" spans="1:10" x14ac:dyDescent="0.3">
      <c r="B51" s="180" t="s">
        <v>295</v>
      </c>
      <c r="C51" s="181">
        <f>10/$K$1</f>
        <v>10.3125</v>
      </c>
      <c r="D51" s="182">
        <f>$C$1*10</f>
        <v>10000</v>
      </c>
      <c r="E51" s="183"/>
      <c r="F51" s="100"/>
      <c r="G51" s="180" t="s">
        <v>295</v>
      </c>
      <c r="H51" s="277">
        <f>I51/$D$5</f>
        <v>10</v>
      </c>
      <c r="I51" s="181">
        <f>J51/$R$1</f>
        <v>20955.172413793105</v>
      </c>
      <c r="J51" s="181">
        <f>$W$44</f>
        <v>12154</v>
      </c>
    </row>
    <row r="52" spans="1:10" x14ac:dyDescent="0.3">
      <c r="B52" s="231" t="s">
        <v>274</v>
      </c>
      <c r="C52" s="232">
        <f>$I$1</f>
        <v>21.817125000000004</v>
      </c>
      <c r="D52" s="233">
        <f>$E$1</f>
        <v>21156.000000000007</v>
      </c>
      <c r="E52" s="100"/>
      <c r="F52" s="100"/>
      <c r="G52" s="148" t="s">
        <v>274</v>
      </c>
      <c r="H52" s="210">
        <f>I52/$D$5</f>
        <v>21.227579397729134</v>
      </c>
      <c r="I52" s="176">
        <f>J52/$R$1</f>
        <v>44482.758620689645</v>
      </c>
      <c r="J52" s="184">
        <f>$S$32</f>
        <v>25799.999999999993</v>
      </c>
    </row>
    <row r="53" spans="1:10" ht="18" customHeight="1" x14ac:dyDescent="0.3">
      <c r="B53" s="231" t="s">
        <v>296</v>
      </c>
      <c r="C53" s="234">
        <f>MIN(C52, C51)</f>
        <v>10.3125</v>
      </c>
      <c r="D53" s="233">
        <f>(C53*$K$1)*$C$1</f>
        <v>10000</v>
      </c>
      <c r="E53" s="100"/>
      <c r="F53" s="100"/>
      <c r="G53" s="148" t="s">
        <v>296</v>
      </c>
      <c r="H53" s="187">
        <f>MIN(H52,H51)</f>
        <v>10</v>
      </c>
      <c r="I53" s="176">
        <f>J53/$R$1</f>
        <v>20955.172413793105</v>
      </c>
      <c r="J53" s="176">
        <f>MIN(J52,J51)</f>
        <v>12154</v>
      </c>
    </row>
    <row r="54" spans="1:10" x14ac:dyDescent="0.3">
      <c r="B54" s="231" t="s">
        <v>297</v>
      </c>
      <c r="C54" s="234">
        <f>MIN(MAX(C52-C53,0),C51)</f>
        <v>10.3125</v>
      </c>
      <c r="D54" s="233">
        <f>(C54*$K$1)*$C$1</f>
        <v>10000</v>
      </c>
      <c r="E54" s="100"/>
      <c r="F54" s="100"/>
      <c r="G54" s="148" t="s">
        <v>297</v>
      </c>
      <c r="H54" s="187">
        <f>MIN(MAX(H52-H53),H51)</f>
        <v>10</v>
      </c>
      <c r="I54" s="176">
        <f>J54/$R$1</f>
        <v>20955.172413793105</v>
      </c>
      <c r="J54" s="176">
        <f>MIN(MAX(J52-J53),J51)</f>
        <v>12154</v>
      </c>
    </row>
    <row r="55" spans="1:10" x14ac:dyDescent="0.3">
      <c r="B55" s="231" t="s">
        <v>298</v>
      </c>
      <c r="C55" s="234">
        <f>MIN(MAX(C52-C53-C54,0),C51)</f>
        <v>1.1921250000000043</v>
      </c>
      <c r="D55" s="233">
        <f>(C55*$K$1)*$C$1</f>
        <v>1156.0000000000041</v>
      </c>
      <c r="E55" s="100"/>
      <c r="F55" s="100"/>
      <c r="G55" s="145" t="s">
        <v>298</v>
      </c>
      <c r="H55" s="187">
        <f>MIN(MAX(H52-H53-H54),H51)</f>
        <v>1.2275793977291336</v>
      </c>
      <c r="I55" s="176">
        <f>J55/$R$1</f>
        <v>2572.4137931034361</v>
      </c>
      <c r="J55" s="176">
        <f>MIN(MAX(J52-J53-J54),J51)</f>
        <v>1491.9999999999927</v>
      </c>
    </row>
    <row r="62" spans="1:10" ht="17.75" customHeight="1" x14ac:dyDescent="0.3">
      <c r="A62" s="938"/>
      <c r="B62" s="1382" t="str">
        <f>" داوود باشا 1 / " &amp; COUNTIF($C$53:$C$55, "&gt;0")</f>
        <v xml:space="preserve"> داوود باشا 1 / 3</v>
      </c>
      <c r="C62" s="1383"/>
      <c r="D62" s="1383"/>
      <c r="E62" s="1383"/>
      <c r="F62" s="1383"/>
      <c r="G62" s="1383"/>
      <c r="H62" s="1383"/>
    </row>
    <row r="63" spans="1:10" ht="17.75" customHeight="1" x14ac:dyDescent="0.3">
      <c r="A63" s="976"/>
      <c r="B63" s="1467" t="str">
        <f>" Daoud Basha 1 / " &amp; COUNTIF($C$53:$C$55, "&gt;0")</f>
        <v xml:space="preserve"> Daoud Basha 1 / 3</v>
      </c>
      <c r="C63" s="1385"/>
      <c r="D63" s="1385"/>
      <c r="E63" s="1385"/>
      <c r="F63" s="1385"/>
      <c r="G63" s="1385"/>
      <c r="H63" s="1385"/>
    </row>
    <row r="64" spans="1:10" ht="25.5" customHeight="1" x14ac:dyDescent="0.3">
      <c r="A64" s="91"/>
      <c r="B64" s="243" t="s">
        <v>253</v>
      </c>
      <c r="C64" s="244" t="s">
        <v>254</v>
      </c>
      <c r="D64" s="245" t="s">
        <v>243</v>
      </c>
      <c r="E64" s="218" t="s">
        <v>246</v>
      </c>
      <c r="F64" s="218" t="s">
        <v>255</v>
      </c>
      <c r="G64" s="245" t="s">
        <v>256</v>
      </c>
      <c r="H64" s="218" t="s">
        <v>257</v>
      </c>
    </row>
    <row r="65" spans="1:8" ht="14.25" customHeight="1" x14ac:dyDescent="0.3">
      <c r="A65" s="270" t="s">
        <v>230</v>
      </c>
      <c r="B65" s="294" t="str">
        <f t="shared" ref="B65:D79" si="15">B5</f>
        <v>Indian Meat Tammam Mafroom - مفروم هندى</v>
      </c>
      <c r="C65" s="294" t="str">
        <f t="shared" si="15"/>
        <v>gm</v>
      </c>
      <c r="D65" s="439">
        <f t="shared" si="15"/>
        <v>2095.5172413793107</v>
      </c>
      <c r="E65" s="281">
        <f>H53</f>
        <v>10</v>
      </c>
      <c r="F65" s="127">
        <f t="shared" ref="F65:F79" si="16">F5</f>
        <v>1</v>
      </c>
      <c r="G65" s="119">
        <f t="shared" ref="G65:G79" si="17">D65*E65</f>
        <v>20955.172413793109</v>
      </c>
      <c r="H65" s="120">
        <f t="shared" ref="H65:H79" si="18">G65*F65</f>
        <v>20955.172413793109</v>
      </c>
    </row>
    <row r="66" spans="1:8" ht="14.25" customHeight="1" x14ac:dyDescent="0.3">
      <c r="A66" s="270" t="s">
        <v>13</v>
      </c>
      <c r="B66" s="294" t="str">
        <f t="shared" si="15"/>
        <v>Onion - بصل</v>
      </c>
      <c r="C66" s="294" t="str">
        <f t="shared" si="15"/>
        <v>gm</v>
      </c>
      <c r="D66" s="224">
        <f t="shared" si="15"/>
        <v>200</v>
      </c>
      <c r="E66" s="281">
        <f t="shared" ref="E66:E79" si="19">$C$53</f>
        <v>10.3125</v>
      </c>
      <c r="F66" s="127">
        <f t="shared" si="16"/>
        <v>1</v>
      </c>
      <c r="G66" s="119">
        <f t="shared" si="17"/>
        <v>2062.5</v>
      </c>
      <c r="H66" s="120">
        <f t="shared" si="18"/>
        <v>2062.5</v>
      </c>
    </row>
    <row r="67" spans="1:8" ht="14.25" customHeight="1" x14ac:dyDescent="0.3">
      <c r="A67" s="270" t="s">
        <v>13</v>
      </c>
      <c r="B67" s="294" t="str">
        <f t="shared" si="15"/>
        <v>Garlic - ثوم مقشر</v>
      </c>
      <c r="C67" s="294" t="str">
        <f t="shared" si="15"/>
        <v>gm</v>
      </c>
      <c r="D67" s="224">
        <f t="shared" si="15"/>
        <v>25</v>
      </c>
      <c r="E67" s="281">
        <f t="shared" si="19"/>
        <v>10.3125</v>
      </c>
      <c r="F67" s="127">
        <f t="shared" si="16"/>
        <v>1</v>
      </c>
      <c r="G67" s="119">
        <f t="shared" si="17"/>
        <v>257.8125</v>
      </c>
      <c r="H67" s="120">
        <f t="shared" si="18"/>
        <v>257.8125</v>
      </c>
    </row>
    <row r="68" spans="1:8" ht="14.25" customHeight="1" x14ac:dyDescent="0.3">
      <c r="A68" s="270" t="s">
        <v>13</v>
      </c>
      <c r="B68" s="294" t="str">
        <f t="shared" si="15"/>
        <v>Tomato - طماطم</v>
      </c>
      <c r="C68" s="294" t="str">
        <f t="shared" si="15"/>
        <v>gm</v>
      </c>
      <c r="D68" s="224">
        <f t="shared" si="15"/>
        <v>200</v>
      </c>
      <c r="E68" s="281">
        <f t="shared" si="19"/>
        <v>10.3125</v>
      </c>
      <c r="F68" s="127">
        <f t="shared" si="16"/>
        <v>1</v>
      </c>
      <c r="G68" s="119">
        <f t="shared" si="17"/>
        <v>2062.5</v>
      </c>
      <c r="H68" s="120">
        <f t="shared" si="18"/>
        <v>2062.5</v>
      </c>
    </row>
    <row r="69" spans="1:8" ht="14.25" customHeight="1" x14ac:dyDescent="0.3">
      <c r="A69" s="270" t="s">
        <v>196</v>
      </c>
      <c r="B69" s="294" t="str">
        <f t="shared" si="15"/>
        <v>Tomato Paste - صلصة طماطم</v>
      </c>
      <c r="C69" s="294" t="str">
        <f t="shared" si="15"/>
        <v>gm</v>
      </c>
      <c r="D69" s="224">
        <f t="shared" si="15"/>
        <v>240</v>
      </c>
      <c r="E69" s="281">
        <f t="shared" si="19"/>
        <v>10.3125</v>
      </c>
      <c r="F69" s="127">
        <f t="shared" si="16"/>
        <v>1</v>
      </c>
      <c r="G69" s="119">
        <f t="shared" si="17"/>
        <v>2475</v>
      </c>
      <c r="H69" s="120">
        <f t="shared" si="18"/>
        <v>2475</v>
      </c>
    </row>
    <row r="70" spans="1:8" ht="14.25" customHeight="1" x14ac:dyDescent="0.3">
      <c r="A70" s="270" t="s">
        <v>97</v>
      </c>
      <c r="B70" s="294" t="str">
        <f t="shared" si="15"/>
        <v>Maggi Cubes - مكعبات ماجي</v>
      </c>
      <c r="C70" s="294" t="str">
        <f t="shared" si="15"/>
        <v>gm</v>
      </c>
      <c r="D70" s="224">
        <f t="shared" si="15"/>
        <v>6</v>
      </c>
      <c r="E70" s="281">
        <f t="shared" si="19"/>
        <v>10.3125</v>
      </c>
      <c r="F70" s="127">
        <f t="shared" si="16"/>
        <v>0.75</v>
      </c>
      <c r="G70" s="119">
        <f t="shared" si="17"/>
        <v>61.875</v>
      </c>
      <c r="H70" s="120">
        <f t="shared" si="18"/>
        <v>46.40625</v>
      </c>
    </row>
    <row r="71" spans="1:8" ht="14.25" customHeight="1" x14ac:dyDescent="0.3">
      <c r="A71" s="270" t="s">
        <v>97</v>
      </c>
      <c r="B71" s="294" t="str">
        <f t="shared" si="15"/>
        <v>Cumin Powder - كمون مطحون</v>
      </c>
      <c r="C71" s="294" t="str">
        <f t="shared" si="15"/>
        <v>gm</v>
      </c>
      <c r="D71" s="224">
        <f t="shared" si="15"/>
        <v>10</v>
      </c>
      <c r="E71" s="281">
        <f t="shared" si="19"/>
        <v>10.3125</v>
      </c>
      <c r="F71" s="127">
        <f t="shared" si="16"/>
        <v>0.75</v>
      </c>
      <c r="G71" s="119">
        <f t="shared" si="17"/>
        <v>103.125</v>
      </c>
      <c r="H71" s="120">
        <f t="shared" si="18"/>
        <v>77.34375</v>
      </c>
    </row>
    <row r="72" spans="1:8" ht="14.25" customHeight="1" x14ac:dyDescent="0.3">
      <c r="A72" s="270" t="s">
        <v>97</v>
      </c>
      <c r="B72" s="294" t="str">
        <f t="shared" si="15"/>
        <v>Coriander Powder - كزبرة مطحونة</v>
      </c>
      <c r="C72" s="294" t="str">
        <f t="shared" si="15"/>
        <v>gm</v>
      </c>
      <c r="D72" s="224">
        <f t="shared" si="15"/>
        <v>10</v>
      </c>
      <c r="E72" s="281">
        <f t="shared" si="19"/>
        <v>10.3125</v>
      </c>
      <c r="F72" s="127">
        <f t="shared" si="16"/>
        <v>0.75</v>
      </c>
      <c r="G72" s="119">
        <f t="shared" si="17"/>
        <v>103.125</v>
      </c>
      <c r="H72" s="120">
        <f t="shared" si="18"/>
        <v>77.34375</v>
      </c>
    </row>
    <row r="73" spans="1:8" ht="14.25" customHeight="1" x14ac:dyDescent="0.3">
      <c r="A73" s="270" t="s">
        <v>158</v>
      </c>
      <c r="B73" s="294" t="str">
        <f t="shared" si="15"/>
        <v>Cooking Cream - كريمة طبخ</v>
      </c>
      <c r="C73" s="294" t="str">
        <f t="shared" si="15"/>
        <v>ml</v>
      </c>
      <c r="D73" s="224">
        <f t="shared" si="15"/>
        <v>500</v>
      </c>
      <c r="E73" s="281">
        <f t="shared" si="19"/>
        <v>10.3125</v>
      </c>
      <c r="F73" s="127">
        <f t="shared" si="16"/>
        <v>1</v>
      </c>
      <c r="G73" s="119">
        <f t="shared" si="17"/>
        <v>5156.25</v>
      </c>
      <c r="H73" s="120">
        <f t="shared" si="18"/>
        <v>5156.25</v>
      </c>
    </row>
    <row r="74" spans="1:8" ht="14.25" customHeight="1" x14ac:dyDescent="0.3">
      <c r="A74" s="270" t="s">
        <v>158</v>
      </c>
      <c r="B74" s="294" t="str">
        <f t="shared" si="15"/>
        <v>Butter - زبدة</v>
      </c>
      <c r="C74" s="294" t="str">
        <f t="shared" si="15"/>
        <v>gm</v>
      </c>
      <c r="D74" s="224">
        <f t="shared" si="15"/>
        <v>25</v>
      </c>
      <c r="E74" s="281">
        <f t="shared" si="19"/>
        <v>10.3125</v>
      </c>
      <c r="F74" s="127">
        <f t="shared" si="16"/>
        <v>1</v>
      </c>
      <c r="G74" s="119">
        <f t="shared" si="17"/>
        <v>257.8125</v>
      </c>
      <c r="H74" s="120">
        <f t="shared" si="18"/>
        <v>257.8125</v>
      </c>
    </row>
    <row r="75" spans="1:8" ht="14.25" customHeight="1" x14ac:dyDescent="0.3">
      <c r="A75" s="270" t="s">
        <v>83</v>
      </c>
      <c r="B75" s="294" t="str">
        <f t="shared" si="15"/>
        <v>Dried Mint Leaves - نعناع مجفف</v>
      </c>
      <c r="C75" s="294" t="str">
        <f t="shared" si="15"/>
        <v>gm</v>
      </c>
      <c r="D75" s="224">
        <f t="shared" si="15"/>
        <v>1</v>
      </c>
      <c r="E75" s="281">
        <f t="shared" si="19"/>
        <v>10.3125</v>
      </c>
      <c r="F75" s="127">
        <f t="shared" si="16"/>
        <v>1</v>
      </c>
      <c r="G75" s="119">
        <f t="shared" si="17"/>
        <v>10.3125</v>
      </c>
      <c r="H75" s="120">
        <f t="shared" si="18"/>
        <v>10.3125</v>
      </c>
    </row>
    <row r="76" spans="1:8" ht="14.25" customHeight="1" x14ac:dyDescent="0.3">
      <c r="A76" s="270" t="s">
        <v>97</v>
      </c>
      <c r="B76" s="294" t="str">
        <f t="shared" si="15"/>
        <v>Salt - ملح</v>
      </c>
      <c r="C76" s="294" t="str">
        <f t="shared" si="15"/>
        <v>gm</v>
      </c>
      <c r="D76" s="224">
        <f t="shared" si="15"/>
        <v>6</v>
      </c>
      <c r="E76" s="281">
        <f t="shared" si="19"/>
        <v>10.3125</v>
      </c>
      <c r="F76" s="127">
        <f t="shared" si="16"/>
        <v>1</v>
      </c>
      <c r="G76" s="119">
        <f t="shared" si="17"/>
        <v>61.875</v>
      </c>
      <c r="H76" s="120">
        <f t="shared" si="18"/>
        <v>61.875</v>
      </c>
    </row>
    <row r="77" spans="1:8" ht="18" customHeight="1" x14ac:dyDescent="0.3">
      <c r="A77" s="270" t="s">
        <v>158</v>
      </c>
      <c r="B77" s="294" t="str">
        <f t="shared" si="15"/>
        <v>Mozzarella Cheese - جبنة موتزاريلا</v>
      </c>
      <c r="C77" s="294" t="str">
        <f t="shared" si="15"/>
        <v>gm</v>
      </c>
      <c r="D77" s="224">
        <f t="shared" si="15"/>
        <v>100</v>
      </c>
      <c r="E77" s="281">
        <f t="shared" si="19"/>
        <v>10.3125</v>
      </c>
      <c r="F77" s="127">
        <f t="shared" si="16"/>
        <v>1</v>
      </c>
      <c r="G77" s="119">
        <f t="shared" si="17"/>
        <v>1031.25</v>
      </c>
      <c r="H77" s="120">
        <f t="shared" si="18"/>
        <v>1031.25</v>
      </c>
    </row>
    <row r="78" spans="1:8" ht="18" customHeight="1" x14ac:dyDescent="0.3">
      <c r="A78" s="270" t="s">
        <v>97</v>
      </c>
      <c r="B78" s="294" t="str">
        <f t="shared" si="15"/>
        <v>Black Pepper Powder - فلفل أسود مطحون</v>
      </c>
      <c r="C78" s="294" t="str">
        <f t="shared" si="15"/>
        <v>gm</v>
      </c>
      <c r="D78" s="224">
        <f t="shared" si="15"/>
        <v>3</v>
      </c>
      <c r="E78" s="281">
        <f t="shared" si="19"/>
        <v>10.3125</v>
      </c>
      <c r="F78" s="127">
        <f t="shared" si="16"/>
        <v>0.9</v>
      </c>
      <c r="G78" s="119">
        <f t="shared" si="17"/>
        <v>30.9375</v>
      </c>
      <c r="H78" s="120">
        <f t="shared" si="18"/>
        <v>27.84375</v>
      </c>
    </row>
    <row r="79" spans="1:8" ht="14.25" customHeight="1" x14ac:dyDescent="0.3">
      <c r="A79" s="270" t="s">
        <v>97</v>
      </c>
      <c r="B79" s="294" t="str">
        <f t="shared" si="15"/>
        <v>Cinnamon Powder - قرفة مطحونة</v>
      </c>
      <c r="C79" s="294" t="str">
        <f t="shared" si="15"/>
        <v>gm</v>
      </c>
      <c r="D79" s="224">
        <f t="shared" si="15"/>
        <v>5</v>
      </c>
      <c r="E79" s="281">
        <f t="shared" si="19"/>
        <v>10.3125</v>
      </c>
      <c r="F79" s="127">
        <f t="shared" si="16"/>
        <v>0.5</v>
      </c>
      <c r="G79" s="119">
        <f t="shared" si="17"/>
        <v>51.5625</v>
      </c>
      <c r="H79" s="120">
        <f t="shared" si="18"/>
        <v>25.78125</v>
      </c>
    </row>
    <row r="80" spans="1:8" ht="20.25" customHeight="1" x14ac:dyDescent="0.3">
      <c r="A80" s="211"/>
      <c r="B80" s="198" t="s">
        <v>299</v>
      </c>
      <c r="C80" s="200" t="s">
        <v>285</v>
      </c>
      <c r="D80" s="14"/>
      <c r="E80" s="200" t="s">
        <v>300</v>
      </c>
      <c r="F80" s="14"/>
      <c r="G80" s="890" t="s">
        <v>276</v>
      </c>
      <c r="H80" s="890" t="s">
        <v>733</v>
      </c>
    </row>
    <row r="81" spans="1:8" ht="24" customHeight="1" x14ac:dyDescent="0.4">
      <c r="A81" s="211"/>
      <c r="B81" s="199">
        <f>$J$53</f>
        <v>12154</v>
      </c>
      <c r="C81" s="199">
        <f>E81+G81</f>
        <v>10000</v>
      </c>
      <c r="D81" s="930"/>
      <c r="E81" s="199">
        <f>$D$53*$S$44</f>
        <v>3700</v>
      </c>
      <c r="F81" s="934"/>
      <c r="G81" s="199">
        <f>$D$53*$T$44</f>
        <v>6300</v>
      </c>
      <c r="H81" s="199">
        <f>B81+E81</f>
        <v>15854</v>
      </c>
    </row>
    <row r="82" spans="1:8" ht="14.25" customHeight="1" x14ac:dyDescent="0.3">
      <c r="B82" s="100"/>
      <c r="C82" s="100"/>
      <c r="D82" s="214"/>
      <c r="E82" s="100"/>
      <c r="F82" s="100"/>
      <c r="G82" s="100"/>
      <c r="H82" s="100"/>
    </row>
    <row r="83" spans="1:8" ht="14.25" customHeight="1" x14ac:dyDescent="0.3">
      <c r="B83" s="100"/>
      <c r="C83" s="100"/>
      <c r="D83" s="214"/>
      <c r="E83" s="100"/>
      <c r="F83" s="100"/>
      <c r="G83" s="100"/>
      <c r="H83" s="100"/>
    </row>
    <row r="84" spans="1:8" ht="17.75" customHeight="1" x14ac:dyDescent="0.3">
      <c r="A84" s="938"/>
      <c r="B84" s="1382" t="str">
        <f>"  داوود باشا 2 / " &amp; COUNTIF($C$53:$C$55, "&gt;0")</f>
        <v xml:space="preserve">  داوود باشا 2 / 3</v>
      </c>
      <c r="C84" s="1383"/>
      <c r="D84" s="1383"/>
      <c r="E84" s="1383"/>
      <c r="F84" s="1383"/>
      <c r="G84" s="1383"/>
      <c r="H84" s="1383"/>
    </row>
    <row r="85" spans="1:8" ht="17.75" customHeight="1" x14ac:dyDescent="0.3">
      <c r="A85" s="976"/>
      <c r="B85" s="1467" t="str">
        <f>" Daoud Basha 2 / " &amp; COUNTIF($C$53:$C$55, "&gt;0")</f>
        <v xml:space="preserve"> Daoud Basha 2 / 3</v>
      </c>
      <c r="C85" s="1385"/>
      <c r="D85" s="1385"/>
      <c r="E85" s="1385"/>
      <c r="F85" s="1385"/>
      <c r="G85" s="1385"/>
      <c r="H85" s="1385"/>
    </row>
    <row r="86" spans="1:8" ht="25.5" customHeight="1" x14ac:dyDescent="0.3">
      <c r="A86" s="91"/>
      <c r="B86" s="243" t="s">
        <v>253</v>
      </c>
      <c r="C86" s="244" t="s">
        <v>254</v>
      </c>
      <c r="D86" s="245" t="s">
        <v>243</v>
      </c>
      <c r="E86" s="218" t="s">
        <v>246</v>
      </c>
      <c r="F86" s="218" t="s">
        <v>255</v>
      </c>
      <c r="G86" s="245" t="s">
        <v>256</v>
      </c>
      <c r="H86" s="218" t="s">
        <v>257</v>
      </c>
    </row>
    <row r="87" spans="1:8" ht="14.25" customHeight="1" x14ac:dyDescent="0.3">
      <c r="A87" s="270" t="s">
        <v>230</v>
      </c>
      <c r="B87" s="294" t="str">
        <f t="shared" ref="B87:D101" si="20">B5</f>
        <v>Indian Meat Tammam Mafroom - مفروم هندى</v>
      </c>
      <c r="C87" s="294" t="str">
        <f t="shared" si="20"/>
        <v>gm</v>
      </c>
      <c r="D87" s="439">
        <f t="shared" si="20"/>
        <v>2095.5172413793107</v>
      </c>
      <c r="E87" s="440">
        <f>H54</f>
        <v>10</v>
      </c>
      <c r="F87" s="127">
        <f t="shared" ref="F87:F101" si="21">F5</f>
        <v>1</v>
      </c>
      <c r="G87" s="119">
        <f t="shared" ref="G87:G101" si="22">D87*E87</f>
        <v>20955.172413793109</v>
      </c>
      <c r="H87" s="120">
        <f t="shared" ref="H87:H101" si="23">G87*F87</f>
        <v>20955.172413793109</v>
      </c>
    </row>
    <row r="88" spans="1:8" ht="14.25" customHeight="1" x14ac:dyDescent="0.3">
      <c r="A88" s="270" t="s">
        <v>13</v>
      </c>
      <c r="B88" s="294" t="str">
        <f t="shared" si="20"/>
        <v>Onion - بصل</v>
      </c>
      <c r="C88" s="294" t="str">
        <f t="shared" si="20"/>
        <v>gm</v>
      </c>
      <c r="D88" s="224">
        <f t="shared" si="20"/>
        <v>200</v>
      </c>
      <c r="E88" s="440">
        <f t="shared" ref="E88:E101" si="24">$C$54</f>
        <v>10.3125</v>
      </c>
      <c r="F88" s="127">
        <f t="shared" si="21"/>
        <v>1</v>
      </c>
      <c r="G88" s="119">
        <f t="shared" si="22"/>
        <v>2062.5</v>
      </c>
      <c r="H88" s="120">
        <f t="shared" si="23"/>
        <v>2062.5</v>
      </c>
    </row>
    <row r="89" spans="1:8" ht="14.25" customHeight="1" x14ac:dyDescent="0.3">
      <c r="A89" s="270" t="s">
        <v>13</v>
      </c>
      <c r="B89" s="294" t="str">
        <f t="shared" si="20"/>
        <v>Garlic - ثوم مقشر</v>
      </c>
      <c r="C89" s="294" t="str">
        <f t="shared" si="20"/>
        <v>gm</v>
      </c>
      <c r="D89" s="224">
        <f t="shared" si="20"/>
        <v>25</v>
      </c>
      <c r="E89" s="440">
        <f t="shared" si="24"/>
        <v>10.3125</v>
      </c>
      <c r="F89" s="127">
        <f t="shared" si="21"/>
        <v>1</v>
      </c>
      <c r="G89" s="119">
        <f t="shared" si="22"/>
        <v>257.8125</v>
      </c>
      <c r="H89" s="120">
        <f t="shared" si="23"/>
        <v>257.8125</v>
      </c>
    </row>
    <row r="90" spans="1:8" ht="14.25" customHeight="1" x14ac:dyDescent="0.3">
      <c r="A90" s="270" t="s">
        <v>13</v>
      </c>
      <c r="B90" s="294" t="str">
        <f t="shared" si="20"/>
        <v>Tomato - طماطم</v>
      </c>
      <c r="C90" s="294" t="str">
        <f t="shared" si="20"/>
        <v>gm</v>
      </c>
      <c r="D90" s="224">
        <f t="shared" si="20"/>
        <v>200</v>
      </c>
      <c r="E90" s="440">
        <f t="shared" si="24"/>
        <v>10.3125</v>
      </c>
      <c r="F90" s="127">
        <f t="shared" si="21"/>
        <v>1</v>
      </c>
      <c r="G90" s="119">
        <f t="shared" si="22"/>
        <v>2062.5</v>
      </c>
      <c r="H90" s="120">
        <f t="shared" si="23"/>
        <v>2062.5</v>
      </c>
    </row>
    <row r="91" spans="1:8" ht="14.25" customHeight="1" x14ac:dyDescent="0.3">
      <c r="A91" s="270" t="s">
        <v>196</v>
      </c>
      <c r="B91" s="294" t="str">
        <f t="shared" si="20"/>
        <v>Tomato Paste - صلصة طماطم</v>
      </c>
      <c r="C91" s="294" t="str">
        <f t="shared" si="20"/>
        <v>gm</v>
      </c>
      <c r="D91" s="224">
        <f t="shared" si="20"/>
        <v>240</v>
      </c>
      <c r="E91" s="440">
        <f t="shared" si="24"/>
        <v>10.3125</v>
      </c>
      <c r="F91" s="127">
        <f t="shared" si="21"/>
        <v>1</v>
      </c>
      <c r="G91" s="119">
        <f t="shared" si="22"/>
        <v>2475</v>
      </c>
      <c r="H91" s="120">
        <f t="shared" si="23"/>
        <v>2475</v>
      </c>
    </row>
    <row r="92" spans="1:8" ht="14.25" customHeight="1" x14ac:dyDescent="0.3">
      <c r="A92" s="270" t="s">
        <v>97</v>
      </c>
      <c r="B92" s="294" t="str">
        <f t="shared" si="20"/>
        <v>Maggi Cubes - مكعبات ماجي</v>
      </c>
      <c r="C92" s="294" t="str">
        <f t="shared" si="20"/>
        <v>gm</v>
      </c>
      <c r="D92" s="224">
        <f t="shared" si="20"/>
        <v>6</v>
      </c>
      <c r="E92" s="440">
        <f t="shared" si="24"/>
        <v>10.3125</v>
      </c>
      <c r="F92" s="127">
        <f t="shared" si="21"/>
        <v>0.75</v>
      </c>
      <c r="G92" s="119">
        <f t="shared" si="22"/>
        <v>61.875</v>
      </c>
      <c r="H92" s="120">
        <f t="shared" si="23"/>
        <v>46.40625</v>
      </c>
    </row>
    <row r="93" spans="1:8" ht="14.25" customHeight="1" x14ac:dyDescent="0.3">
      <c r="A93" s="270" t="s">
        <v>97</v>
      </c>
      <c r="B93" s="294" t="str">
        <f t="shared" si="20"/>
        <v>Cumin Powder - كمون مطحون</v>
      </c>
      <c r="C93" s="294" t="str">
        <f t="shared" si="20"/>
        <v>gm</v>
      </c>
      <c r="D93" s="224">
        <f t="shared" si="20"/>
        <v>10</v>
      </c>
      <c r="E93" s="440">
        <f t="shared" si="24"/>
        <v>10.3125</v>
      </c>
      <c r="F93" s="127">
        <f t="shared" si="21"/>
        <v>0.75</v>
      </c>
      <c r="G93" s="119">
        <f t="shared" si="22"/>
        <v>103.125</v>
      </c>
      <c r="H93" s="120">
        <f t="shared" si="23"/>
        <v>77.34375</v>
      </c>
    </row>
    <row r="94" spans="1:8" ht="14.25" customHeight="1" x14ac:dyDescent="0.3">
      <c r="A94" s="270" t="s">
        <v>97</v>
      </c>
      <c r="B94" s="294" t="str">
        <f t="shared" si="20"/>
        <v>Coriander Powder - كزبرة مطحونة</v>
      </c>
      <c r="C94" s="294" t="str">
        <f t="shared" si="20"/>
        <v>gm</v>
      </c>
      <c r="D94" s="224">
        <f t="shared" si="20"/>
        <v>10</v>
      </c>
      <c r="E94" s="440">
        <f t="shared" si="24"/>
        <v>10.3125</v>
      </c>
      <c r="F94" s="127">
        <f t="shared" si="21"/>
        <v>0.75</v>
      </c>
      <c r="G94" s="119">
        <f t="shared" si="22"/>
        <v>103.125</v>
      </c>
      <c r="H94" s="120">
        <f t="shared" si="23"/>
        <v>77.34375</v>
      </c>
    </row>
    <row r="95" spans="1:8" ht="14.25" customHeight="1" x14ac:dyDescent="0.3">
      <c r="A95" s="270" t="s">
        <v>158</v>
      </c>
      <c r="B95" s="294" t="str">
        <f t="shared" si="20"/>
        <v>Cooking Cream - كريمة طبخ</v>
      </c>
      <c r="C95" s="294" t="str">
        <f t="shared" si="20"/>
        <v>ml</v>
      </c>
      <c r="D95" s="224">
        <f t="shared" si="20"/>
        <v>500</v>
      </c>
      <c r="E95" s="440">
        <f t="shared" si="24"/>
        <v>10.3125</v>
      </c>
      <c r="F95" s="127">
        <f t="shared" si="21"/>
        <v>1</v>
      </c>
      <c r="G95" s="119">
        <f t="shared" si="22"/>
        <v>5156.25</v>
      </c>
      <c r="H95" s="120">
        <f t="shared" si="23"/>
        <v>5156.25</v>
      </c>
    </row>
    <row r="96" spans="1:8" ht="14.25" customHeight="1" x14ac:dyDescent="0.3">
      <c r="A96" s="270" t="s">
        <v>158</v>
      </c>
      <c r="B96" s="294" t="str">
        <f t="shared" si="20"/>
        <v>Butter - زبدة</v>
      </c>
      <c r="C96" s="294" t="str">
        <f t="shared" si="20"/>
        <v>gm</v>
      </c>
      <c r="D96" s="224">
        <f t="shared" si="20"/>
        <v>25</v>
      </c>
      <c r="E96" s="440">
        <f t="shared" si="24"/>
        <v>10.3125</v>
      </c>
      <c r="F96" s="127">
        <f t="shared" si="21"/>
        <v>1</v>
      </c>
      <c r="G96" s="119">
        <f t="shared" si="22"/>
        <v>257.8125</v>
      </c>
      <c r="H96" s="120">
        <f t="shared" si="23"/>
        <v>257.8125</v>
      </c>
    </row>
    <row r="97" spans="1:8" ht="14.25" customHeight="1" x14ac:dyDescent="0.3">
      <c r="A97" s="270" t="s">
        <v>83</v>
      </c>
      <c r="B97" s="294" t="str">
        <f t="shared" si="20"/>
        <v>Dried Mint Leaves - نعناع مجفف</v>
      </c>
      <c r="C97" s="294" t="str">
        <f t="shared" si="20"/>
        <v>gm</v>
      </c>
      <c r="D97" s="224">
        <f t="shared" si="20"/>
        <v>1</v>
      </c>
      <c r="E97" s="440">
        <f t="shared" si="24"/>
        <v>10.3125</v>
      </c>
      <c r="F97" s="127">
        <f t="shared" si="21"/>
        <v>1</v>
      </c>
      <c r="G97" s="119">
        <f t="shared" si="22"/>
        <v>10.3125</v>
      </c>
      <c r="H97" s="120">
        <f t="shared" si="23"/>
        <v>10.3125</v>
      </c>
    </row>
    <row r="98" spans="1:8" ht="14.25" customHeight="1" x14ac:dyDescent="0.3">
      <c r="A98" s="270" t="s">
        <v>97</v>
      </c>
      <c r="B98" s="294" t="str">
        <f t="shared" si="20"/>
        <v>Salt - ملح</v>
      </c>
      <c r="C98" s="294" t="str">
        <f t="shared" si="20"/>
        <v>gm</v>
      </c>
      <c r="D98" s="224">
        <f t="shared" si="20"/>
        <v>6</v>
      </c>
      <c r="E98" s="440">
        <f t="shared" si="24"/>
        <v>10.3125</v>
      </c>
      <c r="F98" s="127">
        <f t="shared" si="21"/>
        <v>1</v>
      </c>
      <c r="G98" s="119">
        <f t="shared" si="22"/>
        <v>61.875</v>
      </c>
      <c r="H98" s="120">
        <f t="shared" si="23"/>
        <v>61.875</v>
      </c>
    </row>
    <row r="99" spans="1:8" ht="14.25" customHeight="1" x14ac:dyDescent="0.3">
      <c r="A99" s="270" t="s">
        <v>158</v>
      </c>
      <c r="B99" s="294" t="str">
        <f t="shared" si="20"/>
        <v>Mozzarella Cheese - جبنة موتزاريلا</v>
      </c>
      <c r="C99" s="294" t="str">
        <f t="shared" si="20"/>
        <v>gm</v>
      </c>
      <c r="D99" s="224">
        <f t="shared" si="20"/>
        <v>100</v>
      </c>
      <c r="E99" s="440">
        <f t="shared" si="24"/>
        <v>10.3125</v>
      </c>
      <c r="F99" s="127">
        <f t="shared" si="21"/>
        <v>1</v>
      </c>
      <c r="G99" s="119">
        <f t="shared" si="22"/>
        <v>1031.25</v>
      </c>
      <c r="H99" s="120">
        <f t="shared" si="23"/>
        <v>1031.25</v>
      </c>
    </row>
    <row r="100" spans="1:8" ht="14.25" customHeight="1" x14ac:dyDescent="0.3">
      <c r="A100" s="270" t="s">
        <v>97</v>
      </c>
      <c r="B100" s="294" t="str">
        <f t="shared" si="20"/>
        <v>Black Pepper Powder - فلفل أسود مطحون</v>
      </c>
      <c r="C100" s="294" t="str">
        <f t="shared" si="20"/>
        <v>gm</v>
      </c>
      <c r="D100" s="224">
        <f t="shared" si="20"/>
        <v>3</v>
      </c>
      <c r="E100" s="440">
        <f t="shared" si="24"/>
        <v>10.3125</v>
      </c>
      <c r="F100" s="127">
        <f t="shared" si="21"/>
        <v>0.9</v>
      </c>
      <c r="G100" s="119">
        <f t="shared" si="22"/>
        <v>30.9375</v>
      </c>
      <c r="H100" s="120">
        <f t="shared" si="23"/>
        <v>27.84375</v>
      </c>
    </row>
    <row r="101" spans="1:8" ht="14.25" customHeight="1" x14ac:dyDescent="0.3">
      <c r="A101" s="270" t="s">
        <v>97</v>
      </c>
      <c r="B101" s="294" t="str">
        <f t="shared" si="20"/>
        <v>Cinnamon Powder - قرفة مطحونة</v>
      </c>
      <c r="C101" s="294" t="str">
        <f t="shared" si="20"/>
        <v>gm</v>
      </c>
      <c r="D101" s="224">
        <f t="shared" si="20"/>
        <v>5</v>
      </c>
      <c r="E101" s="440">
        <f t="shared" si="24"/>
        <v>10.3125</v>
      </c>
      <c r="F101" s="127">
        <f t="shared" si="21"/>
        <v>0.5</v>
      </c>
      <c r="G101" s="119">
        <f t="shared" si="22"/>
        <v>51.5625</v>
      </c>
      <c r="H101" s="120">
        <f t="shared" si="23"/>
        <v>25.78125</v>
      </c>
    </row>
    <row r="102" spans="1:8" ht="20.25" customHeight="1" x14ac:dyDescent="0.3">
      <c r="A102" s="211"/>
      <c r="B102" s="198" t="s">
        <v>299</v>
      </c>
      <c r="C102" s="200" t="s">
        <v>285</v>
      </c>
      <c r="D102" s="14"/>
      <c r="E102" s="200" t="s">
        <v>300</v>
      </c>
      <c r="F102" s="14"/>
      <c r="G102" s="890" t="s">
        <v>276</v>
      </c>
      <c r="H102" s="890" t="s">
        <v>733</v>
      </c>
    </row>
    <row r="103" spans="1:8" ht="20.75" customHeight="1" x14ac:dyDescent="0.4">
      <c r="A103" s="211"/>
      <c r="B103" s="199">
        <f>$J$54</f>
        <v>12154</v>
      </c>
      <c r="C103" s="199">
        <f>E103+G103</f>
        <v>10000</v>
      </c>
      <c r="D103" s="930"/>
      <c r="E103" s="199">
        <f>$D$54*$S$44</f>
        <v>3700</v>
      </c>
      <c r="F103" s="934"/>
      <c r="G103" s="199">
        <f>$D$54*$T$44</f>
        <v>6300</v>
      </c>
      <c r="H103" s="199">
        <f>B103+E103</f>
        <v>15854</v>
      </c>
    </row>
    <row r="104" spans="1:8" ht="14.25" customHeight="1" x14ac:dyDescent="0.3">
      <c r="B104" s="100"/>
      <c r="C104" s="100"/>
      <c r="D104" s="214"/>
      <c r="E104" s="100"/>
      <c r="F104" s="100"/>
      <c r="G104" s="100"/>
      <c r="H104" s="100"/>
    </row>
    <row r="105" spans="1:8" ht="14.25" customHeight="1" x14ac:dyDescent="0.3">
      <c r="B105" s="100"/>
      <c r="C105" s="100"/>
      <c r="D105" s="214"/>
      <c r="E105" s="100"/>
      <c r="F105" s="100"/>
      <c r="G105" s="100"/>
      <c r="H105" s="100"/>
    </row>
    <row r="106" spans="1:8" ht="14.25" customHeight="1" x14ac:dyDescent="0.3">
      <c r="B106" s="100"/>
      <c r="C106" s="100"/>
      <c r="D106" s="214"/>
      <c r="E106" s="100"/>
      <c r="F106" s="100"/>
      <c r="G106" s="100"/>
      <c r="H106" s="100"/>
    </row>
    <row r="107" spans="1:8" ht="17.75" customHeight="1" x14ac:dyDescent="0.3">
      <c r="A107" s="938"/>
      <c r="B107" s="1382" t="str">
        <f>" داوود باشا 3 / " &amp; COUNTIF($C$53:$C$55, "&gt;0")</f>
        <v xml:space="preserve"> داوود باشا 3 / 3</v>
      </c>
      <c r="C107" s="1383"/>
      <c r="D107" s="1383"/>
      <c r="E107" s="1383"/>
      <c r="F107" s="1383"/>
      <c r="G107" s="1383"/>
      <c r="H107" s="1383"/>
    </row>
    <row r="108" spans="1:8" ht="17.75" customHeight="1" x14ac:dyDescent="0.3">
      <c r="A108" s="976"/>
      <c r="B108" s="1467" t="str">
        <f>"Daoud Basha 3 / " &amp; COUNTIF($C$53:$C$277, "&gt;0")</f>
        <v>Daoud Basha 3 / 6</v>
      </c>
      <c r="C108" s="1385"/>
      <c r="D108" s="1385"/>
      <c r="E108" s="1385"/>
      <c r="F108" s="1385"/>
      <c r="G108" s="1385"/>
      <c r="H108" s="1385"/>
    </row>
    <row r="109" spans="1:8" ht="25.5" customHeight="1" x14ac:dyDescent="0.3">
      <c r="A109" s="91"/>
      <c r="B109" s="243" t="s">
        <v>253</v>
      </c>
      <c r="C109" s="244" t="s">
        <v>254</v>
      </c>
      <c r="D109" s="245" t="s">
        <v>243</v>
      </c>
      <c r="E109" s="218" t="s">
        <v>246</v>
      </c>
      <c r="F109" s="218" t="s">
        <v>255</v>
      </c>
      <c r="G109" s="245" t="s">
        <v>256</v>
      </c>
      <c r="H109" s="218" t="s">
        <v>257</v>
      </c>
    </row>
    <row r="110" spans="1:8" ht="14.25" customHeight="1" x14ac:dyDescent="0.3">
      <c r="A110" s="270" t="s">
        <v>230</v>
      </c>
      <c r="B110" s="294" t="str">
        <f t="shared" ref="B110:D124" si="25">B5</f>
        <v>Indian Meat Tammam Mafroom - مفروم هندى</v>
      </c>
      <c r="C110" s="294" t="str">
        <f t="shared" si="25"/>
        <v>gm</v>
      </c>
      <c r="D110" s="439">
        <f t="shared" si="25"/>
        <v>2095.5172413793107</v>
      </c>
      <c r="E110" s="440">
        <f>H55</f>
        <v>1.2275793977291336</v>
      </c>
      <c r="F110" s="127">
        <f t="shared" ref="F110:F124" si="26">F5</f>
        <v>1</v>
      </c>
      <c r="G110" s="119">
        <f t="shared" ref="G110:G124" si="27">D110*E110</f>
        <v>2572.4137931034297</v>
      </c>
      <c r="H110" s="120">
        <f t="shared" ref="H110:H124" si="28">G110*F110</f>
        <v>2572.4137931034297</v>
      </c>
    </row>
    <row r="111" spans="1:8" ht="14.25" customHeight="1" x14ac:dyDescent="0.3">
      <c r="A111" s="270" t="s">
        <v>13</v>
      </c>
      <c r="B111" s="294" t="str">
        <f t="shared" si="25"/>
        <v>Onion - بصل</v>
      </c>
      <c r="C111" s="294" t="str">
        <f t="shared" si="25"/>
        <v>gm</v>
      </c>
      <c r="D111" s="224">
        <f t="shared" si="25"/>
        <v>200</v>
      </c>
      <c r="E111" s="440">
        <f t="shared" ref="E111:E124" si="29">$C$55</f>
        <v>1.1921250000000043</v>
      </c>
      <c r="F111" s="127">
        <f t="shared" si="26"/>
        <v>1</v>
      </c>
      <c r="G111" s="119">
        <f t="shared" si="27"/>
        <v>238.42500000000086</v>
      </c>
      <c r="H111" s="120">
        <f t="shared" si="28"/>
        <v>238.42500000000086</v>
      </c>
    </row>
    <row r="112" spans="1:8" ht="14.25" customHeight="1" x14ac:dyDescent="0.3">
      <c r="A112" s="270" t="s">
        <v>13</v>
      </c>
      <c r="B112" s="294" t="str">
        <f t="shared" si="25"/>
        <v>Garlic - ثوم مقشر</v>
      </c>
      <c r="C112" s="294" t="str">
        <f t="shared" si="25"/>
        <v>gm</v>
      </c>
      <c r="D112" s="224">
        <f t="shared" si="25"/>
        <v>25</v>
      </c>
      <c r="E112" s="440">
        <f t="shared" si="29"/>
        <v>1.1921250000000043</v>
      </c>
      <c r="F112" s="127">
        <f t="shared" si="26"/>
        <v>1</v>
      </c>
      <c r="G112" s="119">
        <f t="shared" si="27"/>
        <v>29.803125000000108</v>
      </c>
      <c r="H112" s="120">
        <f t="shared" si="28"/>
        <v>29.803125000000108</v>
      </c>
    </row>
    <row r="113" spans="1:10" ht="14.25" customHeight="1" x14ac:dyDescent="0.3">
      <c r="A113" s="270" t="s">
        <v>13</v>
      </c>
      <c r="B113" s="294" t="str">
        <f t="shared" si="25"/>
        <v>Tomato - طماطم</v>
      </c>
      <c r="C113" s="294" t="str">
        <f t="shared" si="25"/>
        <v>gm</v>
      </c>
      <c r="D113" s="224">
        <f t="shared" si="25"/>
        <v>200</v>
      </c>
      <c r="E113" s="440">
        <f t="shared" si="29"/>
        <v>1.1921250000000043</v>
      </c>
      <c r="F113" s="127">
        <f t="shared" si="26"/>
        <v>1</v>
      </c>
      <c r="G113" s="119">
        <f t="shared" si="27"/>
        <v>238.42500000000086</v>
      </c>
      <c r="H113" s="120">
        <f t="shared" si="28"/>
        <v>238.42500000000086</v>
      </c>
    </row>
    <row r="114" spans="1:10" ht="14.25" customHeight="1" x14ac:dyDescent="0.3">
      <c r="A114" s="270" t="s">
        <v>196</v>
      </c>
      <c r="B114" s="294" t="str">
        <f t="shared" si="25"/>
        <v>Tomato Paste - صلصة طماطم</v>
      </c>
      <c r="C114" s="294" t="str">
        <f t="shared" si="25"/>
        <v>gm</v>
      </c>
      <c r="D114" s="224">
        <f t="shared" si="25"/>
        <v>240</v>
      </c>
      <c r="E114" s="440">
        <f t="shared" si="29"/>
        <v>1.1921250000000043</v>
      </c>
      <c r="F114" s="127">
        <f t="shared" si="26"/>
        <v>1</v>
      </c>
      <c r="G114" s="119">
        <f t="shared" si="27"/>
        <v>286.11000000000104</v>
      </c>
      <c r="H114" s="120">
        <f t="shared" si="28"/>
        <v>286.11000000000104</v>
      </c>
    </row>
    <row r="115" spans="1:10" ht="14.25" customHeight="1" x14ac:dyDescent="0.3">
      <c r="A115" s="270" t="s">
        <v>97</v>
      </c>
      <c r="B115" s="294" t="str">
        <f t="shared" si="25"/>
        <v>Maggi Cubes - مكعبات ماجي</v>
      </c>
      <c r="C115" s="294" t="str">
        <f t="shared" si="25"/>
        <v>gm</v>
      </c>
      <c r="D115" s="224">
        <f t="shared" si="25"/>
        <v>6</v>
      </c>
      <c r="E115" s="440">
        <f t="shared" si="29"/>
        <v>1.1921250000000043</v>
      </c>
      <c r="F115" s="127">
        <f t="shared" si="26"/>
        <v>0.75</v>
      </c>
      <c r="G115" s="119">
        <f t="shared" si="27"/>
        <v>7.1527500000000259</v>
      </c>
      <c r="H115" s="120">
        <f t="shared" si="28"/>
        <v>5.3645625000000194</v>
      </c>
    </row>
    <row r="116" spans="1:10" ht="14.25" customHeight="1" x14ac:dyDescent="0.3">
      <c r="A116" s="270" t="s">
        <v>97</v>
      </c>
      <c r="B116" s="294" t="str">
        <f t="shared" si="25"/>
        <v>Cumin Powder - كمون مطحون</v>
      </c>
      <c r="C116" s="294" t="str">
        <f t="shared" si="25"/>
        <v>gm</v>
      </c>
      <c r="D116" s="224">
        <f t="shared" si="25"/>
        <v>10</v>
      </c>
      <c r="E116" s="440">
        <f t="shared" si="29"/>
        <v>1.1921250000000043</v>
      </c>
      <c r="F116" s="127">
        <f t="shared" si="26"/>
        <v>0.75</v>
      </c>
      <c r="G116" s="119">
        <f t="shared" si="27"/>
        <v>11.921250000000043</v>
      </c>
      <c r="H116" s="120">
        <f t="shared" si="28"/>
        <v>8.9409375000000324</v>
      </c>
    </row>
    <row r="117" spans="1:10" ht="14.25" customHeight="1" x14ac:dyDescent="0.3">
      <c r="A117" s="270" t="s">
        <v>97</v>
      </c>
      <c r="B117" s="294" t="str">
        <f t="shared" si="25"/>
        <v>Coriander Powder - كزبرة مطحونة</v>
      </c>
      <c r="C117" s="294" t="str">
        <f t="shared" si="25"/>
        <v>gm</v>
      </c>
      <c r="D117" s="224">
        <f t="shared" si="25"/>
        <v>10</v>
      </c>
      <c r="E117" s="440">
        <f t="shared" si="29"/>
        <v>1.1921250000000043</v>
      </c>
      <c r="F117" s="127">
        <f t="shared" si="26"/>
        <v>0.75</v>
      </c>
      <c r="G117" s="119">
        <f t="shared" si="27"/>
        <v>11.921250000000043</v>
      </c>
      <c r="H117" s="120">
        <f t="shared" si="28"/>
        <v>8.9409375000000324</v>
      </c>
    </row>
    <row r="118" spans="1:10" ht="14.25" customHeight="1" x14ac:dyDescent="0.3">
      <c r="A118" s="270" t="s">
        <v>158</v>
      </c>
      <c r="B118" s="294" t="str">
        <f t="shared" si="25"/>
        <v>Cooking Cream - كريمة طبخ</v>
      </c>
      <c r="C118" s="294" t="str">
        <f t="shared" si="25"/>
        <v>ml</v>
      </c>
      <c r="D118" s="224">
        <f t="shared" si="25"/>
        <v>500</v>
      </c>
      <c r="E118" s="440">
        <f t="shared" si="29"/>
        <v>1.1921250000000043</v>
      </c>
      <c r="F118" s="127">
        <f t="shared" si="26"/>
        <v>1</v>
      </c>
      <c r="G118" s="119">
        <f t="shared" si="27"/>
        <v>596.06250000000216</v>
      </c>
      <c r="H118" s="120">
        <f t="shared" si="28"/>
        <v>596.06250000000216</v>
      </c>
    </row>
    <row r="119" spans="1:10" ht="14.25" customHeight="1" x14ac:dyDescent="0.3">
      <c r="A119" s="270" t="s">
        <v>158</v>
      </c>
      <c r="B119" s="294" t="str">
        <f t="shared" si="25"/>
        <v>Butter - زبدة</v>
      </c>
      <c r="C119" s="294" t="str">
        <f t="shared" si="25"/>
        <v>gm</v>
      </c>
      <c r="D119" s="224">
        <f t="shared" si="25"/>
        <v>25</v>
      </c>
      <c r="E119" s="440">
        <f t="shared" si="29"/>
        <v>1.1921250000000043</v>
      </c>
      <c r="F119" s="127">
        <f t="shared" si="26"/>
        <v>1</v>
      </c>
      <c r="G119" s="119">
        <f t="shared" si="27"/>
        <v>29.803125000000108</v>
      </c>
      <c r="H119" s="120">
        <f t="shared" si="28"/>
        <v>29.803125000000108</v>
      </c>
    </row>
    <row r="120" spans="1:10" ht="14.25" customHeight="1" x14ac:dyDescent="0.3">
      <c r="A120" s="270" t="s">
        <v>83</v>
      </c>
      <c r="B120" s="294" t="str">
        <f t="shared" si="25"/>
        <v>Dried Mint Leaves - نعناع مجفف</v>
      </c>
      <c r="C120" s="294" t="str">
        <f t="shared" si="25"/>
        <v>gm</v>
      </c>
      <c r="D120" s="224">
        <f t="shared" si="25"/>
        <v>1</v>
      </c>
      <c r="E120" s="440">
        <f t="shared" si="29"/>
        <v>1.1921250000000043</v>
      </c>
      <c r="F120" s="127">
        <f t="shared" si="26"/>
        <v>1</v>
      </c>
      <c r="G120" s="119">
        <f t="shared" si="27"/>
        <v>1.1921250000000043</v>
      </c>
      <c r="H120" s="120">
        <f t="shared" si="28"/>
        <v>1.1921250000000043</v>
      </c>
    </row>
    <row r="121" spans="1:10" ht="14.25" customHeight="1" x14ac:dyDescent="0.3">
      <c r="A121" s="270" t="s">
        <v>97</v>
      </c>
      <c r="B121" s="294" t="str">
        <f t="shared" si="25"/>
        <v>Salt - ملح</v>
      </c>
      <c r="C121" s="294" t="str">
        <f t="shared" si="25"/>
        <v>gm</v>
      </c>
      <c r="D121" s="224">
        <f t="shared" si="25"/>
        <v>6</v>
      </c>
      <c r="E121" s="440">
        <f t="shared" si="29"/>
        <v>1.1921250000000043</v>
      </c>
      <c r="F121" s="127">
        <f t="shared" si="26"/>
        <v>1</v>
      </c>
      <c r="G121" s="119">
        <f t="shared" si="27"/>
        <v>7.1527500000000259</v>
      </c>
      <c r="H121" s="120">
        <f t="shared" si="28"/>
        <v>7.1527500000000259</v>
      </c>
    </row>
    <row r="122" spans="1:10" ht="14.25" customHeight="1" x14ac:dyDescent="0.3">
      <c r="A122" s="270" t="s">
        <v>158</v>
      </c>
      <c r="B122" s="294" t="str">
        <f t="shared" si="25"/>
        <v>Mozzarella Cheese - جبنة موتزاريلا</v>
      </c>
      <c r="C122" s="294" t="str">
        <f t="shared" si="25"/>
        <v>gm</v>
      </c>
      <c r="D122" s="224">
        <f t="shared" si="25"/>
        <v>100</v>
      </c>
      <c r="E122" s="440">
        <f t="shared" si="29"/>
        <v>1.1921250000000043</v>
      </c>
      <c r="F122" s="127">
        <f t="shared" si="26"/>
        <v>1</v>
      </c>
      <c r="G122" s="119">
        <f t="shared" si="27"/>
        <v>119.21250000000043</v>
      </c>
      <c r="H122" s="120">
        <f t="shared" si="28"/>
        <v>119.21250000000043</v>
      </c>
    </row>
    <row r="123" spans="1:10" ht="14.25" customHeight="1" x14ac:dyDescent="0.3">
      <c r="A123" s="270" t="s">
        <v>97</v>
      </c>
      <c r="B123" s="294" t="str">
        <f t="shared" si="25"/>
        <v>Black Pepper Powder - فلفل أسود مطحون</v>
      </c>
      <c r="C123" s="294" t="str">
        <f t="shared" si="25"/>
        <v>gm</v>
      </c>
      <c r="D123" s="224">
        <f t="shared" si="25"/>
        <v>3</v>
      </c>
      <c r="E123" s="440">
        <f t="shared" si="29"/>
        <v>1.1921250000000043</v>
      </c>
      <c r="F123" s="127">
        <f t="shared" si="26"/>
        <v>0.9</v>
      </c>
      <c r="G123" s="119">
        <f t="shared" si="27"/>
        <v>3.576375000000013</v>
      </c>
      <c r="H123" s="120">
        <f t="shared" si="28"/>
        <v>3.2187375000000116</v>
      </c>
    </row>
    <row r="124" spans="1:10" ht="14.25" customHeight="1" x14ac:dyDescent="0.3">
      <c r="A124" s="270" t="s">
        <v>97</v>
      </c>
      <c r="B124" s="294" t="str">
        <f t="shared" si="25"/>
        <v>Cinnamon Powder - قرفة مطحونة</v>
      </c>
      <c r="C124" s="294" t="str">
        <f t="shared" si="25"/>
        <v>gm</v>
      </c>
      <c r="D124" s="224">
        <f t="shared" si="25"/>
        <v>5</v>
      </c>
      <c r="E124" s="440">
        <f t="shared" si="29"/>
        <v>1.1921250000000043</v>
      </c>
      <c r="F124" s="127">
        <f t="shared" si="26"/>
        <v>0.5</v>
      </c>
      <c r="G124" s="119">
        <f t="shared" si="27"/>
        <v>5.9606250000000216</v>
      </c>
      <c r="H124" s="120">
        <f t="shared" si="28"/>
        <v>2.9803125000000108</v>
      </c>
    </row>
    <row r="125" spans="1:10" ht="20.25" customHeight="1" x14ac:dyDescent="0.4">
      <c r="A125" s="211"/>
      <c r="B125" s="198" t="s">
        <v>299</v>
      </c>
      <c r="C125" s="200" t="s">
        <v>285</v>
      </c>
      <c r="D125" s="14"/>
      <c r="E125" s="200" t="s">
        <v>300</v>
      </c>
      <c r="F125" s="14"/>
      <c r="G125" s="890" t="s">
        <v>276</v>
      </c>
      <c r="H125" s="890" t="s">
        <v>733</v>
      </c>
      <c r="I125" s="204"/>
      <c r="J125" s="203"/>
    </row>
    <row r="126" spans="1:10" ht="20" x14ac:dyDescent="0.4">
      <c r="A126" s="211"/>
      <c r="B126" s="199">
        <f>$J$55</f>
        <v>1491.9999999999927</v>
      </c>
      <c r="C126" s="199">
        <f>E126+G126</f>
        <v>1156.0000000000041</v>
      </c>
      <c r="D126" s="930"/>
      <c r="E126" s="199">
        <f>$D$55*$S$44</f>
        <v>427.72000000000151</v>
      </c>
      <c r="F126" s="934"/>
      <c r="G126" s="199">
        <f>$D$55*$T$44</f>
        <v>728.28000000000259</v>
      </c>
      <c r="H126" s="199">
        <f>B126+E126</f>
        <v>1919.7199999999943</v>
      </c>
    </row>
  </sheetData>
  <mergeCells count="12">
    <mergeCell ref="AK2:AM2"/>
    <mergeCell ref="B108:H108"/>
    <mergeCell ref="B63:H63"/>
    <mergeCell ref="B107:H107"/>
    <mergeCell ref="B85:H85"/>
    <mergeCell ref="AE2:AG3"/>
    <mergeCell ref="B84:H84"/>
    <mergeCell ref="R26:U26"/>
    <mergeCell ref="R25:U25"/>
    <mergeCell ref="B62:H62"/>
    <mergeCell ref="B2:K3"/>
    <mergeCell ref="B35:F35"/>
  </mergeCells>
  <printOptions horizontalCentered="1"/>
  <pageMargins left="0.5" right="0.5" top="1" bottom="0.5" header="0.3" footer="0.511811023622047"/>
  <pageSetup paperSize="9" scale="27"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rgb="FFBF9000"/>
    <pageSetUpPr fitToPage="1"/>
  </sheetPr>
  <dimension ref="A1:AT90"/>
  <sheetViews>
    <sheetView topLeftCell="A7" zoomScale="85" zoomScaleNormal="85" workbookViewId="0">
      <selection activeCell="T28" sqref="S28:T30"/>
    </sheetView>
  </sheetViews>
  <sheetFormatPr defaultColWidth="22.58203125" defaultRowHeight="14" x14ac:dyDescent="0.3"/>
  <cols>
    <col min="1" max="1" width="10.33203125" style="1" customWidth="1"/>
    <col min="2" max="2" width="30.9140625" customWidth="1"/>
    <col min="3" max="3" width="17.25" customWidth="1"/>
    <col min="4" max="4" width="18.6640625" customWidth="1"/>
    <col min="6" max="6" width="14.5" customWidth="1"/>
    <col min="7" max="7" width="20.5" customWidth="1"/>
    <col min="8" max="8" width="30.1640625" customWidth="1"/>
    <col min="9" max="9" width="21" customWidth="1"/>
    <col min="10" max="10" width="20.33203125" customWidth="1"/>
    <col min="11" max="11" width="15" customWidth="1"/>
    <col min="12" max="12" width="8.33203125" customWidth="1"/>
    <col min="13" max="14" width="4.9140625" customWidth="1"/>
    <col min="15" max="15" width="11" customWidth="1"/>
    <col min="16" max="16" width="12.1640625" customWidth="1"/>
    <col min="18" max="18" width="32.33203125" customWidth="1"/>
    <col min="19" max="19" width="12.4140625" customWidth="1"/>
    <col min="20" max="20" width="12.1640625" customWidth="1"/>
    <col min="21" max="21" width="12.75" customWidth="1"/>
    <col min="23" max="23" width="19.75" customWidth="1"/>
    <col min="24" max="24" width="14.5" customWidth="1"/>
    <col min="25" max="25" width="14.9140625" customWidth="1"/>
    <col min="26" max="26" width="17.9140625" customWidth="1"/>
    <col min="27" max="27" width="16.1640625" customWidth="1"/>
    <col min="28" max="28" width="11.9140625" bestFit="1" customWidth="1"/>
    <col min="29" max="30" width="8.4140625" customWidth="1"/>
    <col min="31" max="31" width="11.58203125" bestFit="1" customWidth="1"/>
    <col min="32" max="32" width="14.5" customWidth="1"/>
    <col min="33" max="34" width="8.4140625" customWidth="1"/>
    <col min="36" max="36" width="32.58203125" customWidth="1"/>
    <col min="37" max="37" width="13.33203125" customWidth="1"/>
    <col min="38" max="38" width="15.83203125" customWidth="1"/>
    <col min="40" max="40" width="13.58203125" customWidth="1"/>
    <col min="41" max="41" width="16.58203125" customWidth="1"/>
  </cols>
  <sheetData>
    <row r="1" spans="1:46" s="133" customFormat="1" ht="35.25" customHeight="1" x14ac:dyDescent="0.3">
      <c r="A1" s="264"/>
      <c r="B1" s="80" t="s">
        <v>243</v>
      </c>
      <c r="C1" s="81">
        <v>1000</v>
      </c>
      <c r="D1" s="82" t="s">
        <v>244</v>
      </c>
      <c r="E1" s="117">
        <f>T32</f>
        <v>18986.666666666668</v>
      </c>
      <c r="F1" s="80" t="s">
        <v>245</v>
      </c>
      <c r="G1" s="121">
        <f>E1/C1</f>
        <v>18.986666666666668</v>
      </c>
      <c r="H1" s="80" t="s">
        <v>246</v>
      </c>
      <c r="I1" s="249">
        <f>(G1/K1)</f>
        <v>18.986666666666668</v>
      </c>
      <c r="J1" s="86" t="s">
        <v>247</v>
      </c>
      <c r="K1" s="81">
        <v>1</v>
      </c>
      <c r="L1" s="92"/>
      <c r="M1" s="89"/>
      <c r="N1" s="90"/>
      <c r="O1" s="91" t="s">
        <v>248</v>
      </c>
      <c r="P1" s="92" t="s">
        <v>311</v>
      </c>
      <c r="Q1" s="93" t="s">
        <v>250</v>
      </c>
      <c r="R1" s="92">
        <v>0.77</v>
      </c>
      <c r="Y1" s="91" t="s">
        <v>479</v>
      </c>
      <c r="Z1" s="847">
        <v>56460</v>
      </c>
      <c r="AA1" s="91" t="s">
        <v>600</v>
      </c>
      <c r="AB1" s="847">
        <v>500</v>
      </c>
      <c r="AC1" s="91" t="s">
        <v>587</v>
      </c>
      <c r="AD1" s="847">
        <v>381</v>
      </c>
      <c r="AE1" s="250"/>
      <c r="AF1" s="252"/>
      <c r="AG1" s="92"/>
      <c r="AI1" s="1"/>
      <c r="AJ1" s="110" t="s">
        <v>262</v>
      </c>
      <c r="AK1" s="94">
        <v>10000</v>
      </c>
      <c r="AL1" s="628" t="s">
        <v>523</v>
      </c>
      <c r="AM1" s="629">
        <f>$S$32</f>
        <v>56960</v>
      </c>
      <c r="AN1" s="94" t="s">
        <v>251</v>
      </c>
      <c r="AO1" s="96">
        <f>($S$32/$R$1)/$AK$1</f>
        <v>7.3974025974025981</v>
      </c>
      <c r="AP1" s="95"/>
    </row>
    <row r="2" spans="1:46" ht="15.75" customHeight="1" x14ac:dyDescent="0.3">
      <c r="A2" s="265"/>
      <c r="B2" s="1415" t="s">
        <v>399</v>
      </c>
      <c r="C2" s="1429"/>
      <c r="D2" s="1429"/>
      <c r="E2" s="1429"/>
      <c r="F2" s="1429"/>
      <c r="G2" s="1429"/>
      <c r="H2" s="1429"/>
      <c r="I2" s="98"/>
      <c r="J2" s="98"/>
      <c r="K2" s="98"/>
      <c r="L2" s="98"/>
      <c r="M2" s="100"/>
      <c r="N2" s="100"/>
      <c r="O2" s="100"/>
      <c r="P2" s="100"/>
      <c r="AA2" s="99"/>
      <c r="AB2" s="99"/>
      <c r="AC2" s="1391"/>
      <c r="AD2" s="1422"/>
      <c r="AE2" s="1422"/>
      <c r="AI2" s="1"/>
      <c r="AJ2" s="101"/>
      <c r="AK2" s="1386" t="s">
        <v>399</v>
      </c>
      <c r="AL2" s="1386"/>
      <c r="AM2" s="1386"/>
      <c r="AN2" s="1386"/>
      <c r="AO2" s="101"/>
      <c r="AP2" s="101"/>
    </row>
    <row r="3" spans="1:46" ht="15.75" customHeight="1" x14ac:dyDescent="0.3">
      <c r="A3" s="265"/>
      <c r="B3" s="103"/>
      <c r="C3" s="103"/>
      <c r="D3" s="103"/>
      <c r="E3" s="103"/>
      <c r="F3" s="103"/>
      <c r="G3" s="103"/>
      <c r="H3" s="103"/>
      <c r="I3" s="103"/>
      <c r="J3" s="103"/>
      <c r="K3" s="103"/>
      <c r="L3" s="103"/>
      <c r="M3" s="100"/>
      <c r="N3" s="100"/>
      <c r="O3" s="100"/>
      <c r="P3" s="100"/>
      <c r="AA3" s="99"/>
      <c r="AB3" s="99"/>
      <c r="AC3" s="1422"/>
      <c r="AD3" s="1422"/>
      <c r="AE3" s="1422"/>
      <c r="AI3" s="1"/>
      <c r="AJ3" s="373"/>
      <c r="AK3" s="104"/>
      <c r="AL3" s="105"/>
      <c r="AM3" s="105"/>
      <c r="AN3" s="105"/>
      <c r="AO3" s="104"/>
      <c r="AP3" s="104"/>
    </row>
    <row r="4" spans="1:46" ht="35.25" customHeight="1" x14ac:dyDescent="0.3">
      <c r="A4" s="91" t="s">
        <v>1</v>
      </c>
      <c r="B4" s="91" t="s">
        <v>253</v>
      </c>
      <c r="C4" s="107" t="s">
        <v>254</v>
      </c>
      <c r="D4" s="91" t="s">
        <v>243</v>
      </c>
      <c r="E4" s="108" t="s">
        <v>246</v>
      </c>
      <c r="F4" s="108" t="s">
        <v>255</v>
      </c>
      <c r="G4" s="91" t="s">
        <v>256</v>
      </c>
      <c r="H4" s="331" t="s">
        <v>347</v>
      </c>
      <c r="I4" s="91" t="s">
        <v>258</v>
      </c>
      <c r="J4" s="91" t="s">
        <v>259</v>
      </c>
      <c r="K4" s="91" t="s">
        <v>260</v>
      </c>
      <c r="L4" s="91" t="s">
        <v>261</v>
      </c>
      <c r="M4" s="100"/>
      <c r="N4" s="100"/>
      <c r="O4" s="100"/>
      <c r="P4" s="100"/>
      <c r="AA4" s="251"/>
      <c r="AB4" s="253"/>
      <c r="AC4" s="251"/>
      <c r="AD4" s="251"/>
      <c r="AE4" s="251"/>
      <c r="AI4" s="1"/>
      <c r="AJ4" s="110" t="s">
        <v>253</v>
      </c>
      <c r="AK4" s="111" t="s">
        <v>254</v>
      </c>
      <c r="AL4" s="110" t="s">
        <v>262</v>
      </c>
      <c r="AM4" s="110" t="s">
        <v>246</v>
      </c>
      <c r="AN4" s="110" t="s">
        <v>255</v>
      </c>
      <c r="AO4" s="110" t="s">
        <v>256</v>
      </c>
      <c r="AP4" s="112" t="s">
        <v>257</v>
      </c>
      <c r="AQ4" s="91" t="s">
        <v>258</v>
      </c>
      <c r="AR4" s="91" t="s">
        <v>259</v>
      </c>
      <c r="AS4" s="91" t="s">
        <v>260</v>
      </c>
      <c r="AT4" s="91" t="s">
        <v>261</v>
      </c>
    </row>
    <row r="5" spans="1:46" ht="14.25" customHeight="1" x14ac:dyDescent="0.3">
      <c r="A5" s="266" t="s">
        <v>230</v>
      </c>
      <c r="B5" s="267" t="s">
        <v>234</v>
      </c>
      <c r="C5" s="115" t="s">
        <v>14</v>
      </c>
      <c r="D5" s="121">
        <f>I51/10</f>
        <v>4329.090909090909</v>
      </c>
      <c r="E5" s="117">
        <f>H52</f>
        <v>17.087658246835066</v>
      </c>
      <c r="F5" s="127">
        <v>1</v>
      </c>
      <c r="G5" s="119">
        <f t="shared" ref="G5:G13" si="0">D5*E5</f>
        <v>73974.025974025979</v>
      </c>
      <c r="H5" s="120">
        <f t="shared" ref="H5:H13" si="1">G5*F5</f>
        <v>73974.025974025979</v>
      </c>
      <c r="I5" s="81">
        <f>VLOOKUP(B5,All_Ingredients!$A$1:$F$151,6,FALSE())</f>
        <v>0.95</v>
      </c>
      <c r="J5" s="119">
        <f>VLOOKUP(B5,All_Ingredients!$A$1:$J$151,10,FALSE())</f>
        <v>65</v>
      </c>
      <c r="K5" s="122">
        <f t="shared" ref="K5" si="2">(H5/I5)/1000</f>
        <v>77.867395762132617</v>
      </c>
      <c r="L5" s="122">
        <f t="shared" ref="L5" si="3">K5*J5</f>
        <v>5061.3807245386197</v>
      </c>
      <c r="M5" s="100"/>
      <c r="N5" s="100"/>
      <c r="O5" s="100"/>
      <c r="P5" s="100"/>
      <c r="AA5" s="92"/>
      <c r="AB5" s="133"/>
      <c r="AC5" s="254"/>
      <c r="AD5" s="135"/>
      <c r="AE5" s="136"/>
      <c r="AI5" s="1"/>
      <c r="AJ5" s="374" t="s">
        <v>242</v>
      </c>
      <c r="AK5" s="124" t="s">
        <v>238</v>
      </c>
      <c r="AL5" s="375">
        <v>10</v>
      </c>
      <c r="AM5" s="376">
        <f t="shared" ref="AM5:AM13" si="4">$AO$1</f>
        <v>7.3974025974025981</v>
      </c>
      <c r="AN5" s="377">
        <v>1</v>
      </c>
      <c r="AO5" s="378">
        <f t="shared" ref="AO5:AO13" si="5">AL5*AM5</f>
        <v>73.974025974025977</v>
      </c>
      <c r="AP5" s="379">
        <f t="shared" ref="AP5:AP13" si="6">AO5*AN5</f>
        <v>73.974025974025977</v>
      </c>
      <c r="AQ5" s="295"/>
      <c r="AR5" s="1171"/>
      <c r="AS5" s="175"/>
      <c r="AT5" s="1172"/>
    </row>
    <row r="6" spans="1:46" ht="14.25" customHeight="1" x14ac:dyDescent="0.3">
      <c r="A6" s="270" t="s">
        <v>158</v>
      </c>
      <c r="B6" s="267" t="s">
        <v>164</v>
      </c>
      <c r="C6" s="124" t="s">
        <v>165</v>
      </c>
      <c r="D6" s="125">
        <v>550</v>
      </c>
      <c r="E6" s="223">
        <f t="shared" ref="E6:E13" si="7">$I$1</f>
        <v>18.986666666666668</v>
      </c>
      <c r="F6" s="127">
        <v>1</v>
      </c>
      <c r="G6" s="119">
        <f t="shared" si="0"/>
        <v>10442.666666666668</v>
      </c>
      <c r="H6" s="120">
        <f t="shared" si="1"/>
        <v>10442.666666666668</v>
      </c>
      <c r="I6" s="81">
        <f>VLOOKUP(B6,All_Ingredients!$A$1:$F$151,6,FALSE())</f>
        <v>1</v>
      </c>
      <c r="J6" s="119">
        <f>VLOOKUP(B6,All_Ingredients!$A$1:$J$151,10,FALSE())</f>
        <v>4.2033333333333331</v>
      </c>
      <c r="K6" s="122">
        <f t="shared" ref="K6:K13" si="8">(H6/I6)/1000</f>
        <v>10.442666666666668</v>
      </c>
      <c r="L6" s="122">
        <f t="shared" ref="L6:L13" si="9">K6*J6</f>
        <v>43.894008888888891</v>
      </c>
      <c r="AI6" s="1" t="s">
        <v>57</v>
      </c>
      <c r="AJ6" s="374" t="s">
        <v>56</v>
      </c>
      <c r="AK6" s="124" t="s">
        <v>14</v>
      </c>
      <c r="AL6" s="375">
        <v>100</v>
      </c>
      <c r="AM6" s="376">
        <f t="shared" si="4"/>
        <v>7.3974025974025981</v>
      </c>
      <c r="AN6" s="377">
        <v>1</v>
      </c>
      <c r="AO6" s="378">
        <f t="shared" si="5"/>
        <v>739.74025974025983</v>
      </c>
      <c r="AP6" s="379">
        <f t="shared" si="6"/>
        <v>739.74025974025983</v>
      </c>
      <c r="AQ6" s="1172">
        <f>VLOOKUP(AJ6,Marination_Ordering!$A:$J,6,FALSE)</f>
        <v>0.87</v>
      </c>
      <c r="AR6" s="1172">
        <f>VLOOKUP(AJ6,Marination_Ordering!$A:$J,10,FALSE)</f>
        <v>3.2</v>
      </c>
      <c r="AS6" s="175">
        <f>AP6/AQ6</f>
        <v>850.27616062098832</v>
      </c>
      <c r="AT6" s="1172">
        <f>AR6*(AS6/1000)</f>
        <v>2.7208837139871629</v>
      </c>
    </row>
    <row r="7" spans="1:46" ht="14.25" customHeight="1" x14ac:dyDescent="0.3">
      <c r="A7" s="270" t="s">
        <v>158</v>
      </c>
      <c r="B7" s="267" t="s">
        <v>171</v>
      </c>
      <c r="C7" s="124" t="s">
        <v>165</v>
      </c>
      <c r="D7" s="125">
        <v>550</v>
      </c>
      <c r="E7" s="223">
        <f t="shared" si="7"/>
        <v>18.986666666666668</v>
      </c>
      <c r="F7" s="127">
        <v>1</v>
      </c>
      <c r="G7" s="119">
        <f t="shared" si="0"/>
        <v>10442.666666666668</v>
      </c>
      <c r="H7" s="120">
        <f t="shared" si="1"/>
        <v>10442.666666666668</v>
      </c>
      <c r="I7" s="81">
        <f>VLOOKUP(B7,All_Ingredients!$A$1:$F$151,6,FALSE())</f>
        <v>1</v>
      </c>
      <c r="J7" s="119">
        <f>VLOOKUP(B7,All_Ingredients!$A$1:$J$151,10,FALSE())</f>
        <v>12.666666666666666</v>
      </c>
      <c r="K7" s="122">
        <f t="shared" si="8"/>
        <v>10.442666666666668</v>
      </c>
      <c r="L7" s="122">
        <f t="shared" si="9"/>
        <v>132.27377777777778</v>
      </c>
      <c r="AI7" s="1" t="s">
        <v>13</v>
      </c>
      <c r="AJ7" s="374" t="s">
        <v>792</v>
      </c>
      <c r="AK7" s="124" t="s">
        <v>14</v>
      </c>
      <c r="AL7" s="375">
        <v>100</v>
      </c>
      <c r="AM7" s="376">
        <f t="shared" si="4"/>
        <v>7.3974025974025981</v>
      </c>
      <c r="AN7" s="377">
        <v>1</v>
      </c>
      <c r="AO7" s="378">
        <f t="shared" si="5"/>
        <v>739.74025974025983</v>
      </c>
      <c r="AP7" s="379">
        <f t="shared" si="6"/>
        <v>739.74025974025983</v>
      </c>
      <c r="AQ7" s="1172">
        <f>VLOOKUP(AJ7,Marination_Ordering!$A:$J,6,FALSE)</f>
        <v>1</v>
      </c>
      <c r="AR7" s="1172">
        <f>VLOOKUP(AJ7,Marination_Ordering!$A:$J,10,FALSE)</f>
        <v>10.5</v>
      </c>
      <c r="AS7" s="175">
        <f t="shared" ref="AS7:AS8" si="10">AP7/AQ7</f>
        <v>739.74025974025983</v>
      </c>
      <c r="AT7" s="1172">
        <f t="shared" ref="AT7:AT8" si="11">AR7*(AS7/1000)</f>
        <v>7.7672727272727276</v>
      </c>
    </row>
    <row r="8" spans="1:46" ht="14.25" customHeight="1" x14ac:dyDescent="0.3">
      <c r="A8" s="270" t="s">
        <v>158</v>
      </c>
      <c r="B8" s="267" t="s">
        <v>157</v>
      </c>
      <c r="C8" s="124" t="s">
        <v>14</v>
      </c>
      <c r="D8" s="125">
        <v>20</v>
      </c>
      <c r="E8" s="223">
        <f t="shared" si="7"/>
        <v>18.986666666666668</v>
      </c>
      <c r="F8" s="127">
        <v>1</v>
      </c>
      <c r="G8" s="119">
        <f t="shared" si="0"/>
        <v>379.73333333333335</v>
      </c>
      <c r="H8" s="120">
        <f t="shared" si="1"/>
        <v>379.73333333333335</v>
      </c>
      <c r="I8" s="81">
        <f>VLOOKUP(B8,All_Ingredients!$A$1:$F$151,6,FALSE())</f>
        <v>1</v>
      </c>
      <c r="J8" s="119">
        <f>VLOOKUP(B8,All_Ingredients!$A$1:$J$151,10,FALSE())</f>
        <v>30</v>
      </c>
      <c r="K8" s="122">
        <f t="shared" si="8"/>
        <v>0.37973333333333337</v>
      </c>
      <c r="L8" s="122">
        <f t="shared" si="9"/>
        <v>11.392000000000001</v>
      </c>
      <c r="AI8" s="1" t="s">
        <v>210</v>
      </c>
      <c r="AJ8" s="374" t="s">
        <v>219</v>
      </c>
      <c r="AK8" s="124" t="s">
        <v>165</v>
      </c>
      <c r="AL8" s="375">
        <v>300</v>
      </c>
      <c r="AM8" s="376">
        <f t="shared" si="4"/>
        <v>7.3974025974025981</v>
      </c>
      <c r="AN8" s="377">
        <v>1</v>
      </c>
      <c r="AO8" s="378">
        <f t="shared" si="5"/>
        <v>2219.2207792207796</v>
      </c>
      <c r="AP8" s="379">
        <f t="shared" si="6"/>
        <v>2219.2207792207796</v>
      </c>
      <c r="AQ8" s="1172">
        <f>VLOOKUP(AJ8,Marination_Ordering!$A:$J,6,FALSE)</f>
        <v>1</v>
      </c>
      <c r="AR8" s="1172">
        <f>VLOOKUP(AJ8,Marination_Ordering!$A:$J,10,FALSE)</f>
        <v>5</v>
      </c>
      <c r="AS8" s="175">
        <f t="shared" si="10"/>
        <v>2219.2207792207796</v>
      </c>
      <c r="AT8" s="1172">
        <f t="shared" si="11"/>
        <v>11.096103896103898</v>
      </c>
    </row>
    <row r="9" spans="1:46" ht="14.25" customHeight="1" x14ac:dyDescent="0.3">
      <c r="A9" s="270" t="s">
        <v>192</v>
      </c>
      <c r="B9" s="267" t="s">
        <v>191</v>
      </c>
      <c r="C9" s="124" t="s">
        <v>14</v>
      </c>
      <c r="D9" s="125">
        <v>20</v>
      </c>
      <c r="E9" s="223">
        <f t="shared" si="7"/>
        <v>18.986666666666668</v>
      </c>
      <c r="F9" s="127">
        <v>1</v>
      </c>
      <c r="G9" s="119">
        <f t="shared" si="0"/>
        <v>379.73333333333335</v>
      </c>
      <c r="H9" s="120">
        <f t="shared" si="1"/>
        <v>379.73333333333335</v>
      </c>
      <c r="I9" s="81">
        <f>VLOOKUP(B9,All_Ingredients!$A$1:$F$151,6,FALSE())</f>
        <v>1</v>
      </c>
      <c r="J9" s="119">
        <f>VLOOKUP(B9,All_Ingredients!$A$1:$J$151,10,FALSE())</f>
        <v>1.7</v>
      </c>
      <c r="K9" s="122">
        <f t="shared" si="8"/>
        <v>0.37973333333333337</v>
      </c>
      <c r="L9" s="122">
        <f t="shared" si="9"/>
        <v>0.64554666666666671</v>
      </c>
      <c r="AI9" s="1" t="s">
        <v>210</v>
      </c>
      <c r="AJ9" s="374" t="s">
        <v>215</v>
      </c>
      <c r="AK9" s="124" t="s">
        <v>165</v>
      </c>
      <c r="AL9" s="376">
        <v>50</v>
      </c>
      <c r="AM9" s="376">
        <f t="shared" si="4"/>
        <v>7.3974025974025981</v>
      </c>
      <c r="AN9" s="377">
        <v>1</v>
      </c>
      <c r="AO9" s="378">
        <f t="shared" si="5"/>
        <v>369.87012987012992</v>
      </c>
      <c r="AP9" s="379">
        <f t="shared" si="6"/>
        <v>369.87012987012992</v>
      </c>
      <c r="AQ9" s="1172">
        <f>VLOOKUP(AJ9,Marination_Ordering!$A:$J,6,FALSE)</f>
        <v>1</v>
      </c>
      <c r="AR9" s="1172">
        <f>VLOOKUP(AJ9,Marination_Ordering!$A:$J,10,FALSE)</f>
        <v>2.1621621621621623</v>
      </c>
      <c r="AS9" s="175">
        <f t="shared" ref="AS9:AS13" si="12">AP9/AQ9</f>
        <v>369.87012987012992</v>
      </c>
      <c r="AT9" s="1172">
        <f t="shared" ref="AT9:AT13" si="13">AR9*(AS9/1000)</f>
        <v>0.7997191997191998</v>
      </c>
    </row>
    <row r="10" spans="1:46" ht="14.25" customHeight="1" x14ac:dyDescent="0.3">
      <c r="A10" s="270" t="s">
        <v>97</v>
      </c>
      <c r="B10" s="267" t="s">
        <v>144</v>
      </c>
      <c r="C10" s="124" t="s">
        <v>14</v>
      </c>
      <c r="D10" s="125">
        <v>10</v>
      </c>
      <c r="E10" s="223">
        <f t="shared" si="7"/>
        <v>18.986666666666668</v>
      </c>
      <c r="F10" s="127">
        <v>0.75</v>
      </c>
      <c r="G10" s="119">
        <f t="shared" si="0"/>
        <v>189.86666666666667</v>
      </c>
      <c r="H10" s="120">
        <f t="shared" si="1"/>
        <v>142.4</v>
      </c>
      <c r="I10" s="81">
        <f>VLOOKUP(B10,All_Ingredients!$A$1:$F$151,6,FALSE())</f>
        <v>1</v>
      </c>
      <c r="J10" s="119">
        <f>VLOOKUP(B10,All_Ingredients!$A$1:$J$151,10,FALSE())</f>
        <v>15.277777777777779</v>
      </c>
      <c r="K10" s="122">
        <f t="shared" si="8"/>
        <v>0.1424</v>
      </c>
      <c r="L10" s="122">
        <f t="shared" si="9"/>
        <v>2.1755555555555555</v>
      </c>
      <c r="AI10" s="1" t="s">
        <v>97</v>
      </c>
      <c r="AJ10" s="374" t="s">
        <v>96</v>
      </c>
      <c r="AK10" s="124" t="s">
        <v>14</v>
      </c>
      <c r="AL10" s="375">
        <v>20</v>
      </c>
      <c r="AM10" s="376">
        <f t="shared" si="4"/>
        <v>7.3974025974025981</v>
      </c>
      <c r="AN10" s="377">
        <v>1</v>
      </c>
      <c r="AO10" s="378">
        <f t="shared" si="5"/>
        <v>147.94805194805195</v>
      </c>
      <c r="AP10" s="379">
        <f t="shared" si="6"/>
        <v>147.94805194805195</v>
      </c>
      <c r="AQ10" s="1172">
        <f>VLOOKUP(AJ10,Marination_Ordering!$A:$J,6,FALSE)</f>
        <v>1</v>
      </c>
      <c r="AR10" s="1172">
        <f>VLOOKUP(AJ10,Marination_Ordering!$A:$J,10,FALSE)</f>
        <v>0.74</v>
      </c>
      <c r="AS10" s="175">
        <f t="shared" si="12"/>
        <v>147.94805194805195</v>
      </c>
      <c r="AT10" s="1172">
        <f t="shared" si="13"/>
        <v>0.10948155844155845</v>
      </c>
    </row>
    <row r="11" spans="1:46" ht="14.25" customHeight="1" x14ac:dyDescent="0.3">
      <c r="A11" s="270" t="s">
        <v>97</v>
      </c>
      <c r="B11" s="267" t="s">
        <v>104</v>
      </c>
      <c r="C11" s="124" t="s">
        <v>14</v>
      </c>
      <c r="D11" s="125">
        <v>3</v>
      </c>
      <c r="E11" s="223">
        <f t="shared" si="7"/>
        <v>18.986666666666668</v>
      </c>
      <c r="F11" s="127">
        <v>0.75</v>
      </c>
      <c r="G11" s="119">
        <f t="shared" si="0"/>
        <v>56.960000000000008</v>
      </c>
      <c r="H11" s="120">
        <f t="shared" si="1"/>
        <v>42.720000000000006</v>
      </c>
      <c r="I11" s="81">
        <f>VLOOKUP(B11,All_Ingredients!$A$1:$F$151,6,FALSE())</f>
        <v>1</v>
      </c>
      <c r="J11" s="119">
        <f>VLOOKUP(B11,All_Ingredients!$A$1:$J$151,10,FALSE())</f>
        <v>47</v>
      </c>
      <c r="K11" s="122">
        <f t="shared" si="8"/>
        <v>4.2720000000000008E-2</v>
      </c>
      <c r="L11" s="122">
        <f t="shared" si="9"/>
        <v>2.0078400000000003</v>
      </c>
      <c r="AI11" s="1" t="s">
        <v>97</v>
      </c>
      <c r="AJ11" s="374" t="s">
        <v>104</v>
      </c>
      <c r="AK11" s="124" t="s">
        <v>14</v>
      </c>
      <c r="AL11" s="375">
        <v>20</v>
      </c>
      <c r="AM11" s="376">
        <f t="shared" si="4"/>
        <v>7.3974025974025981</v>
      </c>
      <c r="AN11" s="377">
        <v>1</v>
      </c>
      <c r="AO11" s="378">
        <f t="shared" si="5"/>
        <v>147.94805194805195</v>
      </c>
      <c r="AP11" s="379">
        <f t="shared" si="6"/>
        <v>147.94805194805195</v>
      </c>
      <c r="AQ11" s="1172">
        <f>VLOOKUP(AJ11,Marination_Ordering!$A:$J,6,FALSE)</f>
        <v>1</v>
      </c>
      <c r="AR11" s="1172">
        <f>VLOOKUP(AJ11,Marination_Ordering!$A:$J,10,FALSE)</f>
        <v>47</v>
      </c>
      <c r="AS11" s="175">
        <f t="shared" si="12"/>
        <v>147.94805194805195</v>
      </c>
      <c r="AT11" s="1172">
        <f t="shared" si="13"/>
        <v>6.9535584415584424</v>
      </c>
    </row>
    <row r="12" spans="1:46" ht="14.25" customHeight="1" x14ac:dyDescent="0.3">
      <c r="A12" s="270" t="s">
        <v>97</v>
      </c>
      <c r="B12" s="267" t="s">
        <v>96</v>
      </c>
      <c r="C12" s="124" t="s">
        <v>14</v>
      </c>
      <c r="D12" s="125">
        <v>4</v>
      </c>
      <c r="E12" s="223">
        <f t="shared" si="7"/>
        <v>18.986666666666668</v>
      </c>
      <c r="F12" s="127">
        <v>0.75</v>
      </c>
      <c r="G12" s="119">
        <f t="shared" si="0"/>
        <v>75.946666666666673</v>
      </c>
      <c r="H12" s="120">
        <f t="shared" si="1"/>
        <v>56.960000000000008</v>
      </c>
      <c r="I12" s="81">
        <f>VLOOKUP(B12,All_Ingredients!$A$1:$F$151,6,FALSE())</f>
        <v>1</v>
      </c>
      <c r="J12" s="119">
        <f>VLOOKUP(B12,All_Ingredients!$A$1:$J$151,10,FALSE())</f>
        <v>0.74</v>
      </c>
      <c r="K12" s="122">
        <f t="shared" si="8"/>
        <v>5.6960000000000011E-2</v>
      </c>
      <c r="L12" s="122">
        <f t="shared" si="9"/>
        <v>4.2150400000000005E-2</v>
      </c>
      <c r="AI12" s="1" t="s">
        <v>97</v>
      </c>
      <c r="AJ12" s="374" t="s">
        <v>108</v>
      </c>
      <c r="AK12" s="124" t="s">
        <v>14</v>
      </c>
      <c r="AL12" s="375">
        <v>30</v>
      </c>
      <c r="AM12" s="376">
        <f t="shared" si="4"/>
        <v>7.3974025974025981</v>
      </c>
      <c r="AN12" s="377">
        <v>1</v>
      </c>
      <c r="AO12" s="378">
        <f t="shared" si="5"/>
        <v>221.92207792207793</v>
      </c>
      <c r="AP12" s="379">
        <f t="shared" si="6"/>
        <v>221.92207792207793</v>
      </c>
      <c r="AQ12" s="1172">
        <f>VLOOKUP(AJ12,Marination_Ordering!$A:$J,6,FALSE)</f>
        <v>1</v>
      </c>
      <c r="AR12" s="1172">
        <f>VLOOKUP(AJ12,Marination_Ordering!$A:$J,10,FALSE)</f>
        <v>15</v>
      </c>
      <c r="AS12" s="175">
        <f t="shared" si="12"/>
        <v>221.92207792207793</v>
      </c>
      <c r="AT12" s="1172">
        <f t="shared" si="13"/>
        <v>3.3288311688311691</v>
      </c>
    </row>
    <row r="13" spans="1:46" ht="14.25" customHeight="1" x14ac:dyDescent="0.3">
      <c r="A13" s="270" t="s">
        <v>13</v>
      </c>
      <c r="B13" s="383" t="s">
        <v>12</v>
      </c>
      <c r="C13" s="124" t="s">
        <v>14</v>
      </c>
      <c r="D13" s="125">
        <v>80</v>
      </c>
      <c r="E13" s="223">
        <f t="shared" si="7"/>
        <v>18.986666666666668</v>
      </c>
      <c r="F13" s="127">
        <v>0.95</v>
      </c>
      <c r="G13" s="119">
        <f t="shared" si="0"/>
        <v>1518.9333333333334</v>
      </c>
      <c r="H13" s="120">
        <f t="shared" si="1"/>
        <v>1442.9866666666667</v>
      </c>
      <c r="I13" s="81">
        <f>VLOOKUP(B13,All_Ingredients!$A$1:$F$151,6,FALSE())</f>
        <v>0.9</v>
      </c>
      <c r="J13" s="119">
        <f>VLOOKUP(B13,All_Ingredients!$A$1:$J$151,10,FALSE())</f>
        <v>3</v>
      </c>
      <c r="K13" s="122">
        <f t="shared" si="8"/>
        <v>1.6033185185185184</v>
      </c>
      <c r="L13" s="122">
        <f t="shared" si="9"/>
        <v>4.8099555555555549</v>
      </c>
      <c r="AI13" s="1" t="s">
        <v>196</v>
      </c>
      <c r="AJ13" s="441" t="s">
        <v>208</v>
      </c>
      <c r="AK13" s="124" t="s">
        <v>14</v>
      </c>
      <c r="AL13" s="442">
        <v>250</v>
      </c>
      <c r="AM13" s="376">
        <f t="shared" si="4"/>
        <v>7.3974025974025981</v>
      </c>
      <c r="AN13" s="377">
        <v>1</v>
      </c>
      <c r="AO13" s="378">
        <f t="shared" si="5"/>
        <v>1849.3506493506495</v>
      </c>
      <c r="AP13" s="379">
        <f t="shared" si="6"/>
        <v>1849.3506493506495</v>
      </c>
      <c r="AQ13" s="1172">
        <f>VLOOKUP(AJ13,Marination_Ordering!$A:$J,6,FALSE)</f>
        <v>1</v>
      </c>
      <c r="AR13" s="1172">
        <f>VLOOKUP(AJ13,Marination_Ordering!$A:$J,10,FALSE)</f>
        <v>11.243386243386244</v>
      </c>
      <c r="AS13" s="175">
        <f t="shared" si="12"/>
        <v>1849.3506493506495</v>
      </c>
      <c r="AT13" s="1172">
        <f t="shared" si="13"/>
        <v>20.792963650106511</v>
      </c>
    </row>
    <row r="17" spans="2:32" ht="14.25" customHeight="1" x14ac:dyDescent="0.3">
      <c r="L17" s="209"/>
    </row>
    <row r="18" spans="2:32" ht="14.25" customHeight="1" x14ac:dyDescent="0.3">
      <c r="L18" s="209"/>
    </row>
    <row r="19" spans="2:32" ht="14.25" customHeight="1" x14ac:dyDescent="0.3">
      <c r="L19" s="209"/>
      <c r="R19" s="275" t="s">
        <v>321</v>
      </c>
    </row>
    <row r="20" spans="2:32" ht="14.25" customHeight="1" x14ac:dyDescent="0.3">
      <c r="L20" s="209"/>
    </row>
    <row r="21" spans="2:32" ht="14.25" customHeight="1" x14ac:dyDescent="0.3">
      <c r="L21" s="209"/>
    </row>
    <row r="22" spans="2:32" ht="14.25" customHeight="1" x14ac:dyDescent="0.3">
      <c r="L22" s="209"/>
    </row>
    <row r="23" spans="2:32" ht="14.25" customHeight="1" x14ac:dyDescent="0.3">
      <c r="L23" s="209"/>
    </row>
    <row r="24" spans="2:32" ht="14.25" customHeight="1" x14ac:dyDescent="0.3">
      <c r="L24" s="209"/>
      <c r="Z24" s="1294"/>
    </row>
    <row r="25" spans="2:32" ht="14.25" customHeight="1" x14ac:dyDescent="0.35">
      <c r="L25" s="209"/>
      <c r="R25" s="1411" t="s">
        <v>399</v>
      </c>
      <c r="S25" s="1388"/>
      <c r="T25" s="1388"/>
      <c r="U25" s="1388"/>
      <c r="V25" s="1151"/>
      <c r="Z25" s="141" t="s">
        <v>264</v>
      </c>
      <c r="AA25" s="142">
        <f>63390+S30</f>
        <v>63890</v>
      </c>
      <c r="AB25" s="141" t="s">
        <v>261</v>
      </c>
      <c r="AC25" s="143">
        <f>(AA25*(4/3))*AF30+(AA30*(AB28/R1))</f>
        <v>5977.265696804322</v>
      </c>
      <c r="AD25" s="14"/>
    </row>
    <row r="26" spans="2:32" ht="14.25" customHeight="1" x14ac:dyDescent="0.3">
      <c r="L26" s="209"/>
      <c r="R26" s="1468" t="s">
        <v>400</v>
      </c>
      <c r="S26" s="1388"/>
      <c r="T26" s="1388"/>
      <c r="U26" s="1388"/>
      <c r="V26" s="1151"/>
      <c r="Z26" s="14"/>
      <c r="AA26" s="14"/>
      <c r="AB26" s="14"/>
      <c r="AC26" s="14"/>
      <c r="AD26" s="14"/>
    </row>
    <row r="27" spans="2:32" ht="18" customHeight="1" thickBot="1" x14ac:dyDescent="0.35">
      <c r="R27" s="145" t="s">
        <v>266</v>
      </c>
      <c r="S27" s="146" t="s">
        <v>242</v>
      </c>
      <c r="T27" s="146" t="s">
        <v>268</v>
      </c>
      <c r="U27" s="146" t="s">
        <v>269</v>
      </c>
      <c r="V27" s="146" t="s">
        <v>839</v>
      </c>
      <c r="W27" s="146" t="s">
        <v>848</v>
      </c>
      <c r="Z27" s="141" t="s">
        <v>270</v>
      </c>
      <c r="AA27" s="1185" t="s">
        <v>324</v>
      </c>
      <c r="AB27" s="147" t="s">
        <v>271</v>
      </c>
      <c r="AC27" s="147" t="s">
        <v>272</v>
      </c>
      <c r="AD27" s="147" t="s">
        <v>273</v>
      </c>
      <c r="AE27" s="1186" t="s">
        <v>848</v>
      </c>
      <c r="AF27" s="147" t="s">
        <v>274</v>
      </c>
    </row>
    <row r="28" spans="2:32" ht="14.25" customHeight="1" thickBot="1" x14ac:dyDescent="0.35">
      <c r="B28" s="100"/>
      <c r="E28" s="100"/>
      <c r="F28" s="100"/>
      <c r="R28" s="148" t="s">
        <v>275</v>
      </c>
      <c r="S28" s="1372">
        <f>$Z$1</f>
        <v>56460</v>
      </c>
      <c r="T28" s="149"/>
      <c r="U28" s="760">
        <f>T28+S28</f>
        <v>56460</v>
      </c>
      <c r="V28" s="149">
        <f>SUM(AP5:AP13)</f>
        <v>6509.7142857142862</v>
      </c>
      <c r="W28" s="149">
        <f>SUM(H37:H38)</f>
        <v>895.35</v>
      </c>
      <c r="Z28" s="151"/>
      <c r="AA28" s="1188"/>
      <c r="AB28" s="152">
        <f>AA25*$S$40</f>
        <v>63890</v>
      </c>
      <c r="AC28" s="152">
        <f>AA25-AB28</f>
        <v>0</v>
      </c>
      <c r="AD28" s="153">
        <f>AA25*(1/3)</f>
        <v>21296.666666666664</v>
      </c>
      <c r="AE28" s="1188"/>
      <c r="AF28" s="154">
        <f>SUM(AB28:AD28)</f>
        <v>85186.666666666657</v>
      </c>
    </row>
    <row r="29" spans="2:32" ht="14.25" customHeight="1" thickBot="1" x14ac:dyDescent="0.35">
      <c r="B29" s="100"/>
      <c r="E29" s="100"/>
      <c r="F29" s="100"/>
      <c r="R29" s="148" t="s">
        <v>276</v>
      </c>
      <c r="S29" s="155"/>
      <c r="T29" s="149">
        <f>S28*(1/3)</f>
        <v>18820</v>
      </c>
      <c r="U29" s="760">
        <f>T29</f>
        <v>18820</v>
      </c>
      <c r="V29" s="149"/>
      <c r="W29" s="149"/>
      <c r="Z29" s="151"/>
      <c r="AA29" s="1192"/>
      <c r="AB29" s="156">
        <f>AB28/$AF$28</f>
        <v>0.75000000000000011</v>
      </c>
      <c r="AC29" s="156">
        <f>AC28/$AF$28</f>
        <v>0</v>
      </c>
      <c r="AD29" s="156">
        <f>AD28/$AF$28</f>
        <v>0.25</v>
      </c>
      <c r="AE29" s="1192"/>
      <c r="AF29" s="156">
        <f>AF28/$AF$28</f>
        <v>1</v>
      </c>
    </row>
    <row r="30" spans="2:32" ht="14.25" customHeight="1" thickBot="1" x14ac:dyDescent="0.35">
      <c r="B30" s="100"/>
      <c r="E30" s="100"/>
      <c r="F30" s="100"/>
      <c r="R30" s="148" t="s">
        <v>277</v>
      </c>
      <c r="S30" s="1373">
        <f>$AB$1</f>
        <v>500</v>
      </c>
      <c r="T30" s="760">
        <f>(S30*U40)+(S30*(1/3))</f>
        <v>166.66666666666666</v>
      </c>
      <c r="U30" s="760">
        <f>S30+T30</f>
        <v>666.66666666666663</v>
      </c>
      <c r="V30" s="1143"/>
      <c r="W30" s="1143"/>
      <c r="Z30" s="141" t="s">
        <v>278</v>
      </c>
      <c r="AA30" s="1196">
        <f>V35/(S32/R1)</f>
        <v>7.2415707609086919E-4</v>
      </c>
      <c r="AB30" s="157">
        <f>S35/(S32)</f>
        <v>8.8858509911141498E-2</v>
      </c>
      <c r="AC30" s="158">
        <f>T35/T32</f>
        <v>1.0388386666666664E-2</v>
      </c>
      <c r="AD30" s="158">
        <f>T35/T32</f>
        <v>1.0388386666666664E-2</v>
      </c>
      <c r="AE30" s="1199">
        <f>W35/U32</f>
        <v>2.2035446661696279E-4</v>
      </c>
      <c r="AF30" s="1201">
        <f>SUMPRODUCT(AB30:AD30,AB29:AD29)+AE30</f>
        <v>6.9461333566639749E-2</v>
      </c>
    </row>
    <row r="31" spans="2:32" ht="14.25" customHeight="1" thickBot="1" x14ac:dyDescent="0.35">
      <c r="B31" s="100"/>
      <c r="E31" s="100"/>
      <c r="F31" s="100"/>
      <c r="R31" s="148" t="s">
        <v>279</v>
      </c>
      <c r="S31" s="155"/>
      <c r="T31" s="149"/>
      <c r="U31" s="149"/>
      <c r="V31" s="149"/>
      <c r="W31" s="149"/>
      <c r="AB31">
        <f>AB28*AB30</f>
        <v>5677.1701982228305</v>
      </c>
      <c r="AD31">
        <f>AD28*AD30</f>
        <v>221.23800804444437</v>
      </c>
    </row>
    <row r="32" spans="2:32" ht="14.25" customHeight="1" thickBot="1" x14ac:dyDescent="0.35">
      <c r="B32" s="100"/>
      <c r="E32" s="100"/>
      <c r="F32" s="100"/>
      <c r="R32" s="160" t="s">
        <v>269</v>
      </c>
      <c r="S32" s="149">
        <f>SUM(S28:S30)</f>
        <v>56960</v>
      </c>
      <c r="T32" s="1217">
        <f>SUM(T28:T30)</f>
        <v>18986.666666666668</v>
      </c>
      <c r="U32" s="1217">
        <f>SUM(U28:U30)</f>
        <v>75946.666666666672</v>
      </c>
      <c r="V32" s="149"/>
      <c r="W32" s="149">
        <f>SUM(W28:W30)</f>
        <v>895.35</v>
      </c>
    </row>
    <row r="33" spans="2:23" ht="14.25" customHeight="1" thickBot="1" x14ac:dyDescent="0.35">
      <c r="B33" s="100"/>
      <c r="E33" s="100"/>
      <c r="F33" s="100"/>
      <c r="R33" s="161" t="s">
        <v>280</v>
      </c>
      <c r="S33" s="155"/>
      <c r="T33" s="155"/>
      <c r="U33" s="155"/>
      <c r="V33" s="155"/>
      <c r="W33" s="155"/>
    </row>
    <row r="34" spans="2:23" ht="14.25" customHeight="1" thickBot="1" x14ac:dyDescent="0.35">
      <c r="B34" s="100"/>
      <c r="E34" s="100"/>
      <c r="F34" s="100"/>
      <c r="R34" s="162" t="s">
        <v>281</v>
      </c>
      <c r="S34" s="155"/>
      <c r="T34" s="149"/>
      <c r="U34" s="155"/>
      <c r="V34" s="155"/>
      <c r="W34" s="155"/>
    </row>
    <row r="35" spans="2:23" ht="14.25" customHeight="1" thickBot="1" x14ac:dyDescent="0.35">
      <c r="B35" s="1394" t="s">
        <v>692</v>
      </c>
      <c r="C35" s="1394"/>
      <c r="D35" s="1394"/>
      <c r="E35" s="1394"/>
      <c r="F35" s="1394"/>
      <c r="G35" s="882"/>
      <c r="H35" s="882"/>
      <c r="I35" s="889"/>
      <c r="J35" s="889"/>
      <c r="K35" s="889"/>
      <c r="L35" s="889"/>
      <c r="R35" s="163" t="s">
        <v>261</v>
      </c>
      <c r="S35" s="164">
        <f>$L$5</f>
        <v>5061.3807245386197</v>
      </c>
      <c r="T35" s="164">
        <f>SUM(L6:L13)</f>
        <v>197.24083484444441</v>
      </c>
      <c r="U35" s="1238">
        <f>S35+T35+V35+W35</f>
        <v>5328.9255609637548</v>
      </c>
      <c r="V35" s="1144">
        <f>SUM(AT6:AT13)</f>
        <v>53.568814356020667</v>
      </c>
      <c r="W35" s="1144">
        <f>SUM(L37:L38)</f>
        <v>16.735187224669602</v>
      </c>
    </row>
    <row r="36" spans="2:23" ht="30" customHeight="1" x14ac:dyDescent="0.3">
      <c r="B36" s="860" t="s">
        <v>253</v>
      </c>
      <c r="C36" s="860" t="s">
        <v>329</v>
      </c>
      <c r="D36" s="862" t="s">
        <v>671</v>
      </c>
      <c r="E36" s="859" t="s">
        <v>672</v>
      </c>
      <c r="F36" s="862" t="s">
        <v>673</v>
      </c>
      <c r="G36" s="882"/>
      <c r="H36" s="862" t="s">
        <v>673</v>
      </c>
      <c r="I36" s="862" t="s">
        <v>258</v>
      </c>
      <c r="J36" s="862" t="s">
        <v>259</v>
      </c>
      <c r="K36" s="862" t="s">
        <v>260</v>
      </c>
      <c r="L36" s="862" t="s">
        <v>261</v>
      </c>
    </row>
    <row r="37" spans="2:23" x14ac:dyDescent="0.3">
      <c r="B37" s="855" t="s">
        <v>114</v>
      </c>
      <c r="C37" s="856" t="s">
        <v>14</v>
      </c>
      <c r="D37" s="857">
        <v>0.1</v>
      </c>
      <c r="E37" s="855">
        <f>$AD$1</f>
        <v>381</v>
      </c>
      <c r="F37" s="855">
        <f>D37*E37</f>
        <v>38.1</v>
      </c>
      <c r="G37" s="14"/>
      <c r="H37" s="855">
        <f>F37</f>
        <v>38.1</v>
      </c>
      <c r="I37" s="855">
        <f>VLOOKUP(B37,All_Ingredients!$A$1:$F$151,6,FALSE())</f>
        <v>1</v>
      </c>
      <c r="J37" s="855">
        <f>VLOOKUP(B37,All_Ingredients!$A$1:$J$151,10,FALSE())</f>
        <v>64.243759177679877</v>
      </c>
      <c r="K37" s="855">
        <f>(H37/I37)/1000</f>
        <v>3.8100000000000002E-2</v>
      </c>
      <c r="L37" s="855">
        <f t="shared" ref="L37" si="14">K37*J37</f>
        <v>2.4476872246696035</v>
      </c>
    </row>
    <row r="38" spans="2:23" x14ac:dyDescent="0.3">
      <c r="B38" s="855" t="s">
        <v>515</v>
      </c>
      <c r="C38" s="856" t="s">
        <v>14</v>
      </c>
      <c r="D38" s="857">
        <v>2.25</v>
      </c>
      <c r="E38" s="855">
        <f>$AD$1</f>
        <v>381</v>
      </c>
      <c r="F38" s="855">
        <f>D38*E38</f>
        <v>857.25</v>
      </c>
      <c r="H38" s="855">
        <f>F38</f>
        <v>857.25</v>
      </c>
      <c r="I38" s="855">
        <f>VLOOKUP(B38,All_Ingredients!$A$1:$F$151,6,FALSE())</f>
        <v>1</v>
      </c>
      <c r="J38" s="855">
        <f>VLOOKUP(B38,All_Ingredients!$A$1:$J$151,10,FALSE())</f>
        <v>16.666666666666668</v>
      </c>
      <c r="K38" s="855">
        <f>(H38/I38)/1000</f>
        <v>0.85724999999999996</v>
      </c>
      <c r="L38" s="855">
        <f t="shared" ref="L38" si="15">K38*J38</f>
        <v>14.2875</v>
      </c>
    </row>
    <row r="39" spans="2:23" ht="14.25" customHeight="1" x14ac:dyDescent="0.3"/>
    <row r="40" spans="2:23" ht="22.25" customHeight="1" x14ac:dyDescent="0.3">
      <c r="Q40" s="14"/>
      <c r="R40" s="443" t="s">
        <v>282</v>
      </c>
      <c r="S40" s="239">
        <v>1</v>
      </c>
      <c r="T40" s="444" t="s">
        <v>283</v>
      </c>
      <c r="U40" s="239">
        <v>0</v>
      </c>
      <c r="V40" s="168">
        <f>S40+U40</f>
        <v>1</v>
      </c>
      <c r="W40" s="14"/>
    </row>
    <row r="41" spans="2:23" ht="18" customHeight="1" x14ac:dyDescent="0.3">
      <c r="Q41" s="14"/>
      <c r="R41" s="14"/>
      <c r="S41" s="14"/>
      <c r="T41" s="14"/>
      <c r="U41" s="169"/>
      <c r="V41" s="14"/>
      <c r="W41" s="14"/>
    </row>
    <row r="42" spans="2:23" ht="14.25" customHeight="1" x14ac:dyDescent="0.3">
      <c r="Q42" s="14"/>
      <c r="R42" s="14"/>
      <c r="S42" s="14"/>
      <c r="T42" s="14"/>
      <c r="U42" s="14"/>
      <c r="V42" s="14"/>
      <c r="W42" s="14"/>
    </row>
    <row r="43" spans="2:23" ht="14.25" customHeight="1" x14ac:dyDescent="0.3">
      <c r="Q43" s="170" t="s">
        <v>284</v>
      </c>
      <c r="R43" s="170" t="s">
        <v>285</v>
      </c>
      <c r="S43" s="170" t="s">
        <v>286</v>
      </c>
      <c r="T43" s="170" t="s">
        <v>287</v>
      </c>
      <c r="U43" s="170" t="s">
        <v>288</v>
      </c>
      <c r="V43" s="170" t="s">
        <v>289</v>
      </c>
      <c r="W43" s="258" t="s">
        <v>290</v>
      </c>
    </row>
    <row r="44" spans="2:23" ht="14.25" customHeight="1" x14ac:dyDescent="0.3">
      <c r="Q44" s="172">
        <v>33334</v>
      </c>
      <c r="R44" s="173">
        <f>D51</f>
        <v>10000</v>
      </c>
      <c r="S44" s="174">
        <v>0</v>
      </c>
      <c r="T44" s="174">
        <v>1</v>
      </c>
      <c r="U44" s="242">
        <f>R44*S44</f>
        <v>0</v>
      </c>
      <c r="V44" s="176">
        <f>R44*T44</f>
        <v>10000</v>
      </c>
      <c r="W44" s="260">
        <f>Q44-U44</f>
        <v>33334</v>
      </c>
    </row>
    <row r="50" spans="1:10" ht="18" customHeight="1" x14ac:dyDescent="0.3">
      <c r="B50" s="276"/>
      <c r="C50" s="145" t="s">
        <v>245</v>
      </c>
      <c r="D50" s="145" t="s">
        <v>291</v>
      </c>
      <c r="F50" s="100"/>
      <c r="G50" s="145" t="s">
        <v>292</v>
      </c>
      <c r="H50" s="145" t="s">
        <v>245</v>
      </c>
      <c r="I50" s="145" t="s">
        <v>293</v>
      </c>
      <c r="J50" s="145" t="s">
        <v>294</v>
      </c>
    </row>
    <row r="51" spans="1:10" ht="18" customHeight="1" x14ac:dyDescent="0.3">
      <c r="B51" s="180" t="s">
        <v>295</v>
      </c>
      <c r="C51" s="181">
        <f>10/$K$1</f>
        <v>10</v>
      </c>
      <c r="D51" s="182">
        <f>$C$1*10</f>
        <v>10000</v>
      </c>
      <c r="E51" s="183"/>
      <c r="F51" s="100"/>
      <c r="G51" s="180" t="s">
        <v>295</v>
      </c>
      <c r="H51" s="277">
        <f>I51/$D$5</f>
        <v>10</v>
      </c>
      <c r="I51" s="181">
        <f>J51/$R$1</f>
        <v>43290.909090909088</v>
      </c>
      <c r="J51" s="181">
        <f>$W$44</f>
        <v>33334</v>
      </c>
    </row>
    <row r="52" spans="1:10" x14ac:dyDescent="0.3">
      <c r="B52" s="231" t="s">
        <v>274</v>
      </c>
      <c r="C52" s="232">
        <f>$I$1</f>
        <v>18.986666666666668</v>
      </c>
      <c r="D52" s="233">
        <f>$E$1</f>
        <v>18986.666666666668</v>
      </c>
      <c r="E52" s="100"/>
      <c r="F52" s="100"/>
      <c r="G52" s="148" t="s">
        <v>274</v>
      </c>
      <c r="H52" s="210">
        <f>I52/$D$5</f>
        <v>17.087658246835066</v>
      </c>
      <c r="I52" s="176">
        <f>J52/$R$1</f>
        <v>73974.025974025979</v>
      </c>
      <c r="J52" s="184">
        <f>$S$32</f>
        <v>56960</v>
      </c>
    </row>
    <row r="53" spans="1:10" x14ac:dyDescent="0.3">
      <c r="B53" s="231" t="s">
        <v>296</v>
      </c>
      <c r="C53" s="234">
        <f>MIN(C52, C51)</f>
        <v>10</v>
      </c>
      <c r="D53" s="233">
        <f>(C53*$K$1)*$C$1</f>
        <v>10000</v>
      </c>
      <c r="E53" s="100"/>
      <c r="F53" s="100"/>
      <c r="G53" s="148" t="s">
        <v>296</v>
      </c>
      <c r="H53" s="187">
        <f>MIN(H52,H51)</f>
        <v>10</v>
      </c>
      <c r="I53" s="176">
        <f>J53/$R$1</f>
        <v>43290.909090909088</v>
      </c>
      <c r="J53" s="176">
        <f>MIN(J52,J51)</f>
        <v>33334</v>
      </c>
    </row>
    <row r="54" spans="1:10" x14ac:dyDescent="0.3">
      <c r="B54" s="231" t="s">
        <v>297</v>
      </c>
      <c r="C54" s="234">
        <f>MIN(MAX(C52-C53,0),C51)</f>
        <v>8.9866666666666681</v>
      </c>
      <c r="D54" s="233">
        <f>(C54*$K$1)*$C$1</f>
        <v>8986.6666666666679</v>
      </c>
      <c r="E54" s="100"/>
      <c r="F54" s="100"/>
      <c r="G54" s="148" t="s">
        <v>297</v>
      </c>
      <c r="H54" s="187">
        <f>MIN(MAX(H52-H53),H51)</f>
        <v>7.0876582468350655</v>
      </c>
      <c r="I54" s="176">
        <f>J54/$R$1</f>
        <v>30683.116883116883</v>
      </c>
      <c r="J54" s="176">
        <f>MIN(MAX(J52-J53),J51)</f>
        <v>23626</v>
      </c>
    </row>
    <row r="55" spans="1:10" x14ac:dyDescent="0.3">
      <c r="B55" s="231" t="s">
        <v>298</v>
      </c>
      <c r="C55" s="234">
        <f>MIN(MAX(C52-C53-C54,0),C51)</f>
        <v>0</v>
      </c>
      <c r="D55" s="233">
        <f>(C55*$K$1)*$C$1</f>
        <v>0</v>
      </c>
      <c r="E55" s="100"/>
      <c r="F55" s="100"/>
      <c r="G55" s="145" t="s">
        <v>298</v>
      </c>
      <c r="H55" s="187">
        <f>MIN(MAX(H52-H53-H54),H51)</f>
        <v>0</v>
      </c>
      <c r="I55" s="176">
        <f>J55/$R$1</f>
        <v>0</v>
      </c>
      <c r="J55" s="176">
        <f>MIN(MAX(J52-J53-J54),J51)</f>
        <v>0</v>
      </c>
    </row>
    <row r="62" spans="1:10" ht="17.75" customHeight="1" x14ac:dyDescent="0.3">
      <c r="A62" s="938"/>
      <c r="B62" s="1382" t="str">
        <f>" سالمون بالكريمة و البازلاء 1 / " &amp; COUNTIF($C$53:$C$55, "&gt;0")</f>
        <v xml:space="preserve"> سالمون بالكريمة و البازلاء 1 / 2</v>
      </c>
      <c r="C62" s="1383"/>
      <c r="D62" s="1383"/>
      <c r="E62" s="1383"/>
      <c r="F62" s="1383"/>
      <c r="G62" s="1383"/>
      <c r="H62" s="1383"/>
    </row>
    <row r="63" spans="1:10" ht="17.75" customHeight="1" x14ac:dyDescent="0.3">
      <c r="A63" s="938"/>
      <c r="B63" s="1384" t="str">
        <f>" Salmon with cream 1 / " &amp; COUNTIF($C$53:$C$55, "&gt;0")</f>
        <v xml:space="preserve"> Salmon with cream 1 / 2</v>
      </c>
      <c r="C63" s="1385"/>
      <c r="D63" s="1385"/>
      <c r="E63" s="1385"/>
      <c r="F63" s="1385"/>
      <c r="G63" s="1385"/>
      <c r="H63" s="1385"/>
    </row>
    <row r="64" spans="1:10" ht="36.75" customHeight="1" x14ac:dyDescent="0.3">
      <c r="A64" s="91"/>
      <c r="B64" s="243" t="s">
        <v>253</v>
      </c>
      <c r="C64" s="244" t="s">
        <v>254</v>
      </c>
      <c r="D64" s="245" t="s">
        <v>243</v>
      </c>
      <c r="E64" s="218" t="s">
        <v>246</v>
      </c>
      <c r="F64" s="218" t="s">
        <v>255</v>
      </c>
      <c r="G64" s="245" t="s">
        <v>256</v>
      </c>
      <c r="H64" s="218" t="s">
        <v>257</v>
      </c>
    </row>
    <row r="65" spans="1:8" ht="14.25" customHeight="1" x14ac:dyDescent="0.3">
      <c r="A65" s="270" t="s">
        <v>230</v>
      </c>
      <c r="B65" s="123" t="str">
        <f t="shared" ref="B65:D73" si="16">B5</f>
        <v>Salmon - سالمون</v>
      </c>
      <c r="C65" s="124" t="str">
        <f t="shared" si="16"/>
        <v>gm</v>
      </c>
      <c r="D65" s="116">
        <f t="shared" si="16"/>
        <v>4329.090909090909</v>
      </c>
      <c r="E65" s="280">
        <f>H53</f>
        <v>10</v>
      </c>
      <c r="F65" s="127">
        <f t="shared" ref="F65:F73" si="17">F5</f>
        <v>1</v>
      </c>
      <c r="G65" s="119">
        <f t="shared" ref="G65:G73" si="18">D65*E65</f>
        <v>43290.909090909088</v>
      </c>
      <c r="H65" s="120">
        <f t="shared" ref="H65:H73" si="19">G65*F65</f>
        <v>43290.909090909088</v>
      </c>
    </row>
    <row r="66" spans="1:8" ht="14.25" customHeight="1" x14ac:dyDescent="0.3">
      <c r="A66" s="270" t="s">
        <v>158</v>
      </c>
      <c r="B66" s="123" t="str">
        <f t="shared" si="16"/>
        <v>Milk - حليب</v>
      </c>
      <c r="C66" s="124" t="str">
        <f t="shared" si="16"/>
        <v>ml</v>
      </c>
      <c r="D66" s="125">
        <f t="shared" si="16"/>
        <v>550</v>
      </c>
      <c r="E66" s="281">
        <f t="shared" ref="E66:E73" si="20">$C$53</f>
        <v>10</v>
      </c>
      <c r="F66" s="127">
        <f t="shared" si="17"/>
        <v>1</v>
      </c>
      <c r="G66" s="119">
        <f t="shared" si="18"/>
        <v>5500</v>
      </c>
      <c r="H66" s="120">
        <f t="shared" si="19"/>
        <v>5500</v>
      </c>
    </row>
    <row r="67" spans="1:8" ht="14.25" customHeight="1" x14ac:dyDescent="0.3">
      <c r="A67" s="270" t="s">
        <v>158</v>
      </c>
      <c r="B67" s="123" t="str">
        <f t="shared" si="16"/>
        <v>Cooking Cream - كريمة طبخ</v>
      </c>
      <c r="C67" s="124" t="str">
        <f t="shared" si="16"/>
        <v>ml</v>
      </c>
      <c r="D67" s="125">
        <f t="shared" si="16"/>
        <v>550</v>
      </c>
      <c r="E67" s="281">
        <f t="shared" si="20"/>
        <v>10</v>
      </c>
      <c r="F67" s="127">
        <f t="shared" si="17"/>
        <v>1</v>
      </c>
      <c r="G67" s="119">
        <f t="shared" si="18"/>
        <v>5500</v>
      </c>
      <c r="H67" s="120">
        <f t="shared" si="19"/>
        <v>5500</v>
      </c>
    </row>
    <row r="68" spans="1:8" ht="14.25" customHeight="1" x14ac:dyDescent="0.3">
      <c r="A68" s="270" t="s">
        <v>158</v>
      </c>
      <c r="B68" s="123" t="str">
        <f t="shared" si="16"/>
        <v>Butter - زبدة</v>
      </c>
      <c r="C68" s="124" t="str">
        <f t="shared" si="16"/>
        <v>gm</v>
      </c>
      <c r="D68" s="125">
        <f t="shared" si="16"/>
        <v>20</v>
      </c>
      <c r="E68" s="281">
        <f t="shared" si="20"/>
        <v>10</v>
      </c>
      <c r="F68" s="127">
        <f t="shared" si="17"/>
        <v>1</v>
      </c>
      <c r="G68" s="119">
        <f t="shared" si="18"/>
        <v>200</v>
      </c>
      <c r="H68" s="120">
        <f t="shared" si="19"/>
        <v>200</v>
      </c>
    </row>
    <row r="69" spans="1:8" ht="14.25" customHeight="1" x14ac:dyDescent="0.3">
      <c r="A69" s="270" t="s">
        <v>192</v>
      </c>
      <c r="B69" s="123" t="str">
        <f t="shared" si="16"/>
        <v>Flour - دقيق</v>
      </c>
      <c r="C69" s="124" t="str">
        <f t="shared" si="16"/>
        <v>gm</v>
      </c>
      <c r="D69" s="125">
        <f t="shared" si="16"/>
        <v>20</v>
      </c>
      <c r="E69" s="281">
        <f t="shared" si="20"/>
        <v>10</v>
      </c>
      <c r="F69" s="127">
        <f t="shared" si="17"/>
        <v>1</v>
      </c>
      <c r="G69" s="119">
        <f t="shared" si="18"/>
        <v>200</v>
      </c>
      <c r="H69" s="120">
        <f t="shared" si="19"/>
        <v>200</v>
      </c>
    </row>
    <row r="70" spans="1:8" ht="14.25" customHeight="1" x14ac:dyDescent="0.3">
      <c r="A70" s="270" t="s">
        <v>97</v>
      </c>
      <c r="B70" s="123" t="str">
        <f t="shared" si="16"/>
        <v>Maggi Cubes - مكعبات ماجي</v>
      </c>
      <c r="C70" s="124" t="str">
        <f t="shared" si="16"/>
        <v>gm</v>
      </c>
      <c r="D70" s="125">
        <f t="shared" si="16"/>
        <v>10</v>
      </c>
      <c r="E70" s="281">
        <f t="shared" si="20"/>
        <v>10</v>
      </c>
      <c r="F70" s="127">
        <f t="shared" si="17"/>
        <v>0.75</v>
      </c>
      <c r="G70" s="119">
        <f t="shared" si="18"/>
        <v>100</v>
      </c>
      <c r="H70" s="120">
        <f t="shared" si="19"/>
        <v>75</v>
      </c>
    </row>
    <row r="71" spans="1:8" ht="14.25" customHeight="1" x14ac:dyDescent="0.3">
      <c r="A71" s="270" t="s">
        <v>97</v>
      </c>
      <c r="B71" s="123" t="str">
        <f t="shared" si="16"/>
        <v>White Pepper - فلفل أبيض</v>
      </c>
      <c r="C71" s="124" t="str">
        <f t="shared" si="16"/>
        <v>gm</v>
      </c>
      <c r="D71" s="125">
        <f t="shared" si="16"/>
        <v>3</v>
      </c>
      <c r="E71" s="281">
        <f t="shared" si="20"/>
        <v>10</v>
      </c>
      <c r="F71" s="127">
        <f t="shared" si="17"/>
        <v>0.75</v>
      </c>
      <c r="G71" s="119">
        <f t="shared" si="18"/>
        <v>30</v>
      </c>
      <c r="H71" s="120">
        <f t="shared" si="19"/>
        <v>22.5</v>
      </c>
    </row>
    <row r="72" spans="1:8" ht="14.25" customHeight="1" x14ac:dyDescent="0.3">
      <c r="A72" s="270" t="s">
        <v>97</v>
      </c>
      <c r="B72" s="123" t="str">
        <f t="shared" si="16"/>
        <v>Salt - ملح</v>
      </c>
      <c r="C72" s="124" t="str">
        <f t="shared" si="16"/>
        <v>gm</v>
      </c>
      <c r="D72" s="125">
        <f t="shared" si="16"/>
        <v>4</v>
      </c>
      <c r="E72" s="281">
        <f t="shared" si="20"/>
        <v>10</v>
      </c>
      <c r="F72" s="127">
        <f t="shared" si="17"/>
        <v>0.75</v>
      </c>
      <c r="G72" s="119">
        <f t="shared" si="18"/>
        <v>40</v>
      </c>
      <c r="H72" s="120">
        <f t="shared" si="19"/>
        <v>30</v>
      </c>
    </row>
    <row r="73" spans="1:8" ht="14.25" customHeight="1" x14ac:dyDescent="0.3">
      <c r="A73" s="270" t="s">
        <v>13</v>
      </c>
      <c r="B73" s="123" t="str">
        <f t="shared" si="16"/>
        <v>Onion - بصل</v>
      </c>
      <c r="C73" s="124" t="str">
        <f t="shared" si="16"/>
        <v>gm</v>
      </c>
      <c r="D73" s="125">
        <f t="shared" si="16"/>
        <v>80</v>
      </c>
      <c r="E73" s="281">
        <f t="shared" si="20"/>
        <v>10</v>
      </c>
      <c r="F73" s="127">
        <f t="shared" si="17"/>
        <v>0.95</v>
      </c>
      <c r="G73" s="119">
        <f t="shared" si="18"/>
        <v>800</v>
      </c>
      <c r="H73" s="120">
        <f t="shared" si="19"/>
        <v>760</v>
      </c>
    </row>
    <row r="74" spans="1:8" ht="20.25" customHeight="1" x14ac:dyDescent="0.3">
      <c r="A74" s="211"/>
      <c r="B74" s="198" t="s">
        <v>299</v>
      </c>
      <c r="C74" s="200" t="s">
        <v>285</v>
      </c>
      <c r="D74" s="14"/>
      <c r="E74" s="200" t="s">
        <v>300</v>
      </c>
      <c r="F74" s="14"/>
      <c r="G74" s="890" t="s">
        <v>276</v>
      </c>
      <c r="H74" s="890" t="s">
        <v>733</v>
      </c>
    </row>
    <row r="75" spans="1:8" ht="20" x14ac:dyDescent="0.4">
      <c r="A75" s="211"/>
      <c r="B75" s="199">
        <f>$J$53</f>
        <v>33334</v>
      </c>
      <c r="C75" s="199">
        <f>E75+G75</f>
        <v>10000</v>
      </c>
      <c r="D75" s="930"/>
      <c r="E75" s="199">
        <f>$D$53*$S$44</f>
        <v>0</v>
      </c>
      <c r="F75" s="934"/>
      <c r="G75" s="199">
        <f>$D$53*$T$44</f>
        <v>10000</v>
      </c>
      <c r="H75" s="199">
        <f>B75+E75</f>
        <v>33334</v>
      </c>
    </row>
    <row r="77" spans="1:8" ht="17.75" customHeight="1" x14ac:dyDescent="0.3">
      <c r="A77" s="938"/>
      <c r="B77" s="1382" t="str">
        <f>" سالمون بالكريمة و البازلاء 2 / " &amp; COUNTIF($C$53:$C$55, "&gt;0")</f>
        <v xml:space="preserve"> سالمون بالكريمة و البازلاء 2 / 2</v>
      </c>
      <c r="C77" s="1383"/>
      <c r="D77" s="1383"/>
      <c r="E77" s="1383"/>
      <c r="F77" s="1383"/>
      <c r="G77" s="1383"/>
      <c r="H77" s="1383"/>
    </row>
    <row r="78" spans="1:8" ht="17.75" customHeight="1" x14ac:dyDescent="0.3">
      <c r="A78" s="938"/>
      <c r="B78" s="1384" t="str">
        <f>" Salmon with cream 2 / " &amp; COUNTIF($C$53:$C$55, "&gt;0")</f>
        <v xml:space="preserve"> Salmon with cream 2 / 2</v>
      </c>
      <c r="C78" s="1385"/>
      <c r="D78" s="1385"/>
      <c r="E78" s="1385"/>
      <c r="F78" s="1385"/>
      <c r="G78" s="1385"/>
      <c r="H78" s="1385"/>
    </row>
    <row r="79" spans="1:8" ht="36.75" customHeight="1" x14ac:dyDescent="0.3">
      <c r="A79" s="91"/>
      <c r="B79" s="243" t="s">
        <v>253</v>
      </c>
      <c r="C79" s="244" t="s">
        <v>254</v>
      </c>
      <c r="D79" s="245" t="s">
        <v>243</v>
      </c>
      <c r="E79" s="218" t="s">
        <v>246</v>
      </c>
      <c r="F79" s="218" t="s">
        <v>255</v>
      </c>
      <c r="G79" s="245" t="s">
        <v>256</v>
      </c>
      <c r="H79" s="218" t="s">
        <v>257</v>
      </c>
    </row>
    <row r="80" spans="1:8" ht="14.25" customHeight="1" x14ac:dyDescent="0.3">
      <c r="A80" s="270" t="s">
        <v>230</v>
      </c>
      <c r="B80" s="123" t="str">
        <f t="shared" ref="B80:D88" si="21">B5</f>
        <v>Salmon - سالمون</v>
      </c>
      <c r="C80" s="124" t="str">
        <f t="shared" si="21"/>
        <v>gm</v>
      </c>
      <c r="D80" s="116">
        <f t="shared" si="21"/>
        <v>4329.090909090909</v>
      </c>
      <c r="E80" s="223">
        <f>H54</f>
        <v>7.0876582468350655</v>
      </c>
      <c r="F80" s="127">
        <f t="shared" ref="F80:F88" si="22">F5</f>
        <v>1</v>
      </c>
      <c r="G80" s="119">
        <f t="shared" ref="G80:G88" si="23">D80*E80</f>
        <v>30683.116883116891</v>
      </c>
      <c r="H80" s="120">
        <f t="shared" ref="H80:H88" si="24">G80*F80</f>
        <v>30683.116883116891</v>
      </c>
    </row>
    <row r="81" spans="1:10" ht="14.25" customHeight="1" x14ac:dyDescent="0.3">
      <c r="A81" s="270" t="s">
        <v>158</v>
      </c>
      <c r="B81" s="123" t="str">
        <f t="shared" si="21"/>
        <v>Milk - حليب</v>
      </c>
      <c r="C81" s="124" t="str">
        <f t="shared" si="21"/>
        <v>ml</v>
      </c>
      <c r="D81" s="125">
        <f t="shared" si="21"/>
        <v>550</v>
      </c>
      <c r="E81" s="223">
        <f t="shared" ref="E81:E88" si="25">$C$54</f>
        <v>8.9866666666666681</v>
      </c>
      <c r="F81" s="127">
        <f t="shared" si="22"/>
        <v>1</v>
      </c>
      <c r="G81" s="119">
        <f t="shared" si="23"/>
        <v>4942.6666666666679</v>
      </c>
      <c r="H81" s="120">
        <f t="shared" si="24"/>
        <v>4942.6666666666679</v>
      </c>
    </row>
    <row r="82" spans="1:10" ht="14.25" customHeight="1" x14ac:dyDescent="0.3">
      <c r="A82" s="270" t="s">
        <v>158</v>
      </c>
      <c r="B82" s="123" t="str">
        <f t="shared" si="21"/>
        <v>Cooking Cream - كريمة طبخ</v>
      </c>
      <c r="C82" s="124" t="str">
        <f t="shared" si="21"/>
        <v>ml</v>
      </c>
      <c r="D82" s="125">
        <f t="shared" si="21"/>
        <v>550</v>
      </c>
      <c r="E82" s="223">
        <f t="shared" si="25"/>
        <v>8.9866666666666681</v>
      </c>
      <c r="F82" s="127">
        <f t="shared" si="22"/>
        <v>1</v>
      </c>
      <c r="G82" s="119">
        <f t="shared" si="23"/>
        <v>4942.6666666666679</v>
      </c>
      <c r="H82" s="120">
        <f t="shared" si="24"/>
        <v>4942.6666666666679</v>
      </c>
    </row>
    <row r="83" spans="1:10" ht="14.25" customHeight="1" x14ac:dyDescent="0.3">
      <c r="A83" s="270" t="s">
        <v>158</v>
      </c>
      <c r="B83" s="123" t="str">
        <f t="shared" si="21"/>
        <v>Butter - زبدة</v>
      </c>
      <c r="C83" s="124" t="str">
        <f t="shared" si="21"/>
        <v>gm</v>
      </c>
      <c r="D83" s="125">
        <f t="shared" si="21"/>
        <v>20</v>
      </c>
      <c r="E83" s="223">
        <f t="shared" si="25"/>
        <v>8.9866666666666681</v>
      </c>
      <c r="F83" s="127">
        <f t="shared" si="22"/>
        <v>1</v>
      </c>
      <c r="G83" s="119">
        <f t="shared" si="23"/>
        <v>179.73333333333335</v>
      </c>
      <c r="H83" s="120">
        <f t="shared" si="24"/>
        <v>179.73333333333335</v>
      </c>
    </row>
    <row r="84" spans="1:10" ht="14.25" customHeight="1" x14ac:dyDescent="0.3">
      <c r="A84" s="270" t="s">
        <v>192</v>
      </c>
      <c r="B84" s="123" t="str">
        <f t="shared" si="21"/>
        <v>Flour - دقيق</v>
      </c>
      <c r="C84" s="124" t="str">
        <f t="shared" si="21"/>
        <v>gm</v>
      </c>
      <c r="D84" s="125">
        <f t="shared" si="21"/>
        <v>20</v>
      </c>
      <c r="E84" s="223">
        <f t="shared" si="25"/>
        <v>8.9866666666666681</v>
      </c>
      <c r="F84" s="127">
        <f t="shared" si="22"/>
        <v>1</v>
      </c>
      <c r="G84" s="119">
        <f t="shared" si="23"/>
        <v>179.73333333333335</v>
      </c>
      <c r="H84" s="120">
        <f t="shared" si="24"/>
        <v>179.73333333333335</v>
      </c>
    </row>
    <row r="85" spans="1:10" ht="14.25" customHeight="1" x14ac:dyDescent="0.3">
      <c r="A85" s="270" t="s">
        <v>97</v>
      </c>
      <c r="B85" s="123" t="str">
        <f t="shared" si="21"/>
        <v>Maggi Cubes - مكعبات ماجي</v>
      </c>
      <c r="C85" s="124" t="str">
        <f t="shared" si="21"/>
        <v>gm</v>
      </c>
      <c r="D85" s="125">
        <f t="shared" si="21"/>
        <v>10</v>
      </c>
      <c r="E85" s="223">
        <f t="shared" si="25"/>
        <v>8.9866666666666681</v>
      </c>
      <c r="F85" s="127">
        <f t="shared" si="22"/>
        <v>0.75</v>
      </c>
      <c r="G85" s="119">
        <f t="shared" si="23"/>
        <v>89.866666666666674</v>
      </c>
      <c r="H85" s="120">
        <f t="shared" si="24"/>
        <v>67.400000000000006</v>
      </c>
    </row>
    <row r="86" spans="1:10" ht="14.25" customHeight="1" x14ac:dyDescent="0.3">
      <c r="A86" s="270" t="s">
        <v>97</v>
      </c>
      <c r="B86" s="123" t="str">
        <f t="shared" si="21"/>
        <v>White Pepper - فلفل أبيض</v>
      </c>
      <c r="C86" s="124" t="str">
        <f t="shared" si="21"/>
        <v>gm</v>
      </c>
      <c r="D86" s="125">
        <f t="shared" si="21"/>
        <v>3</v>
      </c>
      <c r="E86" s="223">
        <f t="shared" si="25"/>
        <v>8.9866666666666681</v>
      </c>
      <c r="F86" s="127">
        <f t="shared" si="22"/>
        <v>0.75</v>
      </c>
      <c r="G86" s="119">
        <f t="shared" si="23"/>
        <v>26.960000000000004</v>
      </c>
      <c r="H86" s="120">
        <f t="shared" si="24"/>
        <v>20.220000000000002</v>
      </c>
    </row>
    <row r="87" spans="1:10" ht="14.25" customHeight="1" x14ac:dyDescent="0.3">
      <c r="A87" s="270" t="s">
        <v>97</v>
      </c>
      <c r="B87" s="123" t="str">
        <f t="shared" si="21"/>
        <v>Salt - ملح</v>
      </c>
      <c r="C87" s="124" t="str">
        <f t="shared" si="21"/>
        <v>gm</v>
      </c>
      <c r="D87" s="125">
        <f t="shared" si="21"/>
        <v>4</v>
      </c>
      <c r="E87" s="223">
        <f t="shared" si="25"/>
        <v>8.9866666666666681</v>
      </c>
      <c r="F87" s="127">
        <f t="shared" si="22"/>
        <v>0.75</v>
      </c>
      <c r="G87" s="119">
        <f t="shared" si="23"/>
        <v>35.946666666666673</v>
      </c>
      <c r="H87" s="120">
        <f t="shared" si="24"/>
        <v>26.960000000000004</v>
      </c>
    </row>
    <row r="88" spans="1:10" ht="14.25" customHeight="1" x14ac:dyDescent="0.3">
      <c r="A88" s="270" t="s">
        <v>13</v>
      </c>
      <c r="B88" s="123" t="str">
        <f t="shared" si="21"/>
        <v>Onion - بصل</v>
      </c>
      <c r="C88" s="124" t="str">
        <f t="shared" si="21"/>
        <v>gm</v>
      </c>
      <c r="D88" s="125">
        <f t="shared" si="21"/>
        <v>80</v>
      </c>
      <c r="E88" s="223">
        <f t="shared" si="25"/>
        <v>8.9866666666666681</v>
      </c>
      <c r="F88" s="127">
        <f t="shared" si="22"/>
        <v>0.95</v>
      </c>
      <c r="G88" s="119">
        <f t="shared" si="23"/>
        <v>718.93333333333339</v>
      </c>
      <c r="H88" s="120">
        <f t="shared" si="24"/>
        <v>682.98666666666668</v>
      </c>
    </row>
    <row r="89" spans="1:10" ht="20.25" customHeight="1" x14ac:dyDescent="0.4">
      <c r="A89" s="211"/>
      <c r="B89" s="198" t="s">
        <v>299</v>
      </c>
      <c r="C89" s="200" t="s">
        <v>285</v>
      </c>
      <c r="D89" s="14"/>
      <c r="E89" s="200" t="s">
        <v>300</v>
      </c>
      <c r="F89" s="14"/>
      <c r="G89" s="890" t="s">
        <v>276</v>
      </c>
      <c r="H89" s="890" t="s">
        <v>733</v>
      </c>
      <c r="I89" s="204"/>
      <c r="J89" s="203"/>
    </row>
    <row r="90" spans="1:10" ht="20" x14ac:dyDescent="0.4">
      <c r="A90" s="211"/>
      <c r="B90" s="199">
        <f>$J$54</f>
        <v>23626</v>
      </c>
      <c r="C90" s="199">
        <f>E90+G90</f>
        <v>8986.6666666666679</v>
      </c>
      <c r="D90" s="930"/>
      <c r="E90" s="199">
        <f>$D$54*$S$44</f>
        <v>0</v>
      </c>
      <c r="F90" s="934"/>
      <c r="G90" s="199">
        <f>$D$54*$T$44</f>
        <v>8986.6666666666679</v>
      </c>
      <c r="H90" s="199">
        <f>B90+E90</f>
        <v>23626</v>
      </c>
    </row>
  </sheetData>
  <mergeCells count="10">
    <mergeCell ref="AK2:AN2"/>
    <mergeCell ref="B78:H78"/>
    <mergeCell ref="B63:H63"/>
    <mergeCell ref="AC2:AE3"/>
    <mergeCell ref="R26:U26"/>
    <mergeCell ref="B77:H77"/>
    <mergeCell ref="B2:H2"/>
    <mergeCell ref="B62:H62"/>
    <mergeCell ref="R25:U25"/>
    <mergeCell ref="B35:F35"/>
  </mergeCells>
  <printOptions horizontalCentered="1"/>
  <pageMargins left="0.5" right="0.5" top="1" bottom="0.5" header="0.3" footer="0.511811023622047"/>
  <pageSetup paperSize="9" scale="32" orientation="portrait" r:id="rId1"/>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rgb="FFBF9000"/>
    <pageSetUpPr fitToPage="1"/>
  </sheetPr>
  <dimension ref="A1:AG111"/>
  <sheetViews>
    <sheetView zoomScale="70" zoomScaleNormal="70" workbookViewId="0">
      <selection activeCell="T28" sqref="S28:T30"/>
    </sheetView>
  </sheetViews>
  <sheetFormatPr defaultColWidth="12.5" defaultRowHeight="14" x14ac:dyDescent="0.3"/>
  <cols>
    <col min="1" max="1" width="12.5" style="79" customWidth="1"/>
    <col min="2" max="2" width="35.582031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3" width="14.83203125" style="14" customWidth="1"/>
    <col min="14" max="14" width="12.5" style="14" customWidth="1"/>
    <col min="15" max="15" width="15.9140625" style="14" customWidth="1"/>
    <col min="16" max="17" width="12.5" style="14" customWidth="1"/>
    <col min="18" max="18" width="30.5" style="14" customWidth="1"/>
    <col min="19" max="25" width="12.5" style="14" customWidth="1"/>
    <col min="26" max="26" width="13.08203125" style="14" customWidth="1"/>
    <col min="27" max="27" width="12.5" style="14" customWidth="1"/>
    <col min="28" max="28" width="6.75" style="14" customWidth="1"/>
    <col min="29" max="16384" width="12.5" style="14"/>
  </cols>
  <sheetData>
    <row r="1" spans="1:33" ht="28.5" customHeight="1" x14ac:dyDescent="0.3">
      <c r="B1" s="80" t="s">
        <v>243</v>
      </c>
      <c r="C1" s="81">
        <v>1000</v>
      </c>
      <c r="D1" s="82" t="s">
        <v>244</v>
      </c>
      <c r="E1" s="117">
        <f>T32</f>
        <v>11143.333333333332</v>
      </c>
      <c r="F1" s="80" t="s">
        <v>245</v>
      </c>
      <c r="G1" s="117">
        <f>E1/C1</f>
        <v>11.143333333333333</v>
      </c>
      <c r="H1" s="80" t="s">
        <v>246</v>
      </c>
      <c r="I1" s="117">
        <f>G1/K1</f>
        <v>11.143333333333333</v>
      </c>
      <c r="J1" s="86" t="s">
        <v>247</v>
      </c>
      <c r="K1" s="327">
        <v>1</v>
      </c>
      <c r="L1" s="100"/>
      <c r="M1" s="89" t="s">
        <v>325</v>
      </c>
      <c r="N1" s="327"/>
      <c r="O1" s="91" t="s">
        <v>248</v>
      </c>
      <c r="P1" s="92"/>
      <c r="Q1" s="93" t="s">
        <v>250</v>
      </c>
      <c r="Y1" s="91" t="s">
        <v>479</v>
      </c>
      <c r="Z1" s="847">
        <v>33430</v>
      </c>
      <c r="AA1" s="91" t="s">
        <v>600</v>
      </c>
      <c r="AB1" s="847">
        <v>0</v>
      </c>
      <c r="AC1" s="91" t="s">
        <v>587</v>
      </c>
      <c r="AD1" s="847">
        <v>219</v>
      </c>
    </row>
    <row r="2" spans="1:33" ht="12.75" customHeight="1" x14ac:dyDescent="0.3">
      <c r="A2" s="97"/>
      <c r="B2" s="1387" t="s">
        <v>75</v>
      </c>
      <c r="C2" s="1389"/>
      <c r="D2" s="1389"/>
      <c r="E2" s="1389"/>
      <c r="F2" s="1389"/>
      <c r="G2" s="1389"/>
      <c r="H2" s="1389"/>
      <c r="I2" s="1389"/>
      <c r="J2" s="1389"/>
      <c r="K2" s="1389"/>
      <c r="L2" s="293"/>
      <c r="M2" s="100"/>
      <c r="N2" s="100"/>
      <c r="O2" s="100"/>
      <c r="P2" s="100"/>
      <c r="Q2" s="100"/>
      <c r="AE2" s="1417"/>
      <c r="AF2" s="1389"/>
      <c r="AG2" s="1389"/>
    </row>
    <row r="3" spans="1:33" ht="12.75" customHeight="1" x14ac:dyDescent="0.3">
      <c r="A3" s="97"/>
      <c r="B3" s="1388"/>
      <c r="C3" s="1388"/>
      <c r="D3" s="1388"/>
      <c r="E3" s="1388"/>
      <c r="F3" s="1388"/>
      <c r="G3" s="1388"/>
      <c r="H3" s="1388"/>
      <c r="I3" s="1388"/>
      <c r="J3" s="1388"/>
      <c r="K3" s="1388"/>
      <c r="L3" s="293"/>
      <c r="M3" s="100"/>
      <c r="N3" s="100"/>
      <c r="O3" s="100"/>
      <c r="P3" s="100"/>
      <c r="Q3" s="100"/>
      <c r="AE3" s="1389"/>
      <c r="AF3" s="1389"/>
      <c r="AG3" s="1389"/>
    </row>
    <row r="4" spans="1:33" ht="35.25" customHeight="1" x14ac:dyDescent="0.25">
      <c r="A4" s="91" t="s">
        <v>1</v>
      </c>
      <c r="B4" s="91" t="s">
        <v>253</v>
      </c>
      <c r="C4" s="107" t="s">
        <v>254</v>
      </c>
      <c r="D4" s="91" t="s">
        <v>243</v>
      </c>
      <c r="E4" s="218" t="s">
        <v>246</v>
      </c>
      <c r="F4" s="108" t="s">
        <v>255</v>
      </c>
      <c r="G4" s="91" t="s">
        <v>256</v>
      </c>
      <c r="H4" s="107" t="s">
        <v>347</v>
      </c>
      <c r="I4" s="91" t="s">
        <v>258</v>
      </c>
      <c r="J4" s="91" t="s">
        <v>259</v>
      </c>
      <c r="K4" s="91" t="s">
        <v>260</v>
      </c>
      <c r="L4" s="91" t="s">
        <v>261</v>
      </c>
      <c r="M4" s="100"/>
      <c r="N4" s="100"/>
      <c r="O4" s="100"/>
    </row>
    <row r="5" spans="1:33" ht="14.25" customHeight="1" x14ac:dyDescent="0.25">
      <c r="A5" s="219"/>
      <c r="B5" s="654"/>
      <c r="C5" s="655"/>
      <c r="D5" s="219"/>
      <c r="E5" s="656"/>
      <c r="F5" s="219"/>
      <c r="G5" s="219"/>
      <c r="H5" s="655"/>
      <c r="I5" s="219"/>
      <c r="J5" s="219"/>
      <c r="K5" s="219"/>
      <c r="L5" s="219"/>
    </row>
    <row r="6" spans="1:33" ht="14.25" customHeight="1" x14ac:dyDescent="0.3">
      <c r="A6" s="158" t="s">
        <v>13</v>
      </c>
      <c r="B6" s="22" t="s">
        <v>12</v>
      </c>
      <c r="C6" s="115" t="s">
        <v>14</v>
      </c>
      <c r="D6" s="125">
        <v>75</v>
      </c>
      <c r="E6" s="116">
        <f t="shared" ref="E6:E24" si="0">$G$1</f>
        <v>11.143333333333333</v>
      </c>
      <c r="F6" s="127">
        <v>1</v>
      </c>
      <c r="G6" s="121">
        <f t="shared" ref="G6:G24" si="1">D6*E6</f>
        <v>835.75</v>
      </c>
      <c r="H6" s="120">
        <f t="shared" ref="H6:H24" si="2">G6*F6</f>
        <v>835.75</v>
      </c>
      <c r="I6" s="219">
        <f>VLOOKUP(B6,All_Ingredients!$A$1:$F$151,6,FALSE())</f>
        <v>0.9</v>
      </c>
      <c r="J6" s="219">
        <f>VLOOKUP(B6,All_Ingredients!$A$1:$J$151,10,FALSE())</f>
        <v>3</v>
      </c>
      <c r="K6" s="122">
        <f t="shared" ref="K6:K24" si="3">(H6/I6)/1000</f>
        <v>0.92861111111111105</v>
      </c>
      <c r="L6" s="122">
        <f t="shared" ref="L6:L24" si="4">K6*J6</f>
        <v>2.7858333333333332</v>
      </c>
    </row>
    <row r="7" spans="1:33" ht="14.25" customHeight="1" x14ac:dyDescent="0.3">
      <c r="A7" s="128" t="s">
        <v>13</v>
      </c>
      <c r="B7" s="22" t="s">
        <v>792</v>
      </c>
      <c r="C7" s="124" t="s">
        <v>14</v>
      </c>
      <c r="D7" s="125">
        <v>25</v>
      </c>
      <c r="E7" s="116">
        <f t="shared" si="0"/>
        <v>11.143333333333333</v>
      </c>
      <c r="F7" s="127">
        <v>1</v>
      </c>
      <c r="G7" s="121">
        <f t="shared" si="1"/>
        <v>278.58333333333331</v>
      </c>
      <c r="H7" s="120">
        <f t="shared" si="2"/>
        <v>278.58333333333331</v>
      </c>
      <c r="I7" s="219">
        <f>VLOOKUP(B7,All_Ingredients!$A$1:$F$151,6,FALSE())</f>
        <v>1</v>
      </c>
      <c r="J7" s="219">
        <f>VLOOKUP(B7,All_Ingredients!$A$1:$J$151,10,FALSE())</f>
        <v>10.5</v>
      </c>
      <c r="K7" s="122">
        <f t="shared" si="3"/>
        <v>0.27858333333333329</v>
      </c>
      <c r="L7" s="122">
        <f t="shared" si="4"/>
        <v>2.9251249999999995</v>
      </c>
    </row>
    <row r="8" spans="1:33" ht="14.25" customHeight="1" x14ac:dyDescent="0.3">
      <c r="A8" s="128" t="s">
        <v>13</v>
      </c>
      <c r="B8" s="22" t="s">
        <v>17</v>
      </c>
      <c r="C8" s="124" t="s">
        <v>14</v>
      </c>
      <c r="D8" s="125">
        <v>125</v>
      </c>
      <c r="E8" s="116">
        <f t="shared" si="0"/>
        <v>11.143333333333333</v>
      </c>
      <c r="F8" s="127">
        <v>1</v>
      </c>
      <c r="G8" s="121">
        <f t="shared" si="1"/>
        <v>1392.9166666666665</v>
      </c>
      <c r="H8" s="120">
        <f t="shared" si="2"/>
        <v>1392.9166666666665</v>
      </c>
      <c r="I8" s="219">
        <f>VLOOKUP(B8,All_Ingredients!$A$1:$F$151,6,FALSE())</f>
        <v>0.98</v>
      </c>
      <c r="J8" s="219">
        <f>VLOOKUP(B8,All_Ingredients!$A$1:$J$151,10,FALSE())</f>
        <v>3.5</v>
      </c>
      <c r="K8" s="122">
        <f t="shared" si="3"/>
        <v>1.4213435374149659</v>
      </c>
      <c r="L8" s="122">
        <f t="shared" si="4"/>
        <v>4.9747023809523805</v>
      </c>
    </row>
    <row r="9" spans="1:33" ht="14.25" customHeight="1" x14ac:dyDescent="0.3">
      <c r="A9" s="128" t="s">
        <v>196</v>
      </c>
      <c r="B9" s="22" t="s">
        <v>761</v>
      </c>
      <c r="C9" s="124" t="s">
        <v>14</v>
      </c>
      <c r="D9" s="273">
        <v>150</v>
      </c>
      <c r="E9" s="116">
        <f t="shared" si="0"/>
        <v>11.143333333333333</v>
      </c>
      <c r="F9" s="127">
        <v>1</v>
      </c>
      <c r="G9" s="121">
        <f t="shared" si="1"/>
        <v>1671.5</v>
      </c>
      <c r="H9" s="120">
        <f t="shared" si="2"/>
        <v>1671.5</v>
      </c>
      <c r="I9" s="219">
        <f>VLOOKUP(B9,All_Ingredients!$A$1:$F$151,6,FALSE())</f>
        <v>1</v>
      </c>
      <c r="J9" s="219">
        <f>VLOOKUP(B9,All_Ingredients!$A$1:$J$151,10,FALSE())</f>
        <v>8.1520833333333336</v>
      </c>
      <c r="K9" s="122">
        <f t="shared" si="3"/>
        <v>1.6715</v>
      </c>
      <c r="L9" s="122">
        <f t="shared" si="4"/>
        <v>13.626207291666667</v>
      </c>
    </row>
    <row r="10" spans="1:33" ht="14.25" customHeight="1" x14ac:dyDescent="0.3">
      <c r="A10" s="128" t="s">
        <v>97</v>
      </c>
      <c r="B10" s="22" t="s">
        <v>110</v>
      </c>
      <c r="C10" s="124" t="s">
        <v>14</v>
      </c>
      <c r="D10" s="125">
        <v>3</v>
      </c>
      <c r="E10" s="116">
        <f t="shared" si="0"/>
        <v>11.143333333333333</v>
      </c>
      <c r="F10" s="127">
        <v>1</v>
      </c>
      <c r="G10" s="121">
        <f t="shared" si="1"/>
        <v>33.43</v>
      </c>
      <c r="H10" s="120">
        <f t="shared" si="2"/>
        <v>33.43</v>
      </c>
      <c r="I10" s="219">
        <f>VLOOKUP(B10,All_Ingredients!$A$1:$F$151,6,FALSE())</f>
        <v>1</v>
      </c>
      <c r="J10" s="219">
        <f>VLOOKUP(B10,All_Ingredients!$A$1:$J$151,10,FALSE())</f>
        <v>8</v>
      </c>
      <c r="K10" s="122">
        <f t="shared" si="3"/>
        <v>3.3430000000000001E-2</v>
      </c>
      <c r="L10" s="122">
        <f t="shared" si="4"/>
        <v>0.26744000000000001</v>
      </c>
    </row>
    <row r="11" spans="1:33" ht="14.25" customHeight="1" x14ac:dyDescent="0.3">
      <c r="A11" s="128" t="s">
        <v>97</v>
      </c>
      <c r="B11" s="22" t="s">
        <v>108</v>
      </c>
      <c r="C11" s="124" t="s">
        <v>14</v>
      </c>
      <c r="D11" s="125">
        <v>6</v>
      </c>
      <c r="E11" s="116">
        <f t="shared" si="0"/>
        <v>11.143333333333333</v>
      </c>
      <c r="F11" s="127">
        <v>1</v>
      </c>
      <c r="G11" s="121">
        <f t="shared" si="1"/>
        <v>66.86</v>
      </c>
      <c r="H11" s="120">
        <f t="shared" si="2"/>
        <v>66.86</v>
      </c>
      <c r="I11" s="219">
        <f>VLOOKUP(B11,All_Ingredients!$A$1:$F$151,6,FALSE())</f>
        <v>1</v>
      </c>
      <c r="J11" s="219">
        <f>VLOOKUP(B11,All_Ingredients!$A$1:$J$151,10,FALSE())</f>
        <v>15</v>
      </c>
      <c r="K11" s="122">
        <f t="shared" si="3"/>
        <v>6.6860000000000003E-2</v>
      </c>
      <c r="L11" s="122">
        <f t="shared" si="4"/>
        <v>1.0029000000000001</v>
      </c>
    </row>
    <row r="12" spans="1:33" ht="14.25" customHeight="1" x14ac:dyDescent="0.3">
      <c r="A12" s="128" t="s">
        <v>97</v>
      </c>
      <c r="B12" s="22" t="s">
        <v>126</v>
      </c>
      <c r="C12" s="124" t="s">
        <v>14</v>
      </c>
      <c r="D12" s="125">
        <v>2</v>
      </c>
      <c r="E12" s="116">
        <f t="shared" si="0"/>
        <v>11.143333333333333</v>
      </c>
      <c r="F12" s="127">
        <v>1</v>
      </c>
      <c r="G12" s="121">
        <f t="shared" si="1"/>
        <v>22.286666666666665</v>
      </c>
      <c r="H12" s="120">
        <f t="shared" si="2"/>
        <v>22.286666666666665</v>
      </c>
      <c r="I12" s="219">
        <f>VLOOKUP(B12,All_Ingredients!$A$1:$F$151,6,FALSE())</f>
        <v>1</v>
      </c>
      <c r="J12" s="219">
        <f>VLOOKUP(B12,All_Ingredients!$A$1:$J$151,10,FALSE())</f>
        <v>14</v>
      </c>
      <c r="K12" s="122">
        <f t="shared" si="3"/>
        <v>2.2286666666666666E-2</v>
      </c>
      <c r="L12" s="122">
        <f t="shared" si="4"/>
        <v>0.31201333333333331</v>
      </c>
    </row>
    <row r="13" spans="1:33" ht="14.25" customHeight="1" x14ac:dyDescent="0.35">
      <c r="A13" s="128" t="s">
        <v>196</v>
      </c>
      <c r="B13" s="22" t="s">
        <v>204</v>
      </c>
      <c r="C13" s="1010" t="s">
        <v>165</v>
      </c>
      <c r="D13" s="125">
        <v>65</v>
      </c>
      <c r="E13" s="116">
        <f t="shared" si="0"/>
        <v>11.143333333333333</v>
      </c>
      <c r="F13" s="127">
        <v>1</v>
      </c>
      <c r="G13" s="121">
        <f t="shared" si="1"/>
        <v>724.31666666666661</v>
      </c>
      <c r="H13" s="120">
        <f t="shared" si="2"/>
        <v>724.31666666666661</v>
      </c>
      <c r="I13" s="219">
        <f>VLOOKUP(B13,All_Ingredients!$A$1:$F$151,6,FALSE())</f>
        <v>1</v>
      </c>
      <c r="J13" s="219">
        <f>VLOOKUP(B13,All_Ingredients!$A$1:$J$151,10,FALSE())</f>
        <v>3.25</v>
      </c>
      <c r="K13" s="122">
        <f t="shared" si="3"/>
        <v>0.72431666666666661</v>
      </c>
      <c r="L13" s="122">
        <f t="shared" si="4"/>
        <v>2.3540291666666664</v>
      </c>
    </row>
    <row r="14" spans="1:33" ht="14.25" customHeight="1" x14ac:dyDescent="0.3">
      <c r="A14" s="128" t="s">
        <v>97</v>
      </c>
      <c r="B14" s="22" t="s">
        <v>102</v>
      </c>
      <c r="C14" s="124" t="s">
        <v>14</v>
      </c>
      <c r="D14" s="125">
        <v>1</v>
      </c>
      <c r="E14" s="116">
        <f t="shared" si="0"/>
        <v>11.143333333333333</v>
      </c>
      <c r="F14" s="127">
        <v>1</v>
      </c>
      <c r="G14" s="121">
        <f t="shared" si="1"/>
        <v>11.143333333333333</v>
      </c>
      <c r="H14" s="120">
        <f t="shared" si="2"/>
        <v>11.143333333333333</v>
      </c>
      <c r="I14" s="219">
        <f>VLOOKUP(B14,All_Ingredients!$A$1:$F$151,6,FALSE())</f>
        <v>1</v>
      </c>
      <c r="J14" s="219">
        <f>VLOOKUP(B14,All_Ingredients!$A$1:$J$151,10,FALSE())</f>
        <v>31</v>
      </c>
      <c r="K14" s="122">
        <f t="shared" si="3"/>
        <v>1.1143333333333333E-2</v>
      </c>
      <c r="L14" s="122">
        <f t="shared" si="4"/>
        <v>0.34544333333333332</v>
      </c>
    </row>
    <row r="15" spans="1:33" ht="14.25" customHeight="1" x14ac:dyDescent="0.3">
      <c r="A15" s="128" t="s">
        <v>97</v>
      </c>
      <c r="B15" s="22" t="s">
        <v>144</v>
      </c>
      <c r="C15" s="124" t="s">
        <v>14</v>
      </c>
      <c r="D15" s="125">
        <v>5</v>
      </c>
      <c r="E15" s="116">
        <f t="shared" si="0"/>
        <v>11.143333333333333</v>
      </c>
      <c r="F15" s="127">
        <v>1</v>
      </c>
      <c r="G15" s="121">
        <f t="shared" si="1"/>
        <v>55.716666666666661</v>
      </c>
      <c r="H15" s="120">
        <f t="shared" si="2"/>
        <v>55.716666666666661</v>
      </c>
      <c r="I15" s="219">
        <f>VLOOKUP(B15,All_Ingredients!$A$1:$F$151,6,FALSE())</f>
        <v>1</v>
      </c>
      <c r="J15" s="219">
        <f>VLOOKUP(B15,All_Ingredients!$A$1:$J$151,10,FALSE())</f>
        <v>15.277777777777779</v>
      </c>
      <c r="K15" s="122">
        <f t="shared" si="3"/>
        <v>5.5716666666666664E-2</v>
      </c>
      <c r="L15" s="122">
        <f t="shared" si="4"/>
        <v>0.85122685185185187</v>
      </c>
    </row>
    <row r="16" spans="1:33" ht="14.25" customHeight="1" x14ac:dyDescent="0.3">
      <c r="A16" s="128" t="s">
        <v>196</v>
      </c>
      <c r="B16" s="22" t="s">
        <v>198</v>
      </c>
      <c r="C16" s="124" t="s">
        <v>165</v>
      </c>
      <c r="D16" s="125">
        <v>20</v>
      </c>
      <c r="E16" s="116">
        <f t="shared" si="0"/>
        <v>11.143333333333333</v>
      </c>
      <c r="F16" s="127">
        <v>1</v>
      </c>
      <c r="G16" s="121">
        <f t="shared" si="1"/>
        <v>222.86666666666665</v>
      </c>
      <c r="H16" s="120">
        <f t="shared" si="2"/>
        <v>222.86666666666665</v>
      </c>
      <c r="I16" s="219">
        <f>VLOOKUP(B16,All_Ingredients!$A$1:$F$151,6,FALSE())</f>
        <v>1</v>
      </c>
      <c r="J16" s="219">
        <f>VLOOKUP(B16,All_Ingredients!$A$1:$J$151,10,FALSE())</f>
        <v>58.685446009389672</v>
      </c>
      <c r="K16" s="122">
        <f t="shared" si="3"/>
        <v>0.22286666666666666</v>
      </c>
      <c r="L16" s="122">
        <f t="shared" si="4"/>
        <v>13.079029733959311</v>
      </c>
    </row>
    <row r="17" spans="1:29" ht="14.25" customHeight="1" x14ac:dyDescent="0.3">
      <c r="A17" s="128" t="s">
        <v>192</v>
      </c>
      <c r="B17" s="22" t="s">
        <v>193</v>
      </c>
      <c r="C17" s="124" t="s">
        <v>14</v>
      </c>
      <c r="D17" s="125">
        <v>12</v>
      </c>
      <c r="E17" s="116">
        <f t="shared" si="0"/>
        <v>11.143333333333333</v>
      </c>
      <c r="F17" s="127">
        <v>1</v>
      </c>
      <c r="G17" s="121">
        <f t="shared" si="1"/>
        <v>133.72</v>
      </c>
      <c r="H17" s="120">
        <f t="shared" si="2"/>
        <v>133.72</v>
      </c>
      <c r="I17" s="219">
        <f>VLOOKUP(B17,All_Ingredients!$A$1:$F$151,6,FALSE())</f>
        <v>0.9</v>
      </c>
      <c r="J17" s="219">
        <f>VLOOKUP(B17,All_Ingredients!$A$1:$J$151,10,FALSE())</f>
        <v>2.3199999999999998</v>
      </c>
      <c r="K17" s="122">
        <f t="shared" si="3"/>
        <v>0.14857777777777778</v>
      </c>
      <c r="L17" s="122">
        <f t="shared" si="4"/>
        <v>0.34470044444444442</v>
      </c>
    </row>
    <row r="18" spans="1:29" ht="14.25" customHeight="1" x14ac:dyDescent="0.3">
      <c r="A18" s="128" t="s">
        <v>13</v>
      </c>
      <c r="B18" s="22" t="s">
        <v>17</v>
      </c>
      <c r="C18" s="124" t="s">
        <v>14</v>
      </c>
      <c r="D18" s="125">
        <v>125</v>
      </c>
      <c r="E18" s="116">
        <f t="shared" si="0"/>
        <v>11.143333333333333</v>
      </c>
      <c r="F18" s="127">
        <v>1</v>
      </c>
      <c r="G18" s="121">
        <f t="shared" si="1"/>
        <v>1392.9166666666665</v>
      </c>
      <c r="H18" s="120">
        <f t="shared" si="2"/>
        <v>1392.9166666666665</v>
      </c>
      <c r="I18" s="219">
        <f>VLOOKUP(B18,All_Ingredients!$A$1:$F$151,6,FALSE())</f>
        <v>0.98</v>
      </c>
      <c r="J18" s="219">
        <f>VLOOKUP(B18,All_Ingredients!$A$1:$J$151,10,FALSE())</f>
        <v>3.5</v>
      </c>
      <c r="K18" s="122">
        <f t="shared" si="3"/>
        <v>1.4213435374149659</v>
      </c>
      <c r="L18" s="122">
        <f t="shared" si="4"/>
        <v>4.9747023809523805</v>
      </c>
    </row>
    <row r="19" spans="1:29" ht="14.25" customHeight="1" x14ac:dyDescent="0.3">
      <c r="A19" s="128" t="s">
        <v>13</v>
      </c>
      <c r="B19" s="22" t="s">
        <v>23</v>
      </c>
      <c r="C19" s="124" t="s">
        <v>14</v>
      </c>
      <c r="D19" s="125">
        <v>1500</v>
      </c>
      <c r="E19" s="116">
        <f t="shared" si="0"/>
        <v>11.143333333333333</v>
      </c>
      <c r="F19" s="127">
        <v>1</v>
      </c>
      <c r="G19" s="121">
        <f t="shared" si="1"/>
        <v>16715</v>
      </c>
      <c r="H19" s="120">
        <f t="shared" si="2"/>
        <v>16715</v>
      </c>
      <c r="I19" s="219">
        <f>VLOOKUP(B19,All_Ingredients!$A$1:$F$151,6,FALSE())</f>
        <v>0.82</v>
      </c>
      <c r="J19" s="219">
        <f>VLOOKUP(B19,All_Ingredients!$A$1:$J$151,10,FALSE())</f>
        <v>3</v>
      </c>
      <c r="K19" s="122">
        <f t="shared" si="3"/>
        <v>20.384146341463417</v>
      </c>
      <c r="L19" s="122">
        <f t="shared" si="4"/>
        <v>61.152439024390247</v>
      </c>
    </row>
    <row r="20" spans="1:29" ht="14.25" customHeight="1" x14ac:dyDescent="0.3">
      <c r="A20" s="128" t="s">
        <v>13</v>
      </c>
      <c r="B20" s="22" t="s">
        <v>28</v>
      </c>
      <c r="C20" s="124" t="s">
        <v>14</v>
      </c>
      <c r="D20" s="125">
        <v>50</v>
      </c>
      <c r="E20" s="116">
        <f t="shared" si="0"/>
        <v>11.143333333333333</v>
      </c>
      <c r="F20" s="127">
        <v>1</v>
      </c>
      <c r="G20" s="121">
        <f t="shared" si="1"/>
        <v>557.16666666666663</v>
      </c>
      <c r="H20" s="120">
        <f t="shared" si="2"/>
        <v>557.16666666666663</v>
      </c>
      <c r="I20" s="219">
        <f>VLOOKUP(B20,All_Ingredients!$A$1:$F$151,6,FALSE())</f>
        <v>0.56999999999999995</v>
      </c>
      <c r="J20" s="219">
        <f>VLOOKUP(B20,All_Ingredients!$A$1:$J$151,10,FALSE())</f>
        <v>8.5</v>
      </c>
      <c r="K20" s="122">
        <f t="shared" si="3"/>
        <v>0.97748538011695907</v>
      </c>
      <c r="L20" s="122">
        <f t="shared" si="4"/>
        <v>8.3086257309941516</v>
      </c>
    </row>
    <row r="21" spans="1:29" ht="14.25" customHeight="1" x14ac:dyDescent="0.3">
      <c r="A21" s="128" t="s">
        <v>13</v>
      </c>
      <c r="B21" s="22" t="s">
        <v>30</v>
      </c>
      <c r="C21" s="124" t="s">
        <v>14</v>
      </c>
      <c r="D21" s="125">
        <v>50</v>
      </c>
      <c r="E21" s="116">
        <f t="shared" si="0"/>
        <v>11.143333333333333</v>
      </c>
      <c r="F21" s="127">
        <v>1</v>
      </c>
      <c r="G21" s="121">
        <f t="shared" si="1"/>
        <v>557.16666666666663</v>
      </c>
      <c r="H21" s="120">
        <f t="shared" si="2"/>
        <v>557.16666666666663</v>
      </c>
      <c r="I21" s="219">
        <f>VLOOKUP(B21,All_Ingredients!$A$1:$F$151,6,FALSE())</f>
        <v>0.56999999999999995</v>
      </c>
      <c r="J21" s="219">
        <f>VLOOKUP(B21,All_Ingredients!$A$1:$J$151,10,FALSE())</f>
        <v>8.5</v>
      </c>
      <c r="K21" s="122">
        <f t="shared" si="3"/>
        <v>0.97748538011695907</v>
      </c>
      <c r="L21" s="122">
        <f t="shared" si="4"/>
        <v>8.3086257309941516</v>
      </c>
    </row>
    <row r="22" spans="1:29" ht="14.25" customHeight="1" x14ac:dyDescent="0.3">
      <c r="A22" s="128" t="s">
        <v>13</v>
      </c>
      <c r="B22" s="22" t="s">
        <v>32</v>
      </c>
      <c r="C22" s="124" t="s">
        <v>14</v>
      </c>
      <c r="D22" s="125">
        <v>50</v>
      </c>
      <c r="E22" s="116">
        <f t="shared" si="0"/>
        <v>11.143333333333333</v>
      </c>
      <c r="F22" s="127">
        <v>1</v>
      </c>
      <c r="G22" s="121">
        <f t="shared" si="1"/>
        <v>557.16666666666663</v>
      </c>
      <c r="H22" s="120">
        <f t="shared" si="2"/>
        <v>557.16666666666663</v>
      </c>
      <c r="I22" s="219">
        <f>VLOOKUP(B22,All_Ingredients!$A$1:$F$151,6,FALSE())</f>
        <v>0.96</v>
      </c>
      <c r="J22" s="219">
        <f>VLOOKUP(B22,All_Ingredients!$A$1:$J$151,10,FALSE())</f>
        <v>4</v>
      </c>
      <c r="K22" s="122">
        <f t="shared" si="3"/>
        <v>0.58038194444444446</v>
      </c>
      <c r="L22" s="122">
        <f t="shared" si="4"/>
        <v>2.3215277777777779</v>
      </c>
    </row>
    <row r="23" spans="1:29" ht="14.25" customHeight="1" x14ac:dyDescent="0.3">
      <c r="A23" s="128" t="s">
        <v>13</v>
      </c>
      <c r="B23" s="445" t="s">
        <v>21</v>
      </c>
      <c r="C23" s="419" t="s">
        <v>14</v>
      </c>
      <c r="D23" s="420">
        <v>300</v>
      </c>
      <c r="E23" s="446">
        <f t="shared" si="0"/>
        <v>11.143333333333333</v>
      </c>
      <c r="F23" s="447">
        <v>1</v>
      </c>
      <c r="G23" s="448">
        <f t="shared" si="1"/>
        <v>3343</v>
      </c>
      <c r="H23" s="449">
        <f t="shared" si="2"/>
        <v>3343</v>
      </c>
      <c r="I23" s="219">
        <f>VLOOKUP(B23,All_Ingredients!$A$1:$F$151,6,FALSE())</f>
        <v>0.9</v>
      </c>
      <c r="J23" s="219">
        <f>VLOOKUP(B23,All_Ingredients!$A$1:$J$151,10,FALSE())</f>
        <v>2.2999999999999998</v>
      </c>
      <c r="K23" s="122">
        <f t="shared" si="3"/>
        <v>3.7144444444444442</v>
      </c>
      <c r="L23" s="122">
        <f t="shared" si="4"/>
        <v>8.5432222222222212</v>
      </c>
    </row>
    <row r="24" spans="1:29" ht="14.25" customHeight="1" x14ac:dyDescent="0.3">
      <c r="A24" s="128" t="s">
        <v>158</v>
      </c>
      <c r="B24" s="323" t="s">
        <v>157</v>
      </c>
      <c r="C24" s="124" t="s">
        <v>14</v>
      </c>
      <c r="D24" s="125">
        <v>40</v>
      </c>
      <c r="E24" s="116">
        <f t="shared" si="0"/>
        <v>11.143333333333333</v>
      </c>
      <c r="F24" s="127">
        <v>1</v>
      </c>
      <c r="G24" s="121">
        <f t="shared" si="1"/>
        <v>445.73333333333329</v>
      </c>
      <c r="H24" s="120">
        <f t="shared" si="2"/>
        <v>445.73333333333329</v>
      </c>
      <c r="I24" s="219">
        <f>VLOOKUP(B24,All_Ingredients!$A$1:$F$151,6,FALSE())</f>
        <v>1</v>
      </c>
      <c r="J24" s="219">
        <f>VLOOKUP(B24,All_Ingredients!$A$1:$J$151,10,FALSE())</f>
        <v>30</v>
      </c>
      <c r="K24" s="122">
        <f t="shared" si="3"/>
        <v>0.44573333333333331</v>
      </c>
      <c r="L24" s="122">
        <f t="shared" si="4"/>
        <v>13.372</v>
      </c>
      <c r="Z24" s="1234"/>
    </row>
    <row r="25" spans="1:29" ht="14.25" customHeight="1" x14ac:dyDescent="0.3">
      <c r="B25" s="349"/>
      <c r="C25" s="133"/>
      <c r="D25" s="254"/>
      <c r="E25" s="225"/>
      <c r="F25" s="136"/>
      <c r="R25" s="1430" t="s">
        <v>401</v>
      </c>
      <c r="S25" s="1388"/>
      <c r="T25" s="1388"/>
      <c r="U25" s="1388"/>
      <c r="Z25" s="141" t="s">
        <v>264</v>
      </c>
      <c r="AA25" s="142">
        <v>11120</v>
      </c>
      <c r="AB25" s="141" t="s">
        <v>261</v>
      </c>
      <c r="AC25" s="143">
        <f>(T35/T32)*AA25</f>
        <v>136.19201911642412</v>
      </c>
    </row>
    <row r="26" spans="1:29" ht="14.25" customHeight="1" x14ac:dyDescent="0.3">
      <c r="E26" s="100"/>
      <c r="F26" s="100"/>
      <c r="R26" s="1430" t="s">
        <v>350</v>
      </c>
      <c r="S26" s="1388"/>
      <c r="T26" s="1388"/>
      <c r="U26" s="1388"/>
    </row>
    <row r="27" spans="1:29" ht="14.25" customHeight="1" x14ac:dyDescent="0.3">
      <c r="E27" s="100"/>
      <c r="F27" s="100"/>
      <c r="R27" s="145" t="s">
        <v>266</v>
      </c>
      <c r="S27" s="146"/>
      <c r="T27" s="146" t="s">
        <v>351</v>
      </c>
      <c r="U27" s="146" t="s">
        <v>269</v>
      </c>
    </row>
    <row r="28" spans="1:29" ht="14.25" customHeight="1" x14ac:dyDescent="0.3">
      <c r="E28" s="100"/>
      <c r="F28" s="100"/>
      <c r="R28" s="148" t="s">
        <v>275</v>
      </c>
      <c r="S28" s="149"/>
      <c r="T28" s="760"/>
      <c r="U28" s="766">
        <f>$Z$1</f>
        <v>33430</v>
      </c>
    </row>
    <row r="29" spans="1:29" ht="21.75" customHeight="1" x14ac:dyDescent="0.3">
      <c r="E29" s="100"/>
      <c r="F29" s="100"/>
      <c r="R29" s="148" t="s">
        <v>276</v>
      </c>
      <c r="S29" s="155"/>
      <c r="T29" s="760">
        <f>U28*(1/3)</f>
        <v>11143.333333333332</v>
      </c>
      <c r="U29" s="760">
        <f>T29</f>
        <v>11143.333333333332</v>
      </c>
    </row>
    <row r="30" spans="1:29" ht="25.25" customHeight="1" x14ac:dyDescent="0.3">
      <c r="B30" s="100"/>
      <c r="E30" s="100"/>
      <c r="F30" s="100"/>
      <c r="R30" s="148" t="s">
        <v>277</v>
      </c>
      <c r="S30" s="155"/>
      <c r="T30" s="760">
        <f>$AB$1*0.3</f>
        <v>0</v>
      </c>
      <c r="U30" s="760">
        <f>T30</f>
        <v>0</v>
      </c>
    </row>
    <row r="31" spans="1:29" ht="14.25" customHeight="1" x14ac:dyDescent="0.3">
      <c r="B31" s="100"/>
      <c r="E31" s="100"/>
      <c r="F31" s="100"/>
      <c r="R31" s="148" t="s">
        <v>279</v>
      </c>
      <c r="S31" s="155"/>
      <c r="T31" s="149"/>
      <c r="U31" s="149"/>
    </row>
    <row r="32" spans="1:29" ht="14.25" customHeight="1" x14ac:dyDescent="0.3">
      <c r="B32" s="100"/>
      <c r="E32" s="100"/>
      <c r="F32" s="100"/>
      <c r="R32" s="160" t="s">
        <v>269</v>
      </c>
      <c r="S32" s="149"/>
      <c r="T32" s="149">
        <f>SUM(_xlfn._TRO_LEADING(T28:T30))</f>
        <v>11143.333333333332</v>
      </c>
      <c r="U32" s="149">
        <f>SUM(U29:U30)</f>
        <v>11143.333333333332</v>
      </c>
    </row>
    <row r="33" spans="2:21" ht="14.25" customHeight="1" x14ac:dyDescent="0.3">
      <c r="B33" s="100"/>
      <c r="E33" s="100"/>
      <c r="F33" s="100"/>
      <c r="R33" s="161" t="s">
        <v>280</v>
      </c>
      <c r="S33" s="155"/>
      <c r="T33" s="799"/>
      <c r="U33" s="155"/>
    </row>
    <row r="34" spans="2:21" ht="14.25" customHeight="1" x14ac:dyDescent="0.3">
      <c r="B34" s="100"/>
      <c r="E34" s="100"/>
      <c r="F34" s="100"/>
      <c r="R34" s="162" t="s">
        <v>281</v>
      </c>
      <c r="S34" s="155"/>
      <c r="T34" s="149"/>
      <c r="U34" s="155"/>
    </row>
    <row r="35" spans="2:21" ht="14.25" customHeight="1" x14ac:dyDescent="0.3">
      <c r="B35" s="100"/>
      <c r="E35" s="100"/>
      <c r="F35" s="100"/>
      <c r="R35" s="163" t="s">
        <v>261</v>
      </c>
      <c r="S35" s="164"/>
      <c r="T35" s="164">
        <f>SUM(L6:L23)</f>
        <v>136.47779373687223</v>
      </c>
      <c r="U35" s="1238">
        <f>S35+T35</f>
        <v>136.47779373687223</v>
      </c>
    </row>
    <row r="36" spans="2:21" x14ac:dyDescent="0.3">
      <c r="B36" s="100"/>
      <c r="E36" s="100"/>
      <c r="F36" s="100"/>
    </row>
    <row r="50" spans="1:8" x14ac:dyDescent="0.3">
      <c r="B50" s="276"/>
      <c r="C50" s="145" t="s">
        <v>245</v>
      </c>
      <c r="D50" s="145" t="s">
        <v>291</v>
      </c>
    </row>
    <row r="51" spans="1:8" ht="14" customHeight="1" x14ac:dyDescent="0.3">
      <c r="B51" s="180" t="s">
        <v>295</v>
      </c>
      <c r="C51" s="181">
        <f>10/$K$1</f>
        <v>10</v>
      </c>
      <c r="D51" s="182">
        <f>$C$1*10</f>
        <v>10000</v>
      </c>
    </row>
    <row r="52" spans="1:8" ht="14" customHeight="1" x14ac:dyDescent="0.3">
      <c r="B52" s="231" t="s">
        <v>274</v>
      </c>
      <c r="C52" s="232">
        <f>$I$1</f>
        <v>11.143333333333333</v>
      </c>
      <c r="D52" s="233">
        <f>$E$1</f>
        <v>11143.333333333332</v>
      </c>
    </row>
    <row r="53" spans="1:8" x14ac:dyDescent="0.3">
      <c r="B53" s="231" t="s">
        <v>296</v>
      </c>
      <c r="C53" s="234">
        <f>MIN(C52, C51)</f>
        <v>10</v>
      </c>
      <c r="D53" s="233">
        <f>(C53*$K$1)*$C$1</f>
        <v>10000</v>
      </c>
    </row>
    <row r="54" spans="1:8" x14ac:dyDescent="0.3">
      <c r="B54" s="231" t="s">
        <v>297</v>
      </c>
      <c r="C54" s="234">
        <f>MIN(MAX(C52-C53,0),C51)</f>
        <v>1.1433333333333326</v>
      </c>
      <c r="D54" s="233">
        <f>(C54*$K$1)*$C$1</f>
        <v>1143.3333333333326</v>
      </c>
    </row>
    <row r="55" spans="1:8" x14ac:dyDescent="0.3">
      <c r="B55" s="231" t="s">
        <v>298</v>
      </c>
      <c r="C55" s="234">
        <f>MIN(MAX(C52-C53-C54,0),C51)</f>
        <v>0</v>
      </c>
      <c r="D55" s="233">
        <f>(C55*$K$1)*$C$1</f>
        <v>0</v>
      </c>
    </row>
    <row r="62" spans="1:8" ht="17.75" customHeight="1" x14ac:dyDescent="0.3"/>
    <row r="63" spans="1:8" ht="17.75" customHeight="1" x14ac:dyDescent="0.3">
      <c r="A63" s="937"/>
      <c r="B63" s="1382" t="str">
        <f>"  خضار المسقعة 1 / " &amp; COUNTIF($C$52:$C$53, "&gt;0")</f>
        <v xml:space="preserve">  خضار المسقعة 1 / 2</v>
      </c>
      <c r="C63" s="1383"/>
      <c r="D63" s="1383"/>
      <c r="E63" s="1383"/>
      <c r="F63" s="1383"/>
      <c r="G63" s="1383"/>
      <c r="H63" s="1383"/>
    </row>
    <row r="64" spans="1:8" x14ac:dyDescent="0.3">
      <c r="A64" s="937"/>
      <c r="B64" s="1384" t="str">
        <f>" Moussaka Vegi 1 / " &amp; COUNTIF($C$52:$C$53, "&gt;0")</f>
        <v xml:space="preserve"> Moussaka Vegi 1 / 2</v>
      </c>
      <c r="C64" s="1385"/>
      <c r="D64" s="1385"/>
      <c r="E64" s="1385"/>
      <c r="F64" s="1385"/>
      <c r="G64" s="1385"/>
      <c r="H64" s="1385"/>
    </row>
    <row r="65" spans="1:8" ht="48.5" customHeight="1" x14ac:dyDescent="0.25">
      <c r="A65" s="91"/>
      <c r="B65" s="243" t="s">
        <v>253</v>
      </c>
      <c r="C65" s="244" t="s">
        <v>254</v>
      </c>
      <c r="D65" s="245" t="s">
        <v>243</v>
      </c>
      <c r="E65" s="218" t="s">
        <v>246</v>
      </c>
      <c r="F65" s="218" t="s">
        <v>255</v>
      </c>
      <c r="G65" s="245" t="s">
        <v>256</v>
      </c>
      <c r="H65" s="218" t="s">
        <v>257</v>
      </c>
    </row>
    <row r="66" spans="1:8" ht="14.25" customHeight="1" x14ac:dyDescent="0.3">
      <c r="A66" s="128" t="s">
        <v>13</v>
      </c>
      <c r="B66" s="323" t="str">
        <f t="shared" ref="B66:D84" si="5">B6</f>
        <v>Onion - بصل</v>
      </c>
      <c r="C66" s="124" t="str">
        <f t="shared" si="5"/>
        <v>gm</v>
      </c>
      <c r="D66" s="125">
        <f t="shared" si="5"/>
        <v>75</v>
      </c>
      <c r="E66" s="116">
        <f>$C$53</f>
        <v>10</v>
      </c>
      <c r="F66" s="127">
        <f t="shared" ref="F66:F84" si="6">F6</f>
        <v>1</v>
      </c>
      <c r="G66" s="119">
        <f t="shared" ref="G66:G84" si="7">D66*E66</f>
        <v>750</v>
      </c>
      <c r="H66" s="120">
        <f t="shared" ref="H66:H84" si="8">G66*F66</f>
        <v>750</v>
      </c>
    </row>
    <row r="67" spans="1:8" ht="14.25" customHeight="1" x14ac:dyDescent="0.3">
      <c r="A67" s="128" t="s">
        <v>13</v>
      </c>
      <c r="B67" s="323" t="str">
        <f t="shared" si="5"/>
        <v>Garlic - ثوم مقشر</v>
      </c>
      <c r="C67" s="124" t="str">
        <f t="shared" si="5"/>
        <v>gm</v>
      </c>
      <c r="D67" s="125">
        <f t="shared" si="5"/>
        <v>25</v>
      </c>
      <c r="E67" s="116">
        <f t="shared" ref="E67:E84" si="9">$C$53</f>
        <v>10</v>
      </c>
      <c r="F67" s="127">
        <f t="shared" si="6"/>
        <v>1</v>
      </c>
      <c r="G67" s="119">
        <f t="shared" si="7"/>
        <v>250</v>
      </c>
      <c r="H67" s="120">
        <f t="shared" si="8"/>
        <v>250</v>
      </c>
    </row>
    <row r="68" spans="1:8" ht="14.25" customHeight="1" x14ac:dyDescent="0.3">
      <c r="A68" s="128" t="s">
        <v>13</v>
      </c>
      <c r="B68" s="323" t="str">
        <f t="shared" si="5"/>
        <v>Tomato - طماطم</v>
      </c>
      <c r="C68" s="124" t="str">
        <f t="shared" si="5"/>
        <v>gm</v>
      </c>
      <c r="D68" s="125">
        <f t="shared" si="5"/>
        <v>125</v>
      </c>
      <c r="E68" s="116">
        <f t="shared" si="9"/>
        <v>10</v>
      </c>
      <c r="F68" s="127">
        <f t="shared" si="6"/>
        <v>1</v>
      </c>
      <c r="G68" s="119">
        <f t="shared" si="7"/>
        <v>1250</v>
      </c>
      <c r="H68" s="120">
        <f t="shared" si="8"/>
        <v>1250</v>
      </c>
    </row>
    <row r="69" spans="1:8" ht="14.25" customHeight="1" x14ac:dyDescent="0.3">
      <c r="A69" s="128" t="s">
        <v>196</v>
      </c>
      <c r="B69" s="323" t="str">
        <f t="shared" si="5"/>
        <v>Tomato Paste - صلصة طماطم</v>
      </c>
      <c r="C69" s="124" t="str">
        <f t="shared" si="5"/>
        <v>gm</v>
      </c>
      <c r="D69" s="125">
        <f t="shared" si="5"/>
        <v>150</v>
      </c>
      <c r="E69" s="116">
        <f t="shared" si="9"/>
        <v>10</v>
      </c>
      <c r="F69" s="127">
        <f t="shared" si="6"/>
        <v>1</v>
      </c>
      <c r="G69" s="119">
        <f t="shared" si="7"/>
        <v>1500</v>
      </c>
      <c r="H69" s="120">
        <f t="shared" si="8"/>
        <v>1500</v>
      </c>
    </row>
    <row r="70" spans="1:8" ht="14.25" customHeight="1" x14ac:dyDescent="0.3">
      <c r="A70" s="128" t="s">
        <v>97</v>
      </c>
      <c r="B70" s="323" t="str">
        <f t="shared" si="5"/>
        <v>Coriander Powder - كزبرة مطحونة</v>
      </c>
      <c r="C70" s="124" t="str">
        <f t="shared" si="5"/>
        <v>gm</v>
      </c>
      <c r="D70" s="125">
        <f t="shared" si="5"/>
        <v>3</v>
      </c>
      <c r="E70" s="116">
        <f t="shared" si="9"/>
        <v>10</v>
      </c>
      <c r="F70" s="127">
        <f t="shared" si="6"/>
        <v>1</v>
      </c>
      <c r="G70" s="119">
        <f t="shared" si="7"/>
        <v>30</v>
      </c>
      <c r="H70" s="120">
        <f t="shared" si="8"/>
        <v>30</v>
      </c>
    </row>
    <row r="71" spans="1:8" ht="14.25" customHeight="1" x14ac:dyDescent="0.3">
      <c r="A71" s="128" t="s">
        <v>97</v>
      </c>
      <c r="B71" s="323" t="str">
        <f t="shared" si="5"/>
        <v>Cumin Powder - كمون مطحون</v>
      </c>
      <c r="C71" s="124" t="str">
        <f t="shared" si="5"/>
        <v>gm</v>
      </c>
      <c r="D71" s="125">
        <f t="shared" si="5"/>
        <v>6</v>
      </c>
      <c r="E71" s="116">
        <f t="shared" si="9"/>
        <v>10</v>
      </c>
      <c r="F71" s="127">
        <f t="shared" si="6"/>
        <v>1</v>
      </c>
      <c r="G71" s="119">
        <f t="shared" si="7"/>
        <v>60</v>
      </c>
      <c r="H71" s="120">
        <f t="shared" si="8"/>
        <v>60</v>
      </c>
    </row>
    <row r="72" spans="1:8" ht="14.25" customHeight="1" x14ac:dyDescent="0.3">
      <c r="A72" s="128" t="s">
        <v>97</v>
      </c>
      <c r="B72" s="323" t="str">
        <f t="shared" si="5"/>
        <v>Cinnamon Powder - قرفة مطحونة</v>
      </c>
      <c r="C72" s="124" t="str">
        <f t="shared" si="5"/>
        <v>gm</v>
      </c>
      <c r="D72" s="125">
        <f t="shared" si="5"/>
        <v>2</v>
      </c>
      <c r="E72" s="116">
        <f t="shared" si="9"/>
        <v>10</v>
      </c>
      <c r="F72" s="127">
        <f t="shared" si="6"/>
        <v>1</v>
      </c>
      <c r="G72" s="119">
        <f t="shared" si="7"/>
        <v>20</v>
      </c>
      <c r="H72" s="120">
        <f t="shared" si="8"/>
        <v>20</v>
      </c>
    </row>
    <row r="73" spans="1:8" ht="14.25" customHeight="1" x14ac:dyDescent="0.3">
      <c r="A73" s="128" t="s">
        <v>196</v>
      </c>
      <c r="B73" s="323" t="str">
        <f t="shared" si="5"/>
        <v>Tomato Ketchup - كاتشب طماطم</v>
      </c>
      <c r="C73" s="124" t="str">
        <f t="shared" si="5"/>
        <v>ml</v>
      </c>
      <c r="D73" s="125">
        <f t="shared" si="5"/>
        <v>65</v>
      </c>
      <c r="E73" s="116">
        <f t="shared" si="9"/>
        <v>10</v>
      </c>
      <c r="F73" s="127">
        <f t="shared" si="6"/>
        <v>1</v>
      </c>
      <c r="G73" s="119">
        <f t="shared" si="7"/>
        <v>650</v>
      </c>
      <c r="H73" s="120">
        <f t="shared" si="8"/>
        <v>650</v>
      </c>
    </row>
    <row r="74" spans="1:8" ht="14.25" customHeight="1" x14ac:dyDescent="0.3">
      <c r="A74" s="128" t="s">
        <v>97</v>
      </c>
      <c r="B74" s="323" t="str">
        <f t="shared" si="5"/>
        <v>Black Pepper Powder - فلفل أسود مطحون</v>
      </c>
      <c r="C74" s="124" t="str">
        <f t="shared" si="5"/>
        <v>gm</v>
      </c>
      <c r="D74" s="125">
        <f t="shared" si="5"/>
        <v>1</v>
      </c>
      <c r="E74" s="116">
        <f t="shared" si="9"/>
        <v>10</v>
      </c>
      <c r="F74" s="127">
        <f t="shared" si="6"/>
        <v>1</v>
      </c>
      <c r="G74" s="119">
        <f t="shared" si="7"/>
        <v>10</v>
      </c>
      <c r="H74" s="120">
        <f t="shared" si="8"/>
        <v>10</v>
      </c>
    </row>
    <row r="75" spans="1:8" ht="14.25" customHeight="1" x14ac:dyDescent="0.3">
      <c r="A75" s="128" t="s">
        <v>97</v>
      </c>
      <c r="B75" s="323" t="str">
        <f t="shared" si="5"/>
        <v>Maggi Cubes - مكعبات ماجي</v>
      </c>
      <c r="C75" s="124" t="str">
        <f t="shared" si="5"/>
        <v>gm</v>
      </c>
      <c r="D75" s="125">
        <f t="shared" si="5"/>
        <v>5</v>
      </c>
      <c r="E75" s="116">
        <f t="shared" si="9"/>
        <v>10</v>
      </c>
      <c r="F75" s="127">
        <f t="shared" si="6"/>
        <v>1</v>
      </c>
      <c r="G75" s="119">
        <f t="shared" si="7"/>
        <v>50</v>
      </c>
      <c r="H75" s="120">
        <f t="shared" si="8"/>
        <v>50</v>
      </c>
    </row>
    <row r="76" spans="1:8" ht="14.25" customHeight="1" x14ac:dyDescent="0.3">
      <c r="A76" s="128" t="s">
        <v>196</v>
      </c>
      <c r="B76" s="323" t="str">
        <f t="shared" si="5"/>
        <v>Sriracha Sauce - صوص سريراتشا</v>
      </c>
      <c r="C76" s="124" t="str">
        <f t="shared" si="5"/>
        <v>ml</v>
      </c>
      <c r="D76" s="125">
        <f t="shared" si="5"/>
        <v>20</v>
      </c>
      <c r="E76" s="116">
        <f t="shared" si="9"/>
        <v>10</v>
      </c>
      <c r="F76" s="127">
        <f t="shared" si="6"/>
        <v>1</v>
      </c>
      <c r="G76" s="119">
        <f t="shared" si="7"/>
        <v>200</v>
      </c>
      <c r="H76" s="120">
        <f t="shared" si="8"/>
        <v>200</v>
      </c>
    </row>
    <row r="77" spans="1:8" ht="14.25" customHeight="1" x14ac:dyDescent="0.3">
      <c r="A77" s="128" t="s">
        <v>192</v>
      </c>
      <c r="B77" s="323" t="str">
        <f t="shared" si="5"/>
        <v>Corn Starch - نشا ذرة</v>
      </c>
      <c r="C77" s="124" t="str">
        <f t="shared" si="5"/>
        <v>gm</v>
      </c>
      <c r="D77" s="125">
        <f t="shared" si="5"/>
        <v>12</v>
      </c>
      <c r="E77" s="116">
        <f t="shared" si="9"/>
        <v>10</v>
      </c>
      <c r="F77" s="127">
        <f t="shared" si="6"/>
        <v>1</v>
      </c>
      <c r="G77" s="119">
        <f t="shared" si="7"/>
        <v>120</v>
      </c>
      <c r="H77" s="120">
        <f t="shared" si="8"/>
        <v>120</v>
      </c>
    </row>
    <row r="78" spans="1:8" ht="14.25" customHeight="1" x14ac:dyDescent="0.3">
      <c r="A78" s="128" t="s">
        <v>13</v>
      </c>
      <c r="B78" s="323" t="str">
        <f t="shared" si="5"/>
        <v>Tomato - طماطم</v>
      </c>
      <c r="C78" s="124" t="str">
        <f t="shared" si="5"/>
        <v>gm</v>
      </c>
      <c r="D78" s="125">
        <f t="shared" si="5"/>
        <v>125</v>
      </c>
      <c r="E78" s="116">
        <f t="shared" si="9"/>
        <v>10</v>
      </c>
      <c r="F78" s="127">
        <f t="shared" si="6"/>
        <v>1</v>
      </c>
      <c r="G78" s="119">
        <f t="shared" si="7"/>
        <v>1250</v>
      </c>
      <c r="H78" s="120">
        <f t="shared" si="8"/>
        <v>1250</v>
      </c>
    </row>
    <row r="79" spans="1:8" ht="14.25" customHeight="1" x14ac:dyDescent="0.3">
      <c r="A79" s="128" t="s">
        <v>13</v>
      </c>
      <c r="B79" s="323" t="str">
        <f t="shared" si="5"/>
        <v>Eggplant - باذنجان</v>
      </c>
      <c r="C79" s="124" t="str">
        <f t="shared" si="5"/>
        <v>gm</v>
      </c>
      <c r="D79" s="125">
        <f t="shared" si="5"/>
        <v>1500</v>
      </c>
      <c r="E79" s="116">
        <f t="shared" si="9"/>
        <v>10</v>
      </c>
      <c r="F79" s="127">
        <f t="shared" si="6"/>
        <v>1</v>
      </c>
      <c r="G79" s="119">
        <f t="shared" si="7"/>
        <v>15000</v>
      </c>
      <c r="H79" s="120">
        <f t="shared" si="8"/>
        <v>15000</v>
      </c>
    </row>
    <row r="80" spans="1:8" ht="14.25" customHeight="1" x14ac:dyDescent="0.3">
      <c r="A80" s="128" t="s">
        <v>13</v>
      </c>
      <c r="B80" s="323" t="str">
        <f t="shared" si="5"/>
        <v xml:space="preserve">Red Bell Pepper - فلفل أحمر </v>
      </c>
      <c r="C80" s="124" t="str">
        <f t="shared" si="5"/>
        <v>gm</v>
      </c>
      <c r="D80" s="125">
        <f t="shared" si="5"/>
        <v>50</v>
      </c>
      <c r="E80" s="116">
        <f t="shared" si="9"/>
        <v>10</v>
      </c>
      <c r="F80" s="127">
        <f t="shared" si="6"/>
        <v>1</v>
      </c>
      <c r="G80" s="119">
        <f t="shared" si="7"/>
        <v>500</v>
      </c>
      <c r="H80" s="120">
        <f t="shared" si="8"/>
        <v>500</v>
      </c>
    </row>
    <row r="81" spans="1:8" ht="14.25" customHeight="1" x14ac:dyDescent="0.3">
      <c r="A81" s="128" t="s">
        <v>13</v>
      </c>
      <c r="B81" s="323" t="str">
        <f t="shared" si="5"/>
        <v xml:space="preserve">Yellow Bell Pepper - فلفل أصفر </v>
      </c>
      <c r="C81" s="124" t="str">
        <f t="shared" si="5"/>
        <v>gm</v>
      </c>
      <c r="D81" s="125">
        <f t="shared" si="5"/>
        <v>50</v>
      </c>
      <c r="E81" s="116">
        <f t="shared" si="9"/>
        <v>10</v>
      </c>
      <c r="F81" s="127">
        <f t="shared" si="6"/>
        <v>1</v>
      </c>
      <c r="G81" s="119">
        <f t="shared" si="7"/>
        <v>500</v>
      </c>
      <c r="H81" s="120">
        <f t="shared" si="8"/>
        <v>500</v>
      </c>
    </row>
    <row r="82" spans="1:8" ht="14.25" customHeight="1" x14ac:dyDescent="0.3">
      <c r="A82" s="128" t="s">
        <v>13</v>
      </c>
      <c r="B82" s="323" t="str">
        <f t="shared" si="5"/>
        <v>Green Bell Pepper - فلفل أخضر رومى</v>
      </c>
      <c r="C82" s="124" t="str">
        <f t="shared" si="5"/>
        <v>gm</v>
      </c>
      <c r="D82" s="125">
        <f t="shared" si="5"/>
        <v>50</v>
      </c>
      <c r="E82" s="116">
        <f t="shared" si="9"/>
        <v>10</v>
      </c>
      <c r="F82" s="127">
        <f t="shared" si="6"/>
        <v>1</v>
      </c>
      <c r="G82" s="119">
        <f t="shared" si="7"/>
        <v>500</v>
      </c>
      <c r="H82" s="120">
        <f t="shared" si="8"/>
        <v>500</v>
      </c>
    </row>
    <row r="83" spans="1:8" ht="14.25" customHeight="1" x14ac:dyDescent="0.3">
      <c r="A83" s="128" t="s">
        <v>13</v>
      </c>
      <c r="B83" s="323" t="str">
        <f t="shared" si="5"/>
        <v>Potato - بطاطس</v>
      </c>
      <c r="C83" s="124" t="str">
        <f t="shared" si="5"/>
        <v>gm</v>
      </c>
      <c r="D83" s="125">
        <f t="shared" si="5"/>
        <v>300</v>
      </c>
      <c r="E83" s="116">
        <f t="shared" si="9"/>
        <v>10</v>
      </c>
      <c r="F83" s="127">
        <f t="shared" si="6"/>
        <v>1</v>
      </c>
      <c r="G83" s="119">
        <f t="shared" si="7"/>
        <v>3000</v>
      </c>
      <c r="H83" s="120">
        <f t="shared" si="8"/>
        <v>3000</v>
      </c>
    </row>
    <row r="84" spans="1:8" x14ac:dyDescent="0.3">
      <c r="A84" s="128" t="s">
        <v>158</v>
      </c>
      <c r="B84" s="323" t="str">
        <f t="shared" si="5"/>
        <v>Butter - زبدة</v>
      </c>
      <c r="C84" s="124" t="str">
        <f t="shared" si="5"/>
        <v>gm</v>
      </c>
      <c r="D84" s="125">
        <f t="shared" si="5"/>
        <v>40</v>
      </c>
      <c r="E84" s="116">
        <f t="shared" si="9"/>
        <v>10</v>
      </c>
      <c r="F84" s="127">
        <f t="shared" si="6"/>
        <v>1</v>
      </c>
      <c r="G84" s="119">
        <f t="shared" si="7"/>
        <v>400</v>
      </c>
      <c r="H84" s="120">
        <f t="shared" si="8"/>
        <v>400</v>
      </c>
    </row>
    <row r="85" spans="1:8" ht="20.75" customHeight="1" x14ac:dyDescent="0.3">
      <c r="A85" s="907"/>
      <c r="B85" s="200" t="s">
        <v>285</v>
      </c>
      <c r="E85" s="485"/>
      <c r="G85" s="485"/>
      <c r="H85" s="902"/>
    </row>
    <row r="86" spans="1:8" ht="20" x14ac:dyDescent="0.4">
      <c r="A86" s="907"/>
      <c r="B86" s="199">
        <f>D53</f>
        <v>10000</v>
      </c>
      <c r="D86" s="930"/>
      <c r="E86" s="484"/>
      <c r="F86" s="934"/>
      <c r="G86" s="484"/>
      <c r="H86" s="904"/>
    </row>
    <row r="88" spans="1:8" x14ac:dyDescent="0.3">
      <c r="A88" s="937"/>
      <c r="B88" s="1382" t="str">
        <f>"  خضار المسقعة 2 / " &amp; COUNTIF($C$52:$C$53, "&gt;0")</f>
        <v xml:space="preserve">  خضار المسقعة 2 / 2</v>
      </c>
      <c r="C88" s="1383"/>
      <c r="D88" s="1383"/>
      <c r="E88" s="1383"/>
      <c r="F88" s="1383"/>
      <c r="G88" s="1383"/>
      <c r="H88" s="1383"/>
    </row>
    <row r="89" spans="1:8" x14ac:dyDescent="0.3">
      <c r="A89" s="937"/>
      <c r="B89" s="1384" t="str">
        <f>" Moussaka Vegi 2 / " &amp; COUNTIF($C$52:$C$53, "&gt;0")</f>
        <v xml:space="preserve"> Moussaka Vegi 2 / 2</v>
      </c>
      <c r="C89" s="1385"/>
      <c r="D89" s="1385"/>
      <c r="E89" s="1385"/>
      <c r="F89" s="1385"/>
      <c r="G89" s="1385"/>
      <c r="H89" s="1385"/>
    </row>
    <row r="90" spans="1:8" ht="47" customHeight="1" x14ac:dyDescent="0.25">
      <c r="A90" s="91"/>
      <c r="B90" s="243" t="s">
        <v>253</v>
      </c>
      <c r="C90" s="244" t="s">
        <v>254</v>
      </c>
      <c r="D90" s="245" t="s">
        <v>243</v>
      </c>
      <c r="E90" s="218" t="s">
        <v>246</v>
      </c>
      <c r="F90" s="218" t="s">
        <v>255</v>
      </c>
      <c r="G90" s="245" t="s">
        <v>256</v>
      </c>
      <c r="H90" s="218" t="s">
        <v>257</v>
      </c>
    </row>
    <row r="91" spans="1:8" x14ac:dyDescent="0.3">
      <c r="A91" s="128" t="s">
        <v>13</v>
      </c>
      <c r="B91" s="323" t="str">
        <f t="shared" ref="B91:D109" si="10">B6</f>
        <v>Onion - بصل</v>
      </c>
      <c r="C91" s="323" t="str">
        <f t="shared" si="10"/>
        <v>gm</v>
      </c>
      <c r="D91" s="323">
        <f t="shared" si="10"/>
        <v>75</v>
      </c>
      <c r="E91" s="197">
        <f>$C$54</f>
        <v>1.1433333333333326</v>
      </c>
      <c r="F91" s="127">
        <f>F6</f>
        <v>1</v>
      </c>
      <c r="G91" s="119">
        <f t="shared" ref="G91:G109" si="11">D91*E91</f>
        <v>85.749999999999943</v>
      </c>
      <c r="H91" s="120">
        <f t="shared" ref="H91:H109" si="12">G91*F91</f>
        <v>85.749999999999943</v>
      </c>
    </row>
    <row r="92" spans="1:8" x14ac:dyDescent="0.3">
      <c r="A92" s="128" t="s">
        <v>13</v>
      </c>
      <c r="B92" s="323" t="str">
        <f t="shared" si="10"/>
        <v>Garlic - ثوم مقشر</v>
      </c>
      <c r="C92" s="323" t="str">
        <f t="shared" si="10"/>
        <v>gm</v>
      </c>
      <c r="D92" s="323">
        <f t="shared" si="10"/>
        <v>25</v>
      </c>
      <c r="E92" s="197">
        <f t="shared" ref="E92:E109" si="13">$C$54</f>
        <v>1.1433333333333326</v>
      </c>
      <c r="F92" s="127">
        <f t="shared" ref="F92:F109" si="14">F7</f>
        <v>1</v>
      </c>
      <c r="G92" s="119">
        <f t="shared" si="11"/>
        <v>28.583333333333314</v>
      </c>
      <c r="H92" s="120">
        <f t="shared" si="12"/>
        <v>28.583333333333314</v>
      </c>
    </row>
    <row r="93" spans="1:8" x14ac:dyDescent="0.3">
      <c r="A93" s="128" t="s">
        <v>13</v>
      </c>
      <c r="B93" s="323" t="str">
        <f t="shared" si="10"/>
        <v>Tomato - طماطم</v>
      </c>
      <c r="C93" s="323" t="str">
        <f t="shared" si="10"/>
        <v>gm</v>
      </c>
      <c r="D93" s="323">
        <f t="shared" si="10"/>
        <v>125</v>
      </c>
      <c r="E93" s="197">
        <f t="shared" si="13"/>
        <v>1.1433333333333326</v>
      </c>
      <c r="F93" s="127">
        <f t="shared" si="14"/>
        <v>1</v>
      </c>
      <c r="G93" s="119">
        <f t="shared" si="11"/>
        <v>142.91666666666657</v>
      </c>
      <c r="H93" s="120">
        <f t="shared" si="12"/>
        <v>142.91666666666657</v>
      </c>
    </row>
    <row r="94" spans="1:8" x14ac:dyDescent="0.3">
      <c r="A94" s="128" t="s">
        <v>196</v>
      </c>
      <c r="B94" s="323" t="str">
        <f t="shared" si="10"/>
        <v>Tomato Paste - صلصة طماطم</v>
      </c>
      <c r="C94" s="323" t="str">
        <f t="shared" si="10"/>
        <v>gm</v>
      </c>
      <c r="D94" s="323">
        <f t="shared" si="10"/>
        <v>150</v>
      </c>
      <c r="E94" s="197">
        <f t="shared" si="13"/>
        <v>1.1433333333333326</v>
      </c>
      <c r="F94" s="127">
        <f t="shared" si="14"/>
        <v>1</v>
      </c>
      <c r="G94" s="119">
        <f t="shared" si="11"/>
        <v>171.49999999999989</v>
      </c>
      <c r="H94" s="120">
        <f t="shared" si="12"/>
        <v>171.49999999999989</v>
      </c>
    </row>
    <row r="95" spans="1:8" x14ac:dyDescent="0.3">
      <c r="A95" s="128" t="s">
        <v>97</v>
      </c>
      <c r="B95" s="323" t="str">
        <f t="shared" si="10"/>
        <v>Coriander Powder - كزبرة مطحونة</v>
      </c>
      <c r="C95" s="323" t="str">
        <f t="shared" si="10"/>
        <v>gm</v>
      </c>
      <c r="D95" s="323">
        <f t="shared" si="10"/>
        <v>3</v>
      </c>
      <c r="E95" s="197">
        <f t="shared" si="13"/>
        <v>1.1433333333333326</v>
      </c>
      <c r="F95" s="127">
        <f t="shared" si="14"/>
        <v>1</v>
      </c>
      <c r="G95" s="119">
        <f t="shared" si="11"/>
        <v>3.4299999999999979</v>
      </c>
      <c r="H95" s="120">
        <f t="shared" si="12"/>
        <v>3.4299999999999979</v>
      </c>
    </row>
    <row r="96" spans="1:8" x14ac:dyDescent="0.3">
      <c r="A96" s="128" t="s">
        <v>97</v>
      </c>
      <c r="B96" s="323" t="str">
        <f t="shared" si="10"/>
        <v>Cumin Powder - كمون مطحون</v>
      </c>
      <c r="C96" s="323" t="str">
        <f t="shared" si="10"/>
        <v>gm</v>
      </c>
      <c r="D96" s="323">
        <f t="shared" si="10"/>
        <v>6</v>
      </c>
      <c r="E96" s="197">
        <f t="shared" si="13"/>
        <v>1.1433333333333326</v>
      </c>
      <c r="F96" s="127">
        <f t="shared" si="14"/>
        <v>1</v>
      </c>
      <c r="G96" s="119">
        <f t="shared" si="11"/>
        <v>6.8599999999999959</v>
      </c>
      <c r="H96" s="120">
        <f t="shared" si="12"/>
        <v>6.8599999999999959</v>
      </c>
    </row>
    <row r="97" spans="1:8" x14ac:dyDescent="0.3">
      <c r="A97" s="128" t="s">
        <v>97</v>
      </c>
      <c r="B97" s="323" t="str">
        <f t="shared" si="10"/>
        <v>Cinnamon Powder - قرفة مطحونة</v>
      </c>
      <c r="C97" s="323" t="str">
        <f t="shared" si="10"/>
        <v>gm</v>
      </c>
      <c r="D97" s="323">
        <f t="shared" si="10"/>
        <v>2</v>
      </c>
      <c r="E97" s="197">
        <f t="shared" si="13"/>
        <v>1.1433333333333326</v>
      </c>
      <c r="F97" s="127">
        <f t="shared" si="14"/>
        <v>1</v>
      </c>
      <c r="G97" s="119">
        <f t="shared" si="11"/>
        <v>2.2866666666666653</v>
      </c>
      <c r="H97" s="120">
        <f t="shared" si="12"/>
        <v>2.2866666666666653</v>
      </c>
    </row>
    <row r="98" spans="1:8" x14ac:dyDescent="0.3">
      <c r="A98" s="128" t="s">
        <v>196</v>
      </c>
      <c r="B98" s="323" t="str">
        <f t="shared" si="10"/>
        <v>Tomato Ketchup - كاتشب طماطم</v>
      </c>
      <c r="C98" s="323" t="str">
        <f t="shared" si="10"/>
        <v>ml</v>
      </c>
      <c r="D98" s="323">
        <f t="shared" si="10"/>
        <v>65</v>
      </c>
      <c r="E98" s="197">
        <f t="shared" si="13"/>
        <v>1.1433333333333326</v>
      </c>
      <c r="F98" s="127">
        <f t="shared" si="14"/>
        <v>1</v>
      </c>
      <c r="G98" s="119">
        <f t="shared" si="11"/>
        <v>74.31666666666662</v>
      </c>
      <c r="H98" s="120">
        <f t="shared" si="12"/>
        <v>74.31666666666662</v>
      </c>
    </row>
    <row r="99" spans="1:8" x14ac:dyDescent="0.3">
      <c r="A99" s="128" t="s">
        <v>97</v>
      </c>
      <c r="B99" s="323" t="str">
        <f t="shared" si="10"/>
        <v>Black Pepper Powder - فلفل أسود مطحون</v>
      </c>
      <c r="C99" s="323" t="str">
        <f t="shared" si="10"/>
        <v>gm</v>
      </c>
      <c r="D99" s="323">
        <f t="shared" si="10"/>
        <v>1</v>
      </c>
      <c r="E99" s="197">
        <f t="shared" si="13"/>
        <v>1.1433333333333326</v>
      </c>
      <c r="F99" s="127">
        <f t="shared" si="14"/>
        <v>1</v>
      </c>
      <c r="G99" s="119">
        <f t="shared" si="11"/>
        <v>1.1433333333333326</v>
      </c>
      <c r="H99" s="120">
        <f t="shared" si="12"/>
        <v>1.1433333333333326</v>
      </c>
    </row>
    <row r="100" spans="1:8" x14ac:dyDescent="0.3">
      <c r="A100" s="128" t="s">
        <v>97</v>
      </c>
      <c r="B100" s="323" t="str">
        <f t="shared" si="10"/>
        <v>Maggi Cubes - مكعبات ماجي</v>
      </c>
      <c r="C100" s="323" t="str">
        <f t="shared" si="10"/>
        <v>gm</v>
      </c>
      <c r="D100" s="323">
        <f t="shared" si="10"/>
        <v>5</v>
      </c>
      <c r="E100" s="197">
        <f t="shared" si="13"/>
        <v>1.1433333333333326</v>
      </c>
      <c r="F100" s="127">
        <f t="shared" si="14"/>
        <v>1</v>
      </c>
      <c r="G100" s="119">
        <f t="shared" si="11"/>
        <v>5.7166666666666632</v>
      </c>
      <c r="H100" s="120">
        <f t="shared" si="12"/>
        <v>5.7166666666666632</v>
      </c>
    </row>
    <row r="101" spans="1:8" x14ac:dyDescent="0.3">
      <c r="A101" s="128" t="s">
        <v>196</v>
      </c>
      <c r="B101" s="323" t="str">
        <f t="shared" si="10"/>
        <v>Sriracha Sauce - صوص سريراتشا</v>
      </c>
      <c r="C101" s="323" t="str">
        <f t="shared" si="10"/>
        <v>ml</v>
      </c>
      <c r="D101" s="323">
        <f t="shared" si="10"/>
        <v>20</v>
      </c>
      <c r="E101" s="197">
        <f t="shared" si="13"/>
        <v>1.1433333333333326</v>
      </c>
      <c r="F101" s="127">
        <f t="shared" si="14"/>
        <v>1</v>
      </c>
      <c r="G101" s="119">
        <f t="shared" si="11"/>
        <v>22.866666666666653</v>
      </c>
      <c r="H101" s="120">
        <f t="shared" si="12"/>
        <v>22.866666666666653</v>
      </c>
    </row>
    <row r="102" spans="1:8" x14ac:dyDescent="0.3">
      <c r="A102" s="128" t="s">
        <v>192</v>
      </c>
      <c r="B102" s="323" t="str">
        <f t="shared" si="10"/>
        <v>Corn Starch - نشا ذرة</v>
      </c>
      <c r="C102" s="323" t="str">
        <f t="shared" si="10"/>
        <v>gm</v>
      </c>
      <c r="D102" s="323">
        <f t="shared" si="10"/>
        <v>12</v>
      </c>
      <c r="E102" s="197">
        <f t="shared" si="13"/>
        <v>1.1433333333333326</v>
      </c>
      <c r="F102" s="127">
        <f t="shared" si="14"/>
        <v>1</v>
      </c>
      <c r="G102" s="119">
        <f t="shared" si="11"/>
        <v>13.719999999999992</v>
      </c>
      <c r="H102" s="120">
        <f t="shared" si="12"/>
        <v>13.719999999999992</v>
      </c>
    </row>
    <row r="103" spans="1:8" x14ac:dyDescent="0.3">
      <c r="A103" s="128" t="s">
        <v>13</v>
      </c>
      <c r="B103" s="323" t="str">
        <f t="shared" si="10"/>
        <v>Tomato - طماطم</v>
      </c>
      <c r="C103" s="323" t="str">
        <f t="shared" si="10"/>
        <v>gm</v>
      </c>
      <c r="D103" s="323">
        <f t="shared" si="10"/>
        <v>125</v>
      </c>
      <c r="E103" s="197">
        <f t="shared" si="13"/>
        <v>1.1433333333333326</v>
      </c>
      <c r="F103" s="127">
        <f t="shared" si="14"/>
        <v>1</v>
      </c>
      <c r="G103" s="119">
        <f t="shared" si="11"/>
        <v>142.91666666666657</v>
      </c>
      <c r="H103" s="120">
        <f t="shared" si="12"/>
        <v>142.91666666666657</v>
      </c>
    </row>
    <row r="104" spans="1:8" x14ac:dyDescent="0.3">
      <c r="A104" s="128" t="s">
        <v>13</v>
      </c>
      <c r="B104" s="323" t="str">
        <f t="shared" si="10"/>
        <v>Eggplant - باذنجان</v>
      </c>
      <c r="C104" s="323" t="str">
        <f t="shared" si="10"/>
        <v>gm</v>
      </c>
      <c r="D104" s="323">
        <f t="shared" si="10"/>
        <v>1500</v>
      </c>
      <c r="E104" s="197">
        <f t="shared" si="13"/>
        <v>1.1433333333333326</v>
      </c>
      <c r="F104" s="127">
        <f t="shared" si="14"/>
        <v>1</v>
      </c>
      <c r="G104" s="119">
        <f t="shared" si="11"/>
        <v>1714.9999999999989</v>
      </c>
      <c r="H104" s="120">
        <f t="shared" si="12"/>
        <v>1714.9999999999989</v>
      </c>
    </row>
    <row r="105" spans="1:8" x14ac:dyDescent="0.3">
      <c r="A105" s="128" t="s">
        <v>13</v>
      </c>
      <c r="B105" s="323" t="str">
        <f t="shared" si="10"/>
        <v xml:space="preserve">Red Bell Pepper - فلفل أحمر </v>
      </c>
      <c r="C105" s="323" t="str">
        <f t="shared" si="10"/>
        <v>gm</v>
      </c>
      <c r="D105" s="323">
        <f t="shared" si="10"/>
        <v>50</v>
      </c>
      <c r="E105" s="197">
        <f t="shared" si="13"/>
        <v>1.1433333333333326</v>
      </c>
      <c r="F105" s="127">
        <f t="shared" si="14"/>
        <v>1</v>
      </c>
      <c r="G105" s="119">
        <f t="shared" si="11"/>
        <v>57.166666666666629</v>
      </c>
      <c r="H105" s="120">
        <f t="shared" si="12"/>
        <v>57.166666666666629</v>
      </c>
    </row>
    <row r="106" spans="1:8" x14ac:dyDescent="0.3">
      <c r="A106" s="128" t="s">
        <v>13</v>
      </c>
      <c r="B106" s="323" t="str">
        <f t="shared" si="10"/>
        <v xml:space="preserve">Yellow Bell Pepper - فلفل أصفر </v>
      </c>
      <c r="C106" s="323" t="str">
        <f t="shared" si="10"/>
        <v>gm</v>
      </c>
      <c r="D106" s="323">
        <f t="shared" si="10"/>
        <v>50</v>
      </c>
      <c r="E106" s="197">
        <f t="shared" si="13"/>
        <v>1.1433333333333326</v>
      </c>
      <c r="F106" s="127">
        <f t="shared" si="14"/>
        <v>1</v>
      </c>
      <c r="G106" s="119">
        <f t="shared" si="11"/>
        <v>57.166666666666629</v>
      </c>
      <c r="H106" s="120">
        <f t="shared" si="12"/>
        <v>57.166666666666629</v>
      </c>
    </row>
    <row r="107" spans="1:8" x14ac:dyDescent="0.3">
      <c r="A107" s="128" t="s">
        <v>13</v>
      </c>
      <c r="B107" s="323" t="str">
        <f t="shared" si="10"/>
        <v>Green Bell Pepper - فلفل أخضر رومى</v>
      </c>
      <c r="C107" s="323" t="str">
        <f t="shared" si="10"/>
        <v>gm</v>
      </c>
      <c r="D107" s="323">
        <f t="shared" si="10"/>
        <v>50</v>
      </c>
      <c r="E107" s="197">
        <f t="shared" si="13"/>
        <v>1.1433333333333326</v>
      </c>
      <c r="F107" s="127">
        <f t="shared" si="14"/>
        <v>1</v>
      </c>
      <c r="G107" s="119">
        <f t="shared" si="11"/>
        <v>57.166666666666629</v>
      </c>
      <c r="H107" s="120">
        <f t="shared" si="12"/>
        <v>57.166666666666629</v>
      </c>
    </row>
    <row r="108" spans="1:8" x14ac:dyDescent="0.3">
      <c r="A108" s="128" t="s">
        <v>13</v>
      </c>
      <c r="B108" s="323" t="str">
        <f t="shared" si="10"/>
        <v>Potato - بطاطس</v>
      </c>
      <c r="C108" s="323" t="str">
        <f t="shared" si="10"/>
        <v>gm</v>
      </c>
      <c r="D108" s="323">
        <f t="shared" si="10"/>
        <v>300</v>
      </c>
      <c r="E108" s="197">
        <f t="shared" si="13"/>
        <v>1.1433333333333326</v>
      </c>
      <c r="F108" s="127">
        <f t="shared" si="14"/>
        <v>1</v>
      </c>
      <c r="G108" s="119">
        <f t="shared" si="11"/>
        <v>342.99999999999977</v>
      </c>
      <c r="H108" s="120">
        <f t="shared" si="12"/>
        <v>342.99999999999977</v>
      </c>
    </row>
    <row r="109" spans="1:8" x14ac:dyDescent="0.3">
      <c r="A109" s="128" t="s">
        <v>158</v>
      </c>
      <c r="B109" s="323" t="str">
        <f t="shared" si="10"/>
        <v>Butter - زبدة</v>
      </c>
      <c r="C109" s="323" t="str">
        <f t="shared" si="10"/>
        <v>gm</v>
      </c>
      <c r="D109" s="323">
        <f t="shared" si="10"/>
        <v>40</v>
      </c>
      <c r="E109" s="197">
        <f t="shared" si="13"/>
        <v>1.1433333333333326</v>
      </c>
      <c r="F109" s="127">
        <f t="shared" si="14"/>
        <v>1</v>
      </c>
      <c r="G109" s="119">
        <f t="shared" si="11"/>
        <v>45.733333333333306</v>
      </c>
      <c r="H109" s="120">
        <f t="shared" si="12"/>
        <v>45.733333333333306</v>
      </c>
    </row>
    <row r="110" spans="1:8" ht="18" x14ac:dyDescent="0.3">
      <c r="A110" s="907"/>
      <c r="B110" s="200" t="s">
        <v>285</v>
      </c>
      <c r="D110" s="881"/>
      <c r="E110" s="902"/>
      <c r="F110" s="881"/>
      <c r="G110" s="902"/>
      <c r="H110" s="902"/>
    </row>
    <row r="111" spans="1:8" ht="20" x14ac:dyDescent="0.4">
      <c r="A111" s="907"/>
      <c r="B111" s="199">
        <f>D54</f>
        <v>1143.3333333333326</v>
      </c>
      <c r="D111" s="906"/>
      <c r="E111" s="903"/>
      <c r="F111" s="875"/>
      <c r="G111" s="904"/>
      <c r="H111" s="904"/>
    </row>
  </sheetData>
  <mergeCells count="8">
    <mergeCell ref="B88:H88"/>
    <mergeCell ref="B89:H89"/>
    <mergeCell ref="B64:H64"/>
    <mergeCell ref="AE2:AG3"/>
    <mergeCell ref="B63:H63"/>
    <mergeCell ref="R26:U26"/>
    <mergeCell ref="R25:U25"/>
    <mergeCell ref="B2:K3"/>
  </mergeCells>
  <printOptions horizontalCentered="1"/>
  <pageMargins left="0.5" right="0.5" top="1" bottom="0.5" header="0.3" footer="0.511811023622047"/>
  <pageSetup paperSize="9" scale="29" orientation="portrait"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7" tint="-0.249977111117893"/>
    <pageSetUpPr fitToPage="1"/>
  </sheetPr>
  <dimension ref="A1:AG103"/>
  <sheetViews>
    <sheetView topLeftCell="R1" zoomScale="85" zoomScaleNormal="85" workbookViewId="0">
      <selection activeCell="T28" sqref="S28:T30"/>
    </sheetView>
  </sheetViews>
  <sheetFormatPr defaultColWidth="12.5" defaultRowHeight="14" x14ac:dyDescent="0.3"/>
  <cols>
    <col min="1" max="1" width="12.5" style="79" customWidth="1"/>
    <col min="2" max="2" width="39.832031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3" width="15.4140625" style="14" customWidth="1"/>
    <col min="14" max="17" width="12.5" style="14" customWidth="1"/>
    <col min="18" max="18" width="30.5" style="14" customWidth="1"/>
    <col min="19" max="19" width="12.5" style="14" customWidth="1"/>
    <col min="20" max="27" width="12.5" style="14"/>
    <col min="28" max="28" width="11.75" style="14" bestFit="1" customWidth="1"/>
    <col min="29" max="29" width="13.25" style="14" bestFit="1" customWidth="1"/>
    <col min="30" max="16384" width="12.5" style="14"/>
  </cols>
  <sheetData>
    <row r="1" spans="1:33" ht="35.25" customHeight="1" x14ac:dyDescent="0.3">
      <c r="B1" s="80" t="s">
        <v>243</v>
      </c>
      <c r="C1" s="81">
        <v>1000</v>
      </c>
      <c r="D1" s="82" t="s">
        <v>244</v>
      </c>
      <c r="E1" s="117">
        <f>T32</f>
        <v>11871.327299999999</v>
      </c>
      <c r="F1" s="80" t="s">
        <v>245</v>
      </c>
      <c r="G1" s="213">
        <f>E1/C1</f>
        <v>11.871327299999999</v>
      </c>
      <c r="H1" s="80" t="s">
        <v>246</v>
      </c>
      <c r="I1" s="450">
        <f>G1/K1</f>
        <v>11.871327299999999</v>
      </c>
      <c r="J1" s="86" t="s">
        <v>247</v>
      </c>
      <c r="K1" s="140">
        <v>1</v>
      </c>
      <c r="L1" s="100"/>
      <c r="M1" s="89"/>
      <c r="N1" s="90"/>
      <c r="O1" s="91" t="s">
        <v>248</v>
      </c>
      <c r="P1" s="92" t="s">
        <v>301</v>
      </c>
      <c r="Q1" s="93" t="s">
        <v>250</v>
      </c>
      <c r="R1" s="92">
        <v>0.66</v>
      </c>
      <c r="Y1" s="91" t="s">
        <v>479</v>
      </c>
      <c r="Z1" s="847">
        <v>33430</v>
      </c>
      <c r="AA1" s="91" t="s">
        <v>600</v>
      </c>
      <c r="AB1" s="847">
        <v>0</v>
      </c>
      <c r="AC1" s="91" t="s">
        <v>587</v>
      </c>
      <c r="AD1" s="847">
        <v>219</v>
      </c>
    </row>
    <row r="2" spans="1:33" ht="12.75" customHeight="1" x14ac:dyDescent="0.3">
      <c r="A2" s="97"/>
      <c r="B2" s="1387"/>
      <c r="C2" s="1389"/>
      <c r="D2" s="1389"/>
      <c r="E2" s="1389"/>
      <c r="F2" s="1389"/>
      <c r="G2" s="1389"/>
      <c r="H2" s="1389"/>
      <c r="I2" s="1389"/>
      <c r="J2" s="1389"/>
      <c r="K2" s="1389"/>
      <c r="L2" s="293"/>
      <c r="M2" s="100"/>
      <c r="N2" s="100"/>
      <c r="O2" s="100"/>
      <c r="P2" s="100"/>
      <c r="Q2" s="100"/>
      <c r="R2" s="100"/>
      <c r="AE2" s="1417"/>
      <c r="AF2" s="1389"/>
      <c r="AG2" s="1389"/>
    </row>
    <row r="3" spans="1:33" ht="12.75" customHeight="1" x14ac:dyDescent="0.3">
      <c r="A3" s="97"/>
      <c r="B3" s="1388"/>
      <c r="C3" s="1388"/>
      <c r="D3" s="1388"/>
      <c r="E3" s="1388"/>
      <c r="F3" s="1388"/>
      <c r="G3" s="1388"/>
      <c r="H3" s="1388"/>
      <c r="I3" s="1388"/>
      <c r="J3" s="1388"/>
      <c r="K3" s="1388"/>
      <c r="L3" s="293"/>
      <c r="M3" s="100"/>
      <c r="N3" s="100"/>
      <c r="O3" s="100"/>
      <c r="P3" s="100"/>
      <c r="Q3" s="100"/>
      <c r="R3" s="100"/>
      <c r="AE3" s="1389"/>
      <c r="AF3" s="1389"/>
      <c r="AG3" s="1389"/>
    </row>
    <row r="4" spans="1:33" ht="48.5" customHeight="1" x14ac:dyDescent="0.25">
      <c r="A4" s="243" t="s">
        <v>1</v>
      </c>
      <c r="B4" s="243" t="s">
        <v>253</v>
      </c>
      <c r="C4" s="244" t="s">
        <v>254</v>
      </c>
      <c r="D4" s="245" t="s">
        <v>243</v>
      </c>
      <c r="E4" s="218" t="s">
        <v>246</v>
      </c>
      <c r="F4" s="218" t="s">
        <v>255</v>
      </c>
      <c r="G4" s="245" t="s">
        <v>256</v>
      </c>
      <c r="H4" s="218" t="s">
        <v>257</v>
      </c>
      <c r="I4" s="91" t="s">
        <v>258</v>
      </c>
      <c r="J4" s="91" t="s">
        <v>259</v>
      </c>
      <c r="K4" s="91" t="s">
        <v>260</v>
      </c>
      <c r="L4" s="91" t="s">
        <v>261</v>
      </c>
      <c r="M4" s="100"/>
      <c r="N4" s="100"/>
      <c r="O4" s="100"/>
      <c r="P4" s="100"/>
    </row>
    <row r="5" spans="1:33" ht="14.25" customHeight="1" x14ac:dyDescent="0.3">
      <c r="A5" s="451" t="s">
        <v>230</v>
      </c>
      <c r="B5" s="222" t="s">
        <v>237</v>
      </c>
      <c r="C5" s="115" t="s">
        <v>14</v>
      </c>
      <c r="D5" s="121">
        <f>I51/10</f>
        <v>2751.8181818181815</v>
      </c>
      <c r="E5" s="85">
        <f>H52</f>
        <v>11.870208512278383</v>
      </c>
      <c r="F5" s="127">
        <v>1</v>
      </c>
      <c r="G5" s="121">
        <f t="shared" ref="G5:G19" si="0">D5*E5</f>
        <v>32664.655606060602</v>
      </c>
      <c r="H5" s="120">
        <f t="shared" ref="H5:H19" si="1">G5*F5</f>
        <v>32664.655606060602</v>
      </c>
      <c r="I5" s="81">
        <f>VLOOKUP(B5,All_Ingredients!$A$1:$F$151,6,FALSE())</f>
        <v>0.99</v>
      </c>
      <c r="J5" s="119">
        <f>VLOOKUP(B5,All_Ingredients!$A$1:$J$151,10,FALSE())</f>
        <v>0</v>
      </c>
      <c r="K5" s="122">
        <f t="shared" ref="K5" si="2">(H5/I5)/1000</f>
        <v>32.99460162228344</v>
      </c>
      <c r="L5" s="122">
        <f t="shared" ref="L5" si="3">K5*J5</f>
        <v>0</v>
      </c>
      <c r="M5" s="100"/>
      <c r="N5" s="100"/>
      <c r="O5" s="100"/>
      <c r="P5" s="100"/>
    </row>
    <row r="6" spans="1:33" ht="14.25" customHeight="1" x14ac:dyDescent="0.3">
      <c r="A6" s="128" t="s">
        <v>13</v>
      </c>
      <c r="B6" s="222" t="s">
        <v>12</v>
      </c>
      <c r="C6" s="124" t="s">
        <v>14</v>
      </c>
      <c r="D6" s="125">
        <v>416</v>
      </c>
      <c r="E6" s="116">
        <f>$G$1</f>
        <v>11.871327299999999</v>
      </c>
      <c r="F6" s="127">
        <v>1</v>
      </c>
      <c r="G6" s="121">
        <f t="shared" si="0"/>
        <v>4938.4721567999995</v>
      </c>
      <c r="H6" s="120">
        <f t="shared" si="1"/>
        <v>4938.4721567999995</v>
      </c>
      <c r="I6" s="81">
        <f>VLOOKUP(B6,All_Ingredients!$A$1:$F$151,6,FALSE())</f>
        <v>0.9</v>
      </c>
      <c r="J6" s="119">
        <f>VLOOKUP(B6,All_Ingredients!$A$1:$J$151,10,FALSE())</f>
        <v>3</v>
      </c>
      <c r="K6" s="122">
        <f t="shared" ref="K6:K19" si="4">(H6/I6)/1000</f>
        <v>5.4871912853333322</v>
      </c>
      <c r="L6" s="122">
        <f t="shared" ref="L6:L19" si="5">K6*J6</f>
        <v>16.461573855999998</v>
      </c>
    </row>
    <row r="7" spans="1:33" ht="14.25" customHeight="1" x14ac:dyDescent="0.3">
      <c r="A7" s="128" t="s">
        <v>158</v>
      </c>
      <c r="B7" s="222" t="s">
        <v>157</v>
      </c>
      <c r="C7" s="124" t="s">
        <v>14</v>
      </c>
      <c r="D7" s="125">
        <v>25</v>
      </c>
      <c r="E7" s="116">
        <f t="shared" ref="E7:E19" si="6">$G$1</f>
        <v>11.871327299999999</v>
      </c>
      <c r="F7" s="127">
        <v>1</v>
      </c>
      <c r="G7" s="121">
        <f t="shared" si="0"/>
        <v>296.78318249999995</v>
      </c>
      <c r="H7" s="120">
        <f t="shared" si="1"/>
        <v>296.78318249999995</v>
      </c>
      <c r="I7" s="81">
        <f>VLOOKUP(B7,All_Ingredients!$A$1:$F$151,6,FALSE())</f>
        <v>1</v>
      </c>
      <c r="J7" s="119">
        <f>VLOOKUP(B7,All_Ingredients!$A$1:$J$151,10,FALSE())</f>
        <v>30</v>
      </c>
      <c r="K7" s="122">
        <f t="shared" si="4"/>
        <v>0.29678318249999996</v>
      </c>
      <c r="L7" s="122">
        <f t="shared" si="5"/>
        <v>8.9034954749999997</v>
      </c>
    </row>
    <row r="8" spans="1:33" ht="14.25" customHeight="1" x14ac:dyDescent="0.3">
      <c r="A8" s="128" t="s">
        <v>13</v>
      </c>
      <c r="B8" s="222" t="s">
        <v>17</v>
      </c>
      <c r="C8" s="124" t="s">
        <v>14</v>
      </c>
      <c r="D8" s="125">
        <v>416</v>
      </c>
      <c r="E8" s="116">
        <f t="shared" si="6"/>
        <v>11.871327299999999</v>
      </c>
      <c r="F8" s="127">
        <v>1</v>
      </c>
      <c r="G8" s="121">
        <f t="shared" si="0"/>
        <v>4938.4721567999995</v>
      </c>
      <c r="H8" s="120">
        <f t="shared" si="1"/>
        <v>4938.4721567999995</v>
      </c>
      <c r="I8" s="81">
        <f>VLOOKUP(B8,All_Ingredients!$A$1:$F$151,6,FALSE())</f>
        <v>0.98</v>
      </c>
      <c r="J8" s="119">
        <f>VLOOKUP(B8,All_Ingredients!$A$1:$J$151,10,FALSE())</f>
        <v>3.5</v>
      </c>
      <c r="K8" s="122">
        <f t="shared" si="4"/>
        <v>5.0392573028571421</v>
      </c>
      <c r="L8" s="122">
        <f t="shared" si="5"/>
        <v>17.637400559999996</v>
      </c>
    </row>
    <row r="9" spans="1:33" ht="14.25" customHeight="1" x14ac:dyDescent="0.3">
      <c r="A9" s="128" t="s">
        <v>97</v>
      </c>
      <c r="B9" s="222" t="s">
        <v>108</v>
      </c>
      <c r="C9" s="124" t="s">
        <v>14</v>
      </c>
      <c r="D9" s="125">
        <v>8</v>
      </c>
      <c r="E9" s="116">
        <f t="shared" si="6"/>
        <v>11.871327299999999</v>
      </c>
      <c r="F9" s="127">
        <v>1</v>
      </c>
      <c r="G9" s="121">
        <f t="shared" si="0"/>
        <v>94.970618399999992</v>
      </c>
      <c r="H9" s="120">
        <f t="shared" si="1"/>
        <v>94.970618399999992</v>
      </c>
      <c r="I9" s="81">
        <f>VLOOKUP(B9,All_Ingredients!$A$1:$F$151,6,FALSE())</f>
        <v>1</v>
      </c>
      <c r="J9" s="119">
        <f>VLOOKUP(B9,All_Ingredients!$A$1:$J$151,10,FALSE())</f>
        <v>15</v>
      </c>
      <c r="K9" s="122">
        <f t="shared" si="4"/>
        <v>9.4970618399999998E-2</v>
      </c>
      <c r="L9" s="122">
        <f t="shared" si="5"/>
        <v>1.4245592759999999</v>
      </c>
    </row>
    <row r="10" spans="1:33" ht="14.25" customHeight="1" x14ac:dyDescent="0.3">
      <c r="A10" s="128" t="s">
        <v>97</v>
      </c>
      <c r="B10" s="222" t="s">
        <v>110</v>
      </c>
      <c r="C10" s="124" t="s">
        <v>14</v>
      </c>
      <c r="D10" s="125">
        <v>16</v>
      </c>
      <c r="E10" s="116">
        <f t="shared" si="6"/>
        <v>11.871327299999999</v>
      </c>
      <c r="F10" s="127">
        <v>1</v>
      </c>
      <c r="G10" s="121">
        <f t="shared" si="0"/>
        <v>189.94123679999998</v>
      </c>
      <c r="H10" s="120">
        <f t="shared" si="1"/>
        <v>189.94123679999998</v>
      </c>
      <c r="I10" s="81">
        <f>VLOOKUP(B10,All_Ingredients!$A$1:$F$151,6,FALSE())</f>
        <v>1</v>
      </c>
      <c r="J10" s="119">
        <f>VLOOKUP(B10,All_Ingredients!$A$1:$J$151,10,FALSE())</f>
        <v>8</v>
      </c>
      <c r="K10" s="122">
        <f t="shared" si="4"/>
        <v>0.1899412368</v>
      </c>
      <c r="L10" s="122">
        <f t="shared" si="5"/>
        <v>1.5195298944</v>
      </c>
      <c r="Q10" s="452" t="s">
        <v>402</v>
      </c>
      <c r="R10" s="338" t="s">
        <v>403</v>
      </c>
      <c r="S10" s="338" t="s">
        <v>404</v>
      </c>
    </row>
    <row r="11" spans="1:33" ht="14.25" customHeight="1" x14ac:dyDescent="0.3">
      <c r="A11" s="128" t="s">
        <v>97</v>
      </c>
      <c r="B11" s="222" t="s">
        <v>126</v>
      </c>
      <c r="C11" s="124" t="s">
        <v>14</v>
      </c>
      <c r="D11" s="125">
        <v>8</v>
      </c>
      <c r="E11" s="116">
        <f t="shared" si="6"/>
        <v>11.871327299999999</v>
      </c>
      <c r="F11" s="127">
        <v>1</v>
      </c>
      <c r="G11" s="121">
        <f t="shared" si="0"/>
        <v>94.970618399999992</v>
      </c>
      <c r="H11" s="120">
        <f t="shared" si="1"/>
        <v>94.970618399999992</v>
      </c>
      <c r="I11" s="81">
        <f>VLOOKUP(B11,All_Ingredients!$A$1:$F$151,6,FALSE())</f>
        <v>1</v>
      </c>
      <c r="J11" s="119">
        <f>VLOOKUP(B11,All_Ingredients!$A$1:$J$151,10,FALSE())</f>
        <v>14</v>
      </c>
      <c r="K11" s="122">
        <f t="shared" si="4"/>
        <v>9.4970618399999998E-2</v>
      </c>
      <c r="L11" s="122">
        <f t="shared" si="5"/>
        <v>1.3295886576</v>
      </c>
      <c r="Q11" s="14">
        <v>17500</v>
      </c>
      <c r="R11" s="14">
        <v>11750</v>
      </c>
      <c r="S11" s="14">
        <v>18220</v>
      </c>
    </row>
    <row r="12" spans="1:33" ht="14.25" customHeight="1" x14ac:dyDescent="0.3">
      <c r="A12" s="128" t="s">
        <v>97</v>
      </c>
      <c r="B12" s="222" t="s">
        <v>102</v>
      </c>
      <c r="C12" s="124" t="s">
        <v>14</v>
      </c>
      <c r="D12" s="125">
        <v>10</v>
      </c>
      <c r="E12" s="116">
        <f t="shared" si="6"/>
        <v>11.871327299999999</v>
      </c>
      <c r="F12" s="127">
        <v>1</v>
      </c>
      <c r="G12" s="121">
        <f t="shared" si="0"/>
        <v>118.71327299999999</v>
      </c>
      <c r="H12" s="120">
        <f t="shared" si="1"/>
        <v>118.71327299999999</v>
      </c>
      <c r="I12" s="81">
        <f>VLOOKUP(B12,All_Ingredients!$A$1:$F$151,6,FALSE())</f>
        <v>1</v>
      </c>
      <c r="J12" s="119">
        <f>VLOOKUP(B12,All_Ingredients!$A$1:$J$151,10,FALSE())</f>
        <v>31</v>
      </c>
      <c r="K12" s="122">
        <f t="shared" si="4"/>
        <v>0.11871327299999998</v>
      </c>
      <c r="L12" s="122">
        <f t="shared" si="5"/>
        <v>3.6801114629999994</v>
      </c>
      <c r="R12" s="14">
        <f>S11-R11</f>
        <v>6470</v>
      </c>
    </row>
    <row r="13" spans="1:33" ht="14.25" customHeight="1" x14ac:dyDescent="0.3">
      <c r="A13" s="128" t="s">
        <v>196</v>
      </c>
      <c r="B13" s="222" t="s">
        <v>761</v>
      </c>
      <c r="C13" s="124" t="s">
        <v>14</v>
      </c>
      <c r="D13" s="125">
        <v>900</v>
      </c>
      <c r="E13" s="116">
        <f t="shared" si="6"/>
        <v>11.871327299999999</v>
      </c>
      <c r="F13" s="127">
        <v>1</v>
      </c>
      <c r="G13" s="121">
        <f t="shared" si="0"/>
        <v>10684.19457</v>
      </c>
      <c r="H13" s="120">
        <f t="shared" si="1"/>
        <v>10684.19457</v>
      </c>
      <c r="I13" s="81">
        <f>VLOOKUP(B13,All_Ingredients!$A$1:$F$151,6,FALSE())</f>
        <v>1</v>
      </c>
      <c r="J13" s="119">
        <f>VLOOKUP(B13,All_Ingredients!$A$1:$J$151,10,FALSE())</f>
        <v>8.1520833333333336</v>
      </c>
      <c r="K13" s="122">
        <f t="shared" si="4"/>
        <v>10.684194569999999</v>
      </c>
      <c r="L13" s="122">
        <f t="shared" si="5"/>
        <v>87.098444484187496</v>
      </c>
      <c r="R13" s="391">
        <f>R12/S11</f>
        <v>0.35510428100987923</v>
      </c>
    </row>
    <row r="14" spans="1:33" ht="14.25" customHeight="1" x14ac:dyDescent="0.3">
      <c r="A14" s="128" t="s">
        <v>97</v>
      </c>
      <c r="B14" s="222" t="s">
        <v>96</v>
      </c>
      <c r="C14" s="124" t="s">
        <v>14</v>
      </c>
      <c r="D14" s="125">
        <v>11</v>
      </c>
      <c r="E14" s="116">
        <f t="shared" si="6"/>
        <v>11.871327299999999</v>
      </c>
      <c r="F14" s="127">
        <v>0.75</v>
      </c>
      <c r="G14" s="121">
        <f t="shared" si="0"/>
        <v>130.58460029999998</v>
      </c>
      <c r="H14" s="120">
        <f t="shared" si="1"/>
        <v>97.938450224999983</v>
      </c>
      <c r="I14" s="81">
        <f>VLOOKUP(B14,All_Ingredients!$A$1:$F$151,6,FALSE())</f>
        <v>1</v>
      </c>
      <c r="J14" s="119">
        <f>VLOOKUP(B14,All_Ingredients!$A$1:$J$151,10,FALSE())</f>
        <v>0.74</v>
      </c>
      <c r="K14" s="122">
        <f t="shared" si="4"/>
        <v>9.7938450224999987E-2</v>
      </c>
      <c r="L14" s="122">
        <f t="shared" si="5"/>
        <v>7.2474453166499989E-2</v>
      </c>
      <c r="R14" s="414">
        <f>R11/S11</f>
        <v>0.64489571899012077</v>
      </c>
    </row>
    <row r="15" spans="1:33" ht="14.25" customHeight="1" x14ac:dyDescent="0.3">
      <c r="A15" s="128" t="s">
        <v>97</v>
      </c>
      <c r="B15" s="222" t="s">
        <v>144</v>
      </c>
      <c r="C15" s="124" t="s">
        <v>14</v>
      </c>
      <c r="D15" s="125">
        <v>20</v>
      </c>
      <c r="E15" s="116">
        <f t="shared" si="6"/>
        <v>11.871327299999999</v>
      </c>
      <c r="F15" s="127">
        <v>1</v>
      </c>
      <c r="G15" s="121">
        <f t="shared" si="0"/>
        <v>237.42654599999997</v>
      </c>
      <c r="H15" s="120">
        <f t="shared" si="1"/>
        <v>237.42654599999997</v>
      </c>
      <c r="I15" s="81">
        <f>VLOOKUP(B15,All_Ingredients!$A$1:$F$151,6,FALSE())</f>
        <v>1</v>
      </c>
      <c r="J15" s="119">
        <f>VLOOKUP(B15,All_Ingredients!$A$1:$J$151,10,FALSE())</f>
        <v>15.277777777777779</v>
      </c>
      <c r="K15" s="122">
        <f t="shared" si="4"/>
        <v>0.23742654599999996</v>
      </c>
      <c r="L15" s="122">
        <f t="shared" si="5"/>
        <v>3.627350008333333</v>
      </c>
    </row>
    <row r="16" spans="1:33" ht="14.25" customHeight="1" x14ac:dyDescent="0.3">
      <c r="A16" s="128" t="s">
        <v>210</v>
      </c>
      <c r="B16" s="222" t="s">
        <v>215</v>
      </c>
      <c r="C16" s="124" t="s">
        <v>165</v>
      </c>
      <c r="D16" s="125">
        <v>33</v>
      </c>
      <c r="E16" s="116">
        <f t="shared" si="6"/>
        <v>11.871327299999999</v>
      </c>
      <c r="F16" s="127">
        <v>1</v>
      </c>
      <c r="G16" s="121">
        <f t="shared" si="0"/>
        <v>391.75380089999999</v>
      </c>
      <c r="H16" s="120">
        <f t="shared" si="1"/>
        <v>391.75380089999999</v>
      </c>
      <c r="I16" s="81">
        <f>VLOOKUP(B16,All_Ingredients!$A$1:$F$151,6,FALSE())</f>
        <v>1</v>
      </c>
      <c r="J16" s="119">
        <f>VLOOKUP(B16,All_Ingredients!$A$1:$J$151,10,FALSE())</f>
        <v>2.1621621621621623</v>
      </c>
      <c r="K16" s="122">
        <f t="shared" si="4"/>
        <v>0.3917538009</v>
      </c>
      <c r="L16" s="122">
        <f t="shared" si="5"/>
        <v>0.84703524518918927</v>
      </c>
    </row>
    <row r="17" spans="1:30" ht="14.25" customHeight="1" x14ac:dyDescent="0.3">
      <c r="A17" s="128" t="s">
        <v>13</v>
      </c>
      <c r="B17" s="222" t="s">
        <v>792</v>
      </c>
      <c r="C17" s="124" t="s">
        <v>14</v>
      </c>
      <c r="D17" s="125">
        <v>25</v>
      </c>
      <c r="E17" s="116">
        <f t="shared" si="6"/>
        <v>11.871327299999999</v>
      </c>
      <c r="F17" s="127">
        <v>1</v>
      </c>
      <c r="G17" s="121">
        <f t="shared" si="0"/>
        <v>296.78318249999995</v>
      </c>
      <c r="H17" s="120">
        <f t="shared" si="1"/>
        <v>296.78318249999995</v>
      </c>
      <c r="I17" s="81">
        <f>VLOOKUP(B17,All_Ingredients!$A$1:$F$151,6,FALSE())</f>
        <v>1</v>
      </c>
      <c r="J17" s="119">
        <f>VLOOKUP(B17,All_Ingredients!$A$1:$J$151,10,FALSE())</f>
        <v>10.5</v>
      </c>
      <c r="K17" s="122">
        <f t="shared" si="4"/>
        <v>0.29678318249999996</v>
      </c>
      <c r="L17" s="122">
        <f t="shared" si="5"/>
        <v>3.1162234162499995</v>
      </c>
    </row>
    <row r="18" spans="1:30" ht="14.25" customHeight="1" x14ac:dyDescent="0.3">
      <c r="A18" s="128" t="s">
        <v>196</v>
      </c>
      <c r="B18" s="222" t="s">
        <v>198</v>
      </c>
      <c r="C18" s="124" t="s">
        <v>165</v>
      </c>
      <c r="D18" s="125">
        <v>20</v>
      </c>
      <c r="E18" s="116">
        <f t="shared" si="6"/>
        <v>11.871327299999999</v>
      </c>
      <c r="F18" s="127">
        <v>1</v>
      </c>
      <c r="G18" s="121">
        <f t="shared" si="0"/>
        <v>237.42654599999997</v>
      </c>
      <c r="H18" s="120">
        <f t="shared" si="1"/>
        <v>237.42654599999997</v>
      </c>
      <c r="I18" s="81">
        <f>VLOOKUP(B18,All_Ingredients!$A$1:$F$151,6,FALSE())</f>
        <v>1</v>
      </c>
      <c r="J18" s="119">
        <f>VLOOKUP(B18,All_Ingredients!$A$1:$J$151,10,FALSE())</f>
        <v>58.685446009389672</v>
      </c>
      <c r="K18" s="122">
        <f t="shared" si="4"/>
        <v>0.23742654599999996</v>
      </c>
      <c r="L18" s="122">
        <f t="shared" si="5"/>
        <v>13.933482746478871</v>
      </c>
    </row>
    <row r="19" spans="1:30" ht="14.25" customHeight="1" x14ac:dyDescent="0.3">
      <c r="A19" s="128" t="s">
        <v>196</v>
      </c>
      <c r="B19" s="222" t="s">
        <v>191</v>
      </c>
      <c r="C19" s="124" t="s">
        <v>14</v>
      </c>
      <c r="D19" s="125">
        <v>40</v>
      </c>
      <c r="E19" s="116">
        <f t="shared" si="6"/>
        <v>11.871327299999999</v>
      </c>
      <c r="F19" s="127">
        <v>1</v>
      </c>
      <c r="G19" s="121">
        <f t="shared" si="0"/>
        <v>474.85309199999995</v>
      </c>
      <c r="H19" s="120">
        <f t="shared" si="1"/>
        <v>474.85309199999995</v>
      </c>
      <c r="I19" s="81">
        <f>VLOOKUP(B19,All_Ingredients!$A$1:$F$151,6,FALSE())</f>
        <v>1</v>
      </c>
      <c r="J19" s="119">
        <f>VLOOKUP(B19,All_Ingredients!$A$1:$J$151,10,FALSE())</f>
        <v>1.7</v>
      </c>
      <c r="K19" s="122">
        <f t="shared" si="4"/>
        <v>0.47485309199999992</v>
      </c>
      <c r="L19" s="122">
        <f t="shared" si="5"/>
        <v>0.80725025639999981</v>
      </c>
    </row>
    <row r="20" spans="1:30" ht="14.25" customHeight="1" x14ac:dyDescent="0.3">
      <c r="B20" s="222"/>
      <c r="C20" s="124"/>
      <c r="D20" s="125"/>
      <c r="E20" s="333"/>
      <c r="F20" s="136"/>
      <c r="G20" s="140"/>
      <c r="H20" s="138"/>
      <c r="I20" s="92"/>
      <c r="J20" s="139"/>
      <c r="L20" s="297"/>
    </row>
    <row r="21" spans="1:30" ht="14.25" customHeight="1" x14ac:dyDescent="0.3">
      <c r="L21" s="297"/>
    </row>
    <row r="22" spans="1:30" ht="14.25" customHeight="1" x14ac:dyDescent="0.3">
      <c r="L22" s="297"/>
    </row>
    <row r="23" spans="1:30" ht="14.25" customHeight="1" x14ac:dyDescent="0.3">
      <c r="L23" s="297"/>
    </row>
    <row r="24" spans="1:30" ht="14.25" customHeight="1" x14ac:dyDescent="0.3">
      <c r="L24" s="297"/>
      <c r="Z24" s="1234"/>
    </row>
    <row r="25" spans="1:30" ht="14.25" customHeight="1" x14ac:dyDescent="0.3">
      <c r="L25" s="297"/>
      <c r="R25" s="1430" t="s">
        <v>405</v>
      </c>
      <c r="S25" s="1388"/>
      <c r="T25" s="1388"/>
      <c r="U25" s="1388"/>
      <c r="Z25" s="141" t="s">
        <v>264</v>
      </c>
      <c r="AA25" s="142">
        <v>33360</v>
      </c>
      <c r="AB25" s="141" t="s">
        <v>261</v>
      </c>
      <c r="AC25" s="1237">
        <f>AD30*AA25</f>
        <v>159.99340909343431</v>
      </c>
    </row>
    <row r="26" spans="1:30" ht="14.25" customHeight="1" x14ac:dyDescent="0.3">
      <c r="L26" s="297"/>
      <c r="R26" s="1430" t="s">
        <v>871</v>
      </c>
      <c r="S26" s="1388"/>
      <c r="T26" s="1388"/>
      <c r="U26" s="1388"/>
    </row>
    <row r="27" spans="1:30" ht="23.25" customHeight="1" thickBot="1" x14ac:dyDescent="0.35">
      <c r="B27" s="100"/>
      <c r="E27" s="100"/>
      <c r="F27" s="100"/>
      <c r="L27" s="297"/>
      <c r="R27" s="145" t="s">
        <v>266</v>
      </c>
      <c r="S27" s="146" t="s">
        <v>398</v>
      </c>
      <c r="T27" s="146" t="s">
        <v>268</v>
      </c>
      <c r="U27" s="146" t="s">
        <v>269</v>
      </c>
      <c r="V27" s="146" t="s">
        <v>848</v>
      </c>
      <c r="Z27" s="141" t="s">
        <v>270</v>
      </c>
      <c r="AA27" s="147" t="s">
        <v>271</v>
      </c>
      <c r="AB27" s="147" t="s">
        <v>272</v>
      </c>
      <c r="AC27" s="1186" t="s">
        <v>848</v>
      </c>
      <c r="AD27" s="147" t="s">
        <v>274</v>
      </c>
    </row>
    <row r="28" spans="1:30" ht="24" customHeight="1" thickBot="1" x14ac:dyDescent="0.35">
      <c r="B28" s="100"/>
      <c r="E28" s="100"/>
      <c r="F28" s="100"/>
      <c r="R28" s="148" t="s">
        <v>275</v>
      </c>
      <c r="S28" s="1374">
        <f>U28*S40</f>
        <v>21558.672699999999</v>
      </c>
      <c r="T28" s="760">
        <f>U28*U40</f>
        <v>11871.327299999999</v>
      </c>
      <c r="U28" s="766">
        <f>$Z$1</f>
        <v>33430</v>
      </c>
      <c r="V28" s="149">
        <f>H37</f>
        <v>219</v>
      </c>
      <c r="Z28" s="151"/>
      <c r="AA28" s="152">
        <f>AA25*$S$40</f>
        <v>21513.5304</v>
      </c>
      <c r="AB28" s="152">
        <f>AA25*$U$40</f>
        <v>11846.469599999999</v>
      </c>
      <c r="AC28" s="1188"/>
      <c r="AD28" s="154">
        <f>SUM(AA28:AB28)</f>
        <v>33360</v>
      </c>
    </row>
    <row r="29" spans="1:30" ht="14.25" customHeight="1" thickBot="1" x14ac:dyDescent="0.35">
      <c r="R29" s="148" t="s">
        <v>276</v>
      </c>
      <c r="S29" s="762"/>
      <c r="T29" s="760"/>
      <c r="U29" s="149">
        <f>T29</f>
        <v>0</v>
      </c>
      <c r="V29" s="149"/>
      <c r="Z29" s="151"/>
      <c r="AA29" s="156">
        <f>AA28/$AD$28</f>
        <v>0.64488999999999996</v>
      </c>
      <c r="AB29" s="156">
        <f>AB28/$AD$28</f>
        <v>0.35510999999999998</v>
      </c>
      <c r="AC29" s="1192"/>
      <c r="AD29" s="156">
        <f>AD28/$AD$28</f>
        <v>1</v>
      </c>
    </row>
    <row r="30" spans="1:30" ht="14.25" customHeight="1" thickBot="1" x14ac:dyDescent="0.35">
      <c r="R30" s="148" t="s">
        <v>277</v>
      </c>
      <c r="S30" s="1362">
        <f>U30*S40</f>
        <v>0</v>
      </c>
      <c r="T30" s="760">
        <f>U30*U40</f>
        <v>0</v>
      </c>
      <c r="U30" s="1373">
        <f>$AB$1</f>
        <v>0</v>
      </c>
      <c r="V30" s="1143"/>
      <c r="Z30" s="141" t="s">
        <v>278</v>
      </c>
      <c r="AA30" s="157">
        <f>S35/(S28)</f>
        <v>0</v>
      </c>
      <c r="AB30" s="158">
        <f>T35/T32</f>
        <v>1.3448476779475652E-2</v>
      </c>
      <c r="AC30" s="1199">
        <f>V35/U32</f>
        <v>2.027691124310927E-5</v>
      </c>
      <c r="AD30" s="1201">
        <f>SUMPRODUCT(AA30:AB30,AA29:AB29)+AC30</f>
        <v>4.7959655004027072E-3</v>
      </c>
    </row>
    <row r="31" spans="1:30" ht="14.25" customHeight="1" thickBot="1" x14ac:dyDescent="0.35">
      <c r="R31" s="148" t="s">
        <v>279</v>
      </c>
      <c r="S31" s="155"/>
      <c r="T31" s="149"/>
      <c r="U31" s="149"/>
      <c r="V31" s="149"/>
    </row>
    <row r="32" spans="1:30" ht="14.25" customHeight="1" thickBot="1" x14ac:dyDescent="0.35">
      <c r="B32" s="100"/>
      <c r="E32" s="100"/>
      <c r="F32" s="100"/>
      <c r="R32" s="160" t="s">
        <v>269</v>
      </c>
      <c r="S32" s="149">
        <f>SUM(S28:S30)</f>
        <v>21558.672699999999</v>
      </c>
      <c r="T32" s="149">
        <f>SUM(T28:T30)</f>
        <v>11871.327299999999</v>
      </c>
      <c r="U32" s="149">
        <f>SUM(U28:U30)</f>
        <v>33430</v>
      </c>
      <c r="V32" s="149">
        <f>SUM(V28:V30)</f>
        <v>219</v>
      </c>
    </row>
    <row r="33" spans="2:23" ht="14.25" customHeight="1" thickBot="1" x14ac:dyDescent="0.35">
      <c r="B33" s="100"/>
      <c r="E33" s="100"/>
      <c r="F33" s="100"/>
      <c r="R33" s="161" t="s">
        <v>280</v>
      </c>
      <c r="S33" s="155"/>
      <c r="T33" s="155"/>
      <c r="U33" s="155">
        <f>F82</f>
        <v>0</v>
      </c>
      <c r="V33" s="155"/>
    </row>
    <row r="34" spans="2:23" ht="14.25" customHeight="1" thickBot="1" x14ac:dyDescent="0.35">
      <c r="B34" s="100"/>
      <c r="E34" s="100"/>
      <c r="F34" s="100"/>
      <c r="R34" s="162" t="s">
        <v>281</v>
      </c>
      <c r="S34" s="155"/>
      <c r="T34" s="149"/>
      <c r="U34" s="149"/>
      <c r="V34" s="155"/>
    </row>
    <row r="35" spans="2:23" ht="18.75" customHeight="1" thickBot="1" x14ac:dyDescent="0.35">
      <c r="B35" s="1394" t="s">
        <v>693</v>
      </c>
      <c r="C35" s="1394"/>
      <c r="D35" s="1394"/>
      <c r="E35" s="1394"/>
      <c r="F35" s="1394"/>
      <c r="G35" s="882"/>
      <c r="H35" s="882"/>
      <c r="I35" s="889"/>
      <c r="J35" s="889"/>
      <c r="K35" s="889"/>
      <c r="L35" s="889"/>
      <c r="R35" s="163" t="s">
        <v>261</v>
      </c>
      <c r="S35" s="1144">
        <f>$L$5</f>
        <v>0</v>
      </c>
      <c r="T35" s="1144">
        <f>SUM(L6:L18)</f>
        <v>159.65126953560537</v>
      </c>
      <c r="U35" s="1240">
        <f>S35+T35+V35</f>
        <v>160.3291266784625</v>
      </c>
      <c r="V35" s="1203">
        <f>SUM(L37)</f>
        <v>0.67785714285714294</v>
      </c>
    </row>
    <row r="36" spans="2:23" ht="46.5" x14ac:dyDescent="0.3">
      <c r="B36" s="860" t="s">
        <v>253</v>
      </c>
      <c r="C36" s="860" t="s">
        <v>329</v>
      </c>
      <c r="D36" s="862" t="s">
        <v>671</v>
      </c>
      <c r="E36" s="859" t="s">
        <v>672</v>
      </c>
      <c r="F36" s="862" t="s">
        <v>673</v>
      </c>
      <c r="G36" s="882"/>
      <c r="H36" s="862" t="s">
        <v>673</v>
      </c>
      <c r="I36" s="862" t="s">
        <v>258</v>
      </c>
      <c r="J36" s="862" t="s">
        <v>259</v>
      </c>
      <c r="K36" s="862" t="s">
        <v>260</v>
      </c>
      <c r="L36" s="862" t="s">
        <v>261</v>
      </c>
    </row>
    <row r="37" spans="2:23" x14ac:dyDescent="0.3">
      <c r="B37" s="855" t="s">
        <v>19</v>
      </c>
      <c r="C37" s="856" t="s">
        <v>14</v>
      </c>
      <c r="D37" s="857">
        <v>1</v>
      </c>
      <c r="E37" s="855">
        <f>$AD$1</f>
        <v>219</v>
      </c>
      <c r="F37" s="855">
        <f>D37*E37</f>
        <v>219</v>
      </c>
      <c r="H37" s="855">
        <f>F37</f>
        <v>219</v>
      </c>
      <c r="I37" s="855">
        <f>VLOOKUP(B37,All_Ingredients!$A$1:$F$151,6,FALSE())</f>
        <v>0.84</v>
      </c>
      <c r="J37" s="855">
        <f>VLOOKUP(B37,All_Ingredients!$A$1:$J$151,10,FALSE())</f>
        <v>2.6</v>
      </c>
      <c r="K37" s="855">
        <f>(H37/I37)/1000</f>
        <v>0.26071428571428573</v>
      </c>
      <c r="L37" s="855">
        <f t="shared" ref="L37" si="7">K37*J37</f>
        <v>0.67785714285714294</v>
      </c>
    </row>
    <row r="38" spans="2:23" ht="14.25" customHeight="1" x14ac:dyDescent="0.3">
      <c r="S38" s="453"/>
    </row>
    <row r="40" spans="2:23" ht="22.25" customHeight="1" x14ac:dyDescent="0.3">
      <c r="R40" s="165" t="s">
        <v>282</v>
      </c>
      <c r="S40" s="454">
        <v>0.64488999999999996</v>
      </c>
      <c r="T40" s="165" t="s">
        <v>283</v>
      </c>
      <c r="U40" s="454">
        <v>0.35510999999999998</v>
      </c>
      <c r="V40" s="1308">
        <f>S40+U40</f>
        <v>1</v>
      </c>
    </row>
    <row r="41" spans="2:23" ht="14.25" customHeight="1" x14ac:dyDescent="0.3">
      <c r="U41" s="169"/>
    </row>
    <row r="42" spans="2:23" ht="14.25" customHeight="1" x14ac:dyDescent="0.3"/>
    <row r="43" spans="2:23" ht="14.25" customHeight="1" x14ac:dyDescent="0.3">
      <c r="Q43" s="170" t="s">
        <v>284</v>
      </c>
      <c r="R43" s="170" t="s">
        <v>285</v>
      </c>
      <c r="S43" s="170" t="s">
        <v>286</v>
      </c>
      <c r="T43" s="170" t="s">
        <v>287</v>
      </c>
      <c r="U43" s="170" t="s">
        <v>288</v>
      </c>
      <c r="V43" s="170" t="s">
        <v>289</v>
      </c>
      <c r="W43" s="258" t="s">
        <v>290</v>
      </c>
    </row>
    <row r="44" spans="2:23" ht="14.25" customHeight="1" x14ac:dyDescent="0.3">
      <c r="Q44" s="172">
        <v>28162</v>
      </c>
      <c r="R44" s="173">
        <f>D51</f>
        <v>10000</v>
      </c>
      <c r="S44" s="174">
        <v>1</v>
      </c>
      <c r="T44" s="174">
        <v>0</v>
      </c>
      <c r="U44" s="242">
        <f>R44*S44</f>
        <v>10000</v>
      </c>
      <c r="V44" s="176">
        <f>R44*T44</f>
        <v>0</v>
      </c>
      <c r="W44" s="260">
        <f>Q44-U44</f>
        <v>18162</v>
      </c>
    </row>
    <row r="46" spans="2:23" ht="14" customHeight="1" x14ac:dyDescent="0.3"/>
    <row r="47" spans="2:23" ht="14" customHeight="1" x14ac:dyDescent="0.3"/>
    <row r="50" spans="1:10" x14ac:dyDescent="0.3">
      <c r="B50" s="276"/>
      <c r="C50" s="145" t="s">
        <v>245</v>
      </c>
      <c r="D50" s="145" t="s">
        <v>291</v>
      </c>
      <c r="E50" s="100"/>
      <c r="F50" s="100"/>
      <c r="G50" s="145" t="s">
        <v>292</v>
      </c>
      <c r="H50" s="145" t="s">
        <v>245</v>
      </c>
      <c r="I50" s="145" t="s">
        <v>293</v>
      </c>
      <c r="J50" s="145" t="s">
        <v>294</v>
      </c>
    </row>
    <row r="51" spans="1:10" x14ac:dyDescent="0.3">
      <c r="B51" s="180" t="s">
        <v>295</v>
      </c>
      <c r="C51" s="181">
        <f>10/$K$1</f>
        <v>10</v>
      </c>
      <c r="D51" s="182">
        <f>$C$1*10</f>
        <v>10000</v>
      </c>
      <c r="E51" s="183"/>
      <c r="F51" s="100"/>
      <c r="G51" s="180" t="s">
        <v>295</v>
      </c>
      <c r="H51" s="277">
        <f>I51/$D$5</f>
        <v>10</v>
      </c>
      <c r="I51" s="181">
        <f>J51/$R$1</f>
        <v>27518.181818181816</v>
      </c>
      <c r="J51" s="181">
        <f>$W$44</f>
        <v>18162</v>
      </c>
    </row>
    <row r="52" spans="1:10" x14ac:dyDescent="0.3">
      <c r="B52" s="231" t="s">
        <v>274</v>
      </c>
      <c r="C52" s="232">
        <f>$I$1</f>
        <v>11.871327299999999</v>
      </c>
      <c r="D52" s="233">
        <f>$E$1</f>
        <v>11871.327299999999</v>
      </c>
      <c r="E52" s="100"/>
      <c r="F52" s="100"/>
      <c r="G52" s="148" t="s">
        <v>274</v>
      </c>
      <c r="H52" s="210">
        <f>I52/$D$5</f>
        <v>11.870208512278383</v>
      </c>
      <c r="I52" s="176">
        <f>J52/$R$1</f>
        <v>32664.655606060602</v>
      </c>
      <c r="J52" s="184">
        <f>$S$32</f>
        <v>21558.672699999999</v>
      </c>
    </row>
    <row r="53" spans="1:10" x14ac:dyDescent="0.3">
      <c r="B53" s="231" t="s">
        <v>296</v>
      </c>
      <c r="C53" s="234">
        <f>MIN(C52, C51)</f>
        <v>10</v>
      </c>
      <c r="D53" s="233">
        <f>(C53*$K$1)*$C$1</f>
        <v>10000</v>
      </c>
      <c r="E53" s="100"/>
      <c r="F53" s="100"/>
      <c r="G53" s="148" t="s">
        <v>296</v>
      </c>
      <c r="H53" s="187">
        <f>MIN(H52,H51)</f>
        <v>10</v>
      </c>
      <c r="I53" s="176">
        <f>J53/$R$1</f>
        <v>27518.181818181816</v>
      </c>
      <c r="J53" s="176">
        <f>MIN(J52,J51)</f>
        <v>18162</v>
      </c>
    </row>
    <row r="54" spans="1:10" x14ac:dyDescent="0.3">
      <c r="B54" s="231" t="s">
        <v>297</v>
      </c>
      <c r="C54" s="234">
        <f>MIN(MAX(C52-C53,0),C51)</f>
        <v>1.871327299999999</v>
      </c>
      <c r="D54" s="233">
        <f>(C54*$K$1)*$C$1</f>
        <v>1871.327299999999</v>
      </c>
      <c r="E54" s="100"/>
      <c r="F54" s="100"/>
      <c r="G54" s="148" t="s">
        <v>297</v>
      </c>
      <c r="H54" s="187">
        <f>MIN(MAX(H52-H53),H51)</f>
        <v>1.8702085122783831</v>
      </c>
      <c r="I54" s="176">
        <f>J54/$R$1</f>
        <v>5146.4737878787864</v>
      </c>
      <c r="J54" s="176">
        <f>MIN(MAX(J52-J53),J51)</f>
        <v>3396.6726999999992</v>
      </c>
    </row>
    <row r="55" spans="1:10" x14ac:dyDescent="0.3">
      <c r="B55" s="231" t="s">
        <v>298</v>
      </c>
      <c r="C55" s="234">
        <f>MIN(MAX(C52-C53-C54,0),C51)</f>
        <v>0</v>
      </c>
      <c r="D55" s="233">
        <f>(C55*$K$1)*$C$1</f>
        <v>0</v>
      </c>
      <c r="E55" s="100"/>
      <c r="F55" s="100"/>
      <c r="G55" s="145" t="s">
        <v>298</v>
      </c>
      <c r="H55" s="187">
        <f>MIN(MAX(H52-H53-H54),H51)</f>
        <v>0</v>
      </c>
      <c r="I55" s="176">
        <f>J55/$R$1</f>
        <v>0</v>
      </c>
      <c r="J55" s="176">
        <f>MIN(MAX(J52-J53-J54),J51)</f>
        <v>0</v>
      </c>
    </row>
    <row r="63" spans="1:10" ht="18" customHeight="1" x14ac:dyDescent="0.3">
      <c r="A63" s="937"/>
      <c r="B63" s="1382" t="str">
        <f>" صوص لحم المسقعة 1 / " &amp; COUNTIF($C$53:$C$55, "&gt;0")</f>
        <v xml:space="preserve"> صوص لحم المسقعة 1 / 2</v>
      </c>
      <c r="C63" s="1383"/>
      <c r="D63" s="1383"/>
      <c r="E63" s="1383"/>
      <c r="F63" s="1383"/>
      <c r="G63" s="1383"/>
      <c r="H63" s="1383"/>
    </row>
    <row r="64" spans="1:10" ht="25.5" customHeight="1" x14ac:dyDescent="0.3">
      <c r="A64" s="937"/>
      <c r="B64" s="1384" t="str">
        <f>" Sauce of Moussaka Meet 1 / " &amp; COUNTIF($C$53:$C$55, "&gt;0")</f>
        <v xml:space="preserve"> Sauce of Moussaka Meet 1 / 2</v>
      </c>
      <c r="C64" s="1385"/>
      <c r="D64" s="1385"/>
      <c r="E64" s="1385"/>
      <c r="F64" s="1385"/>
      <c r="G64" s="1385"/>
      <c r="H64" s="1385"/>
    </row>
    <row r="65" spans="1:10" ht="43.25" customHeight="1" x14ac:dyDescent="0.25">
      <c r="A65" s="243"/>
      <c r="B65" s="243" t="s">
        <v>253</v>
      </c>
      <c r="C65" s="244" t="s">
        <v>254</v>
      </c>
      <c r="D65" s="245" t="s">
        <v>243</v>
      </c>
      <c r="E65" s="218" t="s">
        <v>246</v>
      </c>
      <c r="F65" s="218" t="s">
        <v>255</v>
      </c>
      <c r="G65" s="245" t="s">
        <v>256</v>
      </c>
      <c r="H65" s="218" t="s">
        <v>257</v>
      </c>
    </row>
    <row r="66" spans="1:10" ht="14.25" customHeight="1" x14ac:dyDescent="0.3">
      <c r="A66" s="128" t="s">
        <v>230</v>
      </c>
      <c r="B66" s="294" t="str">
        <f t="shared" ref="B66:D80" si="8">B5</f>
        <v>Indian Meat Tammam Mafroom - مفروم هندى</v>
      </c>
      <c r="C66" s="124" t="str">
        <f t="shared" si="8"/>
        <v>gm</v>
      </c>
      <c r="D66" s="116">
        <f t="shared" si="8"/>
        <v>2751.8181818181815</v>
      </c>
      <c r="E66" s="197">
        <f>H53</f>
        <v>10</v>
      </c>
      <c r="F66" s="127">
        <f t="shared" ref="F66:F80" si="9">F5</f>
        <v>1</v>
      </c>
      <c r="G66" s="119">
        <f t="shared" ref="G66:G79" si="10">D66*E66</f>
        <v>27518.181818181816</v>
      </c>
      <c r="H66" s="120">
        <f t="shared" ref="H66:H79" si="11">G66*F66</f>
        <v>27518.181818181816</v>
      </c>
    </row>
    <row r="67" spans="1:10" ht="14.25" customHeight="1" x14ac:dyDescent="0.3">
      <c r="A67" s="128" t="s">
        <v>13</v>
      </c>
      <c r="B67" s="294" t="str">
        <f t="shared" si="8"/>
        <v>Onion - بصل</v>
      </c>
      <c r="C67" s="124" t="str">
        <f t="shared" si="8"/>
        <v>gm</v>
      </c>
      <c r="D67" s="125">
        <f t="shared" si="8"/>
        <v>416</v>
      </c>
      <c r="E67" s="197">
        <f t="shared" ref="E67:E80" si="12">$C$53</f>
        <v>10</v>
      </c>
      <c r="F67" s="127">
        <f t="shared" si="9"/>
        <v>1</v>
      </c>
      <c r="G67" s="119">
        <f t="shared" si="10"/>
        <v>4160</v>
      </c>
      <c r="H67" s="120">
        <f t="shared" si="11"/>
        <v>4160</v>
      </c>
    </row>
    <row r="68" spans="1:10" ht="14.25" customHeight="1" x14ac:dyDescent="0.3">
      <c r="A68" s="128" t="s">
        <v>158</v>
      </c>
      <c r="B68" s="294" t="str">
        <f t="shared" si="8"/>
        <v>Butter - زبدة</v>
      </c>
      <c r="C68" s="124" t="str">
        <f t="shared" si="8"/>
        <v>gm</v>
      </c>
      <c r="D68" s="125">
        <f t="shared" si="8"/>
        <v>25</v>
      </c>
      <c r="E68" s="197">
        <f t="shared" si="12"/>
        <v>10</v>
      </c>
      <c r="F68" s="127">
        <f t="shared" si="9"/>
        <v>1</v>
      </c>
      <c r="G68" s="119">
        <f t="shared" si="10"/>
        <v>250</v>
      </c>
      <c r="H68" s="120">
        <f t="shared" si="11"/>
        <v>250</v>
      </c>
    </row>
    <row r="69" spans="1:10" ht="14.25" customHeight="1" x14ac:dyDescent="0.3">
      <c r="A69" s="128" t="s">
        <v>13</v>
      </c>
      <c r="B69" s="294" t="str">
        <f t="shared" si="8"/>
        <v>Tomato - طماطم</v>
      </c>
      <c r="C69" s="124" t="str">
        <f t="shared" si="8"/>
        <v>gm</v>
      </c>
      <c r="D69" s="125">
        <f t="shared" si="8"/>
        <v>416</v>
      </c>
      <c r="E69" s="197">
        <f t="shared" si="12"/>
        <v>10</v>
      </c>
      <c r="F69" s="127">
        <f t="shared" si="9"/>
        <v>1</v>
      </c>
      <c r="G69" s="119">
        <f t="shared" si="10"/>
        <v>4160</v>
      </c>
      <c r="H69" s="120">
        <f t="shared" si="11"/>
        <v>4160</v>
      </c>
    </row>
    <row r="70" spans="1:10" ht="14.25" customHeight="1" x14ac:dyDescent="0.3">
      <c r="A70" s="128" t="s">
        <v>97</v>
      </c>
      <c r="B70" s="294" t="str">
        <f t="shared" si="8"/>
        <v>Cumin Powder - كمون مطحون</v>
      </c>
      <c r="C70" s="124" t="str">
        <f t="shared" si="8"/>
        <v>gm</v>
      </c>
      <c r="D70" s="125">
        <f t="shared" si="8"/>
        <v>8</v>
      </c>
      <c r="E70" s="197">
        <f t="shared" si="12"/>
        <v>10</v>
      </c>
      <c r="F70" s="127">
        <f t="shared" si="9"/>
        <v>1</v>
      </c>
      <c r="G70" s="119">
        <f t="shared" si="10"/>
        <v>80</v>
      </c>
      <c r="H70" s="120">
        <f t="shared" si="11"/>
        <v>80</v>
      </c>
    </row>
    <row r="71" spans="1:10" ht="14.25" customHeight="1" x14ac:dyDescent="0.3">
      <c r="A71" s="128" t="s">
        <v>97</v>
      </c>
      <c r="B71" s="294" t="str">
        <f t="shared" si="8"/>
        <v>Coriander Powder - كزبرة مطحونة</v>
      </c>
      <c r="C71" s="124" t="str">
        <f t="shared" si="8"/>
        <v>gm</v>
      </c>
      <c r="D71" s="125">
        <f t="shared" si="8"/>
        <v>16</v>
      </c>
      <c r="E71" s="197">
        <f t="shared" si="12"/>
        <v>10</v>
      </c>
      <c r="F71" s="127">
        <f t="shared" si="9"/>
        <v>1</v>
      </c>
      <c r="G71" s="119">
        <f t="shared" si="10"/>
        <v>160</v>
      </c>
      <c r="H71" s="120">
        <f t="shared" si="11"/>
        <v>160</v>
      </c>
    </row>
    <row r="72" spans="1:10" ht="14.25" customHeight="1" x14ac:dyDescent="0.3">
      <c r="A72" s="128" t="s">
        <v>97</v>
      </c>
      <c r="B72" s="294" t="str">
        <f t="shared" si="8"/>
        <v>Cinnamon Powder - قرفة مطحونة</v>
      </c>
      <c r="C72" s="124" t="str">
        <f t="shared" si="8"/>
        <v>gm</v>
      </c>
      <c r="D72" s="125">
        <f t="shared" si="8"/>
        <v>8</v>
      </c>
      <c r="E72" s="197">
        <f t="shared" si="12"/>
        <v>10</v>
      </c>
      <c r="F72" s="127">
        <f t="shared" si="9"/>
        <v>1</v>
      </c>
      <c r="G72" s="119">
        <f t="shared" si="10"/>
        <v>80</v>
      </c>
      <c r="H72" s="120">
        <f t="shared" si="11"/>
        <v>80</v>
      </c>
    </row>
    <row r="73" spans="1:10" ht="14.25" customHeight="1" x14ac:dyDescent="0.3">
      <c r="A73" s="128" t="s">
        <v>97</v>
      </c>
      <c r="B73" s="294" t="str">
        <f t="shared" si="8"/>
        <v>Black Pepper Powder - فلفل أسود مطحون</v>
      </c>
      <c r="C73" s="124" t="str">
        <f t="shared" si="8"/>
        <v>gm</v>
      </c>
      <c r="D73" s="125">
        <f t="shared" si="8"/>
        <v>10</v>
      </c>
      <c r="E73" s="197">
        <f t="shared" si="12"/>
        <v>10</v>
      </c>
      <c r="F73" s="127">
        <f t="shared" si="9"/>
        <v>1</v>
      </c>
      <c r="G73" s="119">
        <f t="shared" si="10"/>
        <v>100</v>
      </c>
      <c r="H73" s="120">
        <f t="shared" si="11"/>
        <v>100</v>
      </c>
    </row>
    <row r="74" spans="1:10" ht="14.25" customHeight="1" x14ac:dyDescent="0.3">
      <c r="A74" s="128" t="s">
        <v>196</v>
      </c>
      <c r="B74" s="294" t="str">
        <f t="shared" si="8"/>
        <v>Tomato Paste - صلصة طماطم</v>
      </c>
      <c r="C74" s="124" t="str">
        <f t="shared" si="8"/>
        <v>gm</v>
      </c>
      <c r="D74" s="125">
        <f t="shared" si="8"/>
        <v>900</v>
      </c>
      <c r="E74" s="197">
        <f t="shared" si="12"/>
        <v>10</v>
      </c>
      <c r="F74" s="127">
        <f t="shared" si="9"/>
        <v>1</v>
      </c>
      <c r="G74" s="119">
        <f t="shared" si="10"/>
        <v>9000</v>
      </c>
      <c r="H74" s="120">
        <f t="shared" si="11"/>
        <v>9000</v>
      </c>
    </row>
    <row r="75" spans="1:10" ht="14.25" customHeight="1" x14ac:dyDescent="0.3">
      <c r="A75" s="128" t="s">
        <v>97</v>
      </c>
      <c r="B75" s="294" t="str">
        <f t="shared" si="8"/>
        <v>Salt - ملح</v>
      </c>
      <c r="C75" s="124" t="str">
        <f t="shared" si="8"/>
        <v>gm</v>
      </c>
      <c r="D75" s="125">
        <f t="shared" si="8"/>
        <v>11</v>
      </c>
      <c r="E75" s="197">
        <f t="shared" si="12"/>
        <v>10</v>
      </c>
      <c r="F75" s="127">
        <f t="shared" si="9"/>
        <v>0.75</v>
      </c>
      <c r="G75" s="119">
        <f t="shared" si="10"/>
        <v>110</v>
      </c>
      <c r="H75" s="120">
        <f t="shared" si="11"/>
        <v>82.5</v>
      </c>
    </row>
    <row r="76" spans="1:10" ht="14.25" customHeight="1" x14ac:dyDescent="0.3">
      <c r="A76" s="128" t="s">
        <v>97</v>
      </c>
      <c r="B76" s="294" t="str">
        <f t="shared" si="8"/>
        <v>Maggi Cubes - مكعبات ماجي</v>
      </c>
      <c r="C76" s="124" t="str">
        <f t="shared" si="8"/>
        <v>gm</v>
      </c>
      <c r="D76" s="125">
        <f t="shared" si="8"/>
        <v>20</v>
      </c>
      <c r="E76" s="197">
        <f t="shared" si="12"/>
        <v>10</v>
      </c>
      <c r="F76" s="127">
        <f t="shared" si="9"/>
        <v>1</v>
      </c>
      <c r="G76" s="119">
        <f t="shared" si="10"/>
        <v>200</v>
      </c>
      <c r="H76" s="120">
        <f t="shared" si="11"/>
        <v>200</v>
      </c>
    </row>
    <row r="77" spans="1:10" ht="14.25" customHeight="1" x14ac:dyDescent="0.3">
      <c r="A77" s="128" t="s">
        <v>210</v>
      </c>
      <c r="B77" s="294" t="str">
        <f t="shared" si="8"/>
        <v>Vinegar - خل</v>
      </c>
      <c r="C77" s="124" t="str">
        <f t="shared" si="8"/>
        <v>ml</v>
      </c>
      <c r="D77" s="125">
        <f t="shared" si="8"/>
        <v>33</v>
      </c>
      <c r="E77" s="197">
        <f t="shared" si="12"/>
        <v>10</v>
      </c>
      <c r="F77" s="127">
        <f t="shared" si="9"/>
        <v>1</v>
      </c>
      <c r="G77" s="119">
        <f t="shared" si="10"/>
        <v>330</v>
      </c>
      <c r="H77" s="120">
        <f t="shared" si="11"/>
        <v>330</v>
      </c>
    </row>
    <row r="78" spans="1:10" ht="14.25" customHeight="1" x14ac:dyDescent="0.3">
      <c r="A78" s="128" t="s">
        <v>13</v>
      </c>
      <c r="B78" s="294" t="str">
        <f t="shared" si="8"/>
        <v>Garlic - ثوم مقشر</v>
      </c>
      <c r="C78" s="124" t="str">
        <f t="shared" si="8"/>
        <v>gm</v>
      </c>
      <c r="D78" s="125">
        <f t="shared" si="8"/>
        <v>25</v>
      </c>
      <c r="E78" s="197">
        <f t="shared" si="12"/>
        <v>10</v>
      </c>
      <c r="F78" s="127">
        <f t="shared" si="9"/>
        <v>1</v>
      </c>
      <c r="G78" s="119">
        <f t="shared" si="10"/>
        <v>250</v>
      </c>
      <c r="H78" s="120">
        <f t="shared" si="11"/>
        <v>250</v>
      </c>
    </row>
    <row r="79" spans="1:10" ht="14.25" customHeight="1" x14ac:dyDescent="0.3">
      <c r="A79" s="128" t="s">
        <v>196</v>
      </c>
      <c r="B79" s="294" t="str">
        <f t="shared" si="8"/>
        <v>Sriracha Sauce - صوص سريراتشا</v>
      </c>
      <c r="C79" s="124" t="str">
        <f t="shared" si="8"/>
        <v>ml</v>
      </c>
      <c r="D79" s="125">
        <f t="shared" si="8"/>
        <v>20</v>
      </c>
      <c r="E79" s="197">
        <f t="shared" si="12"/>
        <v>10</v>
      </c>
      <c r="F79" s="127">
        <f t="shared" si="9"/>
        <v>1</v>
      </c>
      <c r="G79" s="119">
        <f t="shared" si="10"/>
        <v>200</v>
      </c>
      <c r="H79" s="120">
        <f t="shared" si="11"/>
        <v>200</v>
      </c>
    </row>
    <row r="80" spans="1:10" ht="20.25" customHeight="1" x14ac:dyDescent="0.4">
      <c r="A80" s="128" t="s">
        <v>196</v>
      </c>
      <c r="B80" s="294" t="str">
        <f t="shared" si="8"/>
        <v>Flour - دقيق</v>
      </c>
      <c r="C80" s="124" t="str">
        <f t="shared" si="8"/>
        <v>gm</v>
      </c>
      <c r="D80" s="125">
        <f t="shared" si="8"/>
        <v>40</v>
      </c>
      <c r="E80" s="197">
        <f t="shared" si="12"/>
        <v>10</v>
      </c>
      <c r="F80" s="127">
        <f t="shared" si="9"/>
        <v>1</v>
      </c>
      <c r="G80" s="119">
        <f>D80*E80</f>
        <v>400</v>
      </c>
      <c r="H80" s="120">
        <f>G80*F80</f>
        <v>400</v>
      </c>
      <c r="I80" s="204"/>
      <c r="J80" s="203"/>
    </row>
    <row r="81" spans="1:8" ht="18" x14ac:dyDescent="0.3">
      <c r="A81" s="211"/>
      <c r="B81" s="198" t="s">
        <v>299</v>
      </c>
      <c r="C81" s="200" t="s">
        <v>285</v>
      </c>
      <c r="E81" s="200" t="s">
        <v>300</v>
      </c>
      <c r="G81" s="890" t="s">
        <v>276</v>
      </c>
      <c r="H81" s="890" t="s">
        <v>733</v>
      </c>
    </row>
    <row r="82" spans="1:8" ht="20" x14ac:dyDescent="0.4">
      <c r="A82" s="211"/>
      <c r="B82" s="199">
        <f>$J$53</f>
        <v>18162</v>
      </c>
      <c r="C82" s="199">
        <f>E82+G82</f>
        <v>10000</v>
      </c>
      <c r="D82" s="930"/>
      <c r="E82" s="199">
        <f>$D$53*$S$44</f>
        <v>10000</v>
      </c>
      <c r="F82" s="934"/>
      <c r="G82" s="199">
        <f>$D$53*$T$44</f>
        <v>0</v>
      </c>
      <c r="H82" s="199">
        <f>B82+E82</f>
        <v>28162</v>
      </c>
    </row>
    <row r="84" spans="1:8" x14ac:dyDescent="0.3">
      <c r="A84" s="937"/>
      <c r="B84" s="1382" t="str">
        <f>" صوص لحم المسقعة 2 / " &amp; COUNTIF($C$53:$C$55, "&gt;0")</f>
        <v xml:space="preserve"> صوص لحم المسقعة 2 / 2</v>
      </c>
      <c r="C84" s="1383"/>
      <c r="D84" s="1383"/>
      <c r="E84" s="1383"/>
      <c r="F84" s="1383"/>
      <c r="G84" s="1383"/>
      <c r="H84" s="1383"/>
    </row>
    <row r="85" spans="1:8" x14ac:dyDescent="0.3">
      <c r="A85" s="937"/>
      <c r="B85" s="1384" t="str">
        <f>" Sauce of Moussaka Meet 2 / " &amp; COUNTIF($C$53:$C$55, "&gt;0")</f>
        <v xml:space="preserve"> Sauce of Moussaka Meet 2 / 2</v>
      </c>
      <c r="C85" s="1385"/>
      <c r="D85" s="1385"/>
      <c r="E85" s="1385"/>
      <c r="F85" s="1385"/>
      <c r="G85" s="1385"/>
      <c r="H85" s="1385"/>
    </row>
    <row r="86" spans="1:8" ht="45" customHeight="1" x14ac:dyDescent="0.25">
      <c r="A86" s="243"/>
      <c r="B86" s="243" t="s">
        <v>253</v>
      </c>
      <c r="C86" s="244" t="s">
        <v>254</v>
      </c>
      <c r="D86" s="245" t="s">
        <v>243</v>
      </c>
      <c r="E86" s="218" t="s">
        <v>246</v>
      </c>
      <c r="F86" s="218" t="s">
        <v>255</v>
      </c>
      <c r="G86" s="245" t="s">
        <v>256</v>
      </c>
      <c r="H86" s="218" t="s">
        <v>257</v>
      </c>
    </row>
    <row r="87" spans="1:8" x14ac:dyDescent="0.3">
      <c r="A87" s="128" t="s">
        <v>230</v>
      </c>
      <c r="B87" s="294" t="str">
        <f t="shared" ref="B87:D101" si="13">B5</f>
        <v>Indian Meat Tammam Mafroom - مفروم هندى</v>
      </c>
      <c r="C87" s="294" t="str">
        <f t="shared" si="13"/>
        <v>gm</v>
      </c>
      <c r="D87" s="498">
        <f t="shared" si="13"/>
        <v>2751.8181818181815</v>
      </c>
      <c r="E87" s="197">
        <f>$H$54</f>
        <v>1.8702085122783831</v>
      </c>
      <c r="F87" s="127">
        <f>F5</f>
        <v>1</v>
      </c>
      <c r="G87" s="119">
        <f t="shared" ref="G87:G100" si="14">D87*E87</f>
        <v>5146.4737878787864</v>
      </c>
      <c r="H87" s="120">
        <f t="shared" ref="H87:H100" si="15">G87*F87</f>
        <v>5146.4737878787864</v>
      </c>
    </row>
    <row r="88" spans="1:8" x14ac:dyDescent="0.3">
      <c r="A88" s="128" t="s">
        <v>13</v>
      </c>
      <c r="B88" s="294" t="str">
        <f t="shared" si="13"/>
        <v>Onion - بصل</v>
      </c>
      <c r="C88" s="294" t="str">
        <f t="shared" si="13"/>
        <v>gm</v>
      </c>
      <c r="D88" s="294">
        <f t="shared" si="13"/>
        <v>416</v>
      </c>
      <c r="E88" s="197">
        <f t="shared" ref="E88:E101" si="16">$C$54</f>
        <v>1.871327299999999</v>
      </c>
      <c r="F88" s="127">
        <f t="shared" ref="F88:F101" si="17">F6</f>
        <v>1</v>
      </c>
      <c r="G88" s="119">
        <f t="shared" si="14"/>
        <v>778.47215679999954</v>
      </c>
      <c r="H88" s="120">
        <f t="shared" si="15"/>
        <v>778.47215679999954</v>
      </c>
    </row>
    <row r="89" spans="1:8" x14ac:dyDescent="0.3">
      <c r="A89" s="128" t="s">
        <v>158</v>
      </c>
      <c r="B89" s="294" t="str">
        <f t="shared" si="13"/>
        <v>Butter - زبدة</v>
      </c>
      <c r="C89" s="294" t="str">
        <f t="shared" si="13"/>
        <v>gm</v>
      </c>
      <c r="D89" s="294">
        <f t="shared" si="13"/>
        <v>25</v>
      </c>
      <c r="E89" s="197">
        <f t="shared" si="16"/>
        <v>1.871327299999999</v>
      </c>
      <c r="F89" s="127">
        <f t="shared" si="17"/>
        <v>1</v>
      </c>
      <c r="G89" s="119">
        <f t="shared" si="14"/>
        <v>46.783182499999974</v>
      </c>
      <c r="H89" s="120">
        <f t="shared" si="15"/>
        <v>46.783182499999974</v>
      </c>
    </row>
    <row r="90" spans="1:8" x14ac:dyDescent="0.3">
      <c r="A90" s="128" t="s">
        <v>13</v>
      </c>
      <c r="B90" s="294" t="str">
        <f t="shared" si="13"/>
        <v>Tomato - طماطم</v>
      </c>
      <c r="C90" s="294" t="str">
        <f t="shared" si="13"/>
        <v>gm</v>
      </c>
      <c r="D90" s="294">
        <f t="shared" si="13"/>
        <v>416</v>
      </c>
      <c r="E90" s="197">
        <f t="shared" si="16"/>
        <v>1.871327299999999</v>
      </c>
      <c r="F90" s="127">
        <f t="shared" si="17"/>
        <v>1</v>
      </c>
      <c r="G90" s="119">
        <f t="shared" si="14"/>
        <v>778.47215679999954</v>
      </c>
      <c r="H90" s="120">
        <f t="shared" si="15"/>
        <v>778.47215679999954</v>
      </c>
    </row>
    <row r="91" spans="1:8" x14ac:dyDescent="0.3">
      <c r="A91" s="128" t="s">
        <v>97</v>
      </c>
      <c r="B91" s="294" t="str">
        <f t="shared" si="13"/>
        <v>Cumin Powder - كمون مطحون</v>
      </c>
      <c r="C91" s="294" t="str">
        <f t="shared" si="13"/>
        <v>gm</v>
      </c>
      <c r="D91" s="294">
        <f t="shared" si="13"/>
        <v>8</v>
      </c>
      <c r="E91" s="197">
        <f t="shared" si="16"/>
        <v>1.871327299999999</v>
      </c>
      <c r="F91" s="127">
        <f t="shared" si="17"/>
        <v>1</v>
      </c>
      <c r="G91" s="119">
        <f t="shared" si="14"/>
        <v>14.970618399999992</v>
      </c>
      <c r="H91" s="120">
        <f t="shared" si="15"/>
        <v>14.970618399999992</v>
      </c>
    </row>
    <row r="92" spans="1:8" x14ac:dyDescent="0.3">
      <c r="A92" s="128" t="s">
        <v>97</v>
      </c>
      <c r="B92" s="294" t="str">
        <f t="shared" si="13"/>
        <v>Coriander Powder - كزبرة مطحونة</v>
      </c>
      <c r="C92" s="294" t="str">
        <f t="shared" si="13"/>
        <v>gm</v>
      </c>
      <c r="D92" s="294">
        <f t="shared" si="13"/>
        <v>16</v>
      </c>
      <c r="E92" s="197">
        <f t="shared" si="16"/>
        <v>1.871327299999999</v>
      </c>
      <c r="F92" s="127">
        <f t="shared" si="17"/>
        <v>1</v>
      </c>
      <c r="G92" s="119">
        <f t="shared" si="14"/>
        <v>29.941236799999984</v>
      </c>
      <c r="H92" s="120">
        <f t="shared" si="15"/>
        <v>29.941236799999984</v>
      </c>
    </row>
    <row r="93" spans="1:8" x14ac:dyDescent="0.3">
      <c r="A93" s="128" t="s">
        <v>97</v>
      </c>
      <c r="B93" s="294" t="str">
        <f t="shared" si="13"/>
        <v>Cinnamon Powder - قرفة مطحونة</v>
      </c>
      <c r="C93" s="294" t="str">
        <f t="shared" si="13"/>
        <v>gm</v>
      </c>
      <c r="D93" s="294">
        <f t="shared" si="13"/>
        <v>8</v>
      </c>
      <c r="E93" s="197">
        <f t="shared" si="16"/>
        <v>1.871327299999999</v>
      </c>
      <c r="F93" s="127">
        <f t="shared" si="17"/>
        <v>1</v>
      </c>
      <c r="G93" s="119">
        <f t="shared" si="14"/>
        <v>14.970618399999992</v>
      </c>
      <c r="H93" s="120">
        <f t="shared" si="15"/>
        <v>14.970618399999992</v>
      </c>
    </row>
    <row r="94" spans="1:8" x14ac:dyDescent="0.3">
      <c r="A94" s="128" t="s">
        <v>97</v>
      </c>
      <c r="B94" s="294" t="str">
        <f t="shared" si="13"/>
        <v>Black Pepper Powder - فلفل أسود مطحون</v>
      </c>
      <c r="C94" s="294" t="str">
        <f t="shared" si="13"/>
        <v>gm</v>
      </c>
      <c r="D94" s="294">
        <f t="shared" si="13"/>
        <v>10</v>
      </c>
      <c r="E94" s="197">
        <f t="shared" si="16"/>
        <v>1.871327299999999</v>
      </c>
      <c r="F94" s="127">
        <f t="shared" si="17"/>
        <v>1</v>
      </c>
      <c r="G94" s="119">
        <f t="shared" si="14"/>
        <v>18.71327299999999</v>
      </c>
      <c r="H94" s="120">
        <f t="shared" si="15"/>
        <v>18.71327299999999</v>
      </c>
    </row>
    <row r="95" spans="1:8" x14ac:dyDescent="0.3">
      <c r="A95" s="128" t="s">
        <v>196</v>
      </c>
      <c r="B95" s="294" t="str">
        <f t="shared" si="13"/>
        <v>Tomato Paste - صلصة طماطم</v>
      </c>
      <c r="C95" s="294" t="str">
        <f t="shared" si="13"/>
        <v>gm</v>
      </c>
      <c r="D95" s="294">
        <f t="shared" si="13"/>
        <v>900</v>
      </c>
      <c r="E95" s="197">
        <f t="shared" si="16"/>
        <v>1.871327299999999</v>
      </c>
      <c r="F95" s="127">
        <f t="shared" si="17"/>
        <v>1</v>
      </c>
      <c r="G95" s="119">
        <f t="shared" si="14"/>
        <v>1684.1945699999992</v>
      </c>
      <c r="H95" s="120">
        <f t="shared" si="15"/>
        <v>1684.1945699999992</v>
      </c>
    </row>
    <row r="96" spans="1:8" x14ac:dyDescent="0.3">
      <c r="A96" s="128" t="s">
        <v>97</v>
      </c>
      <c r="B96" s="294" t="str">
        <f t="shared" si="13"/>
        <v>Salt - ملح</v>
      </c>
      <c r="C96" s="294" t="str">
        <f t="shared" si="13"/>
        <v>gm</v>
      </c>
      <c r="D96" s="294">
        <f t="shared" si="13"/>
        <v>11</v>
      </c>
      <c r="E96" s="197">
        <f t="shared" si="16"/>
        <v>1.871327299999999</v>
      </c>
      <c r="F96" s="127">
        <f t="shared" si="17"/>
        <v>0.75</v>
      </c>
      <c r="G96" s="119">
        <f t="shared" si="14"/>
        <v>20.584600299999991</v>
      </c>
      <c r="H96" s="120">
        <f t="shared" si="15"/>
        <v>15.438450224999993</v>
      </c>
    </row>
    <row r="97" spans="1:8" x14ac:dyDescent="0.3">
      <c r="A97" s="128" t="s">
        <v>97</v>
      </c>
      <c r="B97" s="294" t="str">
        <f t="shared" si="13"/>
        <v>Maggi Cubes - مكعبات ماجي</v>
      </c>
      <c r="C97" s="294" t="str">
        <f t="shared" si="13"/>
        <v>gm</v>
      </c>
      <c r="D97" s="294">
        <f t="shared" si="13"/>
        <v>20</v>
      </c>
      <c r="E97" s="197">
        <f t="shared" si="16"/>
        <v>1.871327299999999</v>
      </c>
      <c r="F97" s="127">
        <f t="shared" si="17"/>
        <v>1</v>
      </c>
      <c r="G97" s="119">
        <f t="shared" si="14"/>
        <v>37.426545999999981</v>
      </c>
      <c r="H97" s="120">
        <f t="shared" si="15"/>
        <v>37.426545999999981</v>
      </c>
    </row>
    <row r="98" spans="1:8" x14ac:dyDescent="0.3">
      <c r="A98" s="128" t="s">
        <v>210</v>
      </c>
      <c r="B98" s="294" t="str">
        <f t="shared" si="13"/>
        <v>Vinegar - خل</v>
      </c>
      <c r="C98" s="294" t="str">
        <f t="shared" si="13"/>
        <v>ml</v>
      </c>
      <c r="D98" s="294">
        <f t="shared" si="13"/>
        <v>33</v>
      </c>
      <c r="E98" s="197">
        <f t="shared" si="16"/>
        <v>1.871327299999999</v>
      </c>
      <c r="F98" s="127">
        <f t="shared" si="17"/>
        <v>1</v>
      </c>
      <c r="G98" s="119">
        <f t="shared" si="14"/>
        <v>61.753800899999966</v>
      </c>
      <c r="H98" s="120">
        <f t="shared" si="15"/>
        <v>61.753800899999966</v>
      </c>
    </row>
    <row r="99" spans="1:8" x14ac:dyDescent="0.3">
      <c r="A99" s="128" t="s">
        <v>13</v>
      </c>
      <c r="B99" s="294" t="str">
        <f t="shared" si="13"/>
        <v>Garlic - ثوم مقشر</v>
      </c>
      <c r="C99" s="294" t="str">
        <f t="shared" si="13"/>
        <v>gm</v>
      </c>
      <c r="D99" s="294">
        <f t="shared" si="13"/>
        <v>25</v>
      </c>
      <c r="E99" s="197">
        <f t="shared" si="16"/>
        <v>1.871327299999999</v>
      </c>
      <c r="F99" s="127">
        <f t="shared" si="17"/>
        <v>1</v>
      </c>
      <c r="G99" s="119">
        <f t="shared" si="14"/>
        <v>46.783182499999974</v>
      </c>
      <c r="H99" s="120">
        <f t="shared" si="15"/>
        <v>46.783182499999974</v>
      </c>
    </row>
    <row r="100" spans="1:8" x14ac:dyDescent="0.3">
      <c r="A100" s="128" t="s">
        <v>196</v>
      </c>
      <c r="B100" s="294" t="str">
        <f t="shared" si="13"/>
        <v>Sriracha Sauce - صوص سريراتشا</v>
      </c>
      <c r="C100" s="294" t="str">
        <f t="shared" si="13"/>
        <v>ml</v>
      </c>
      <c r="D100" s="294">
        <f t="shared" si="13"/>
        <v>20</v>
      </c>
      <c r="E100" s="197">
        <f t="shared" si="16"/>
        <v>1.871327299999999</v>
      </c>
      <c r="F100" s="127">
        <f t="shared" si="17"/>
        <v>1</v>
      </c>
      <c r="G100" s="119">
        <f t="shared" si="14"/>
        <v>37.426545999999981</v>
      </c>
      <c r="H100" s="120">
        <f t="shared" si="15"/>
        <v>37.426545999999981</v>
      </c>
    </row>
    <row r="101" spans="1:8" x14ac:dyDescent="0.3">
      <c r="A101" s="128" t="s">
        <v>196</v>
      </c>
      <c r="B101" s="294" t="str">
        <f t="shared" si="13"/>
        <v>Flour - دقيق</v>
      </c>
      <c r="C101" s="294" t="str">
        <f t="shared" si="13"/>
        <v>gm</v>
      </c>
      <c r="D101" s="294">
        <f t="shared" si="13"/>
        <v>40</v>
      </c>
      <c r="E101" s="197">
        <f t="shared" si="16"/>
        <v>1.871327299999999</v>
      </c>
      <c r="F101" s="127">
        <f t="shared" si="17"/>
        <v>1</v>
      </c>
      <c r="G101" s="119">
        <f>D101*E101</f>
        <v>74.853091999999961</v>
      </c>
      <c r="H101" s="120">
        <f>G101*F101</f>
        <v>74.853091999999961</v>
      </c>
    </row>
    <row r="102" spans="1:8" ht="18" x14ac:dyDescent="0.3">
      <c r="A102" s="211"/>
      <c r="B102" s="198" t="s">
        <v>299</v>
      </c>
      <c r="C102" s="200" t="s">
        <v>285</v>
      </c>
      <c r="E102" s="200" t="s">
        <v>300</v>
      </c>
      <c r="G102" s="890" t="s">
        <v>276</v>
      </c>
      <c r="H102" s="890" t="s">
        <v>733</v>
      </c>
    </row>
    <row r="103" spans="1:8" ht="20" x14ac:dyDescent="0.4">
      <c r="A103" s="211"/>
      <c r="B103" s="199">
        <f>$J$54</f>
        <v>3396.6726999999992</v>
      </c>
      <c r="C103" s="199">
        <f>E103+G103</f>
        <v>1871.327299999999</v>
      </c>
      <c r="D103" s="930"/>
      <c r="E103" s="199">
        <f>$D$54*$S$44</f>
        <v>1871.327299999999</v>
      </c>
      <c r="F103" s="934"/>
      <c r="G103" s="199">
        <f>$D$54*$T$44</f>
        <v>0</v>
      </c>
      <c r="H103" s="199">
        <f>B103+E103</f>
        <v>5267.9999999999982</v>
      </c>
    </row>
  </sheetData>
  <mergeCells count="9">
    <mergeCell ref="B84:H84"/>
    <mergeCell ref="B85:H85"/>
    <mergeCell ref="AE2:AG3"/>
    <mergeCell ref="R26:U26"/>
    <mergeCell ref="R25:U25"/>
    <mergeCell ref="B64:H64"/>
    <mergeCell ref="B2:K3"/>
    <mergeCell ref="B63:H63"/>
    <mergeCell ref="B35:F35"/>
  </mergeCells>
  <printOptions horizontalCentered="1"/>
  <pageMargins left="0.5" right="0.5" top="1" bottom="0.5" header="0.3" footer="0.511811023622047"/>
  <pageSetup paperSize="9" scale="28" orientation="portrait" r:id="rId1"/>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7" tint="-0.249977111117893"/>
    <pageSetUpPr fitToPage="1"/>
  </sheetPr>
  <dimension ref="A1:AG114"/>
  <sheetViews>
    <sheetView topLeftCell="B1" zoomScaleNormal="100" workbookViewId="0">
      <selection activeCell="T28" sqref="S28:T30"/>
    </sheetView>
  </sheetViews>
  <sheetFormatPr defaultColWidth="32.83203125" defaultRowHeight="14" x14ac:dyDescent="0.3"/>
  <cols>
    <col min="1" max="1" width="14.9140625" style="79" customWidth="1"/>
    <col min="2" max="2" width="32.83203125" style="14" customWidth="1"/>
    <col min="3" max="3" width="17.25" style="14" customWidth="1"/>
    <col min="4" max="4" width="11.5" style="14" customWidth="1"/>
    <col min="5" max="5" width="14.33203125" style="14" customWidth="1"/>
    <col min="6" max="6" width="15.4140625" style="14" customWidth="1"/>
    <col min="7" max="7" width="18" style="14" customWidth="1"/>
    <col min="8" max="8" width="27.58203125" style="14" customWidth="1"/>
    <col min="9" max="9" width="16.9140625" style="14" customWidth="1"/>
    <col min="10" max="10" width="11" style="14" customWidth="1"/>
    <col min="11" max="11" width="14.58203125" style="14" customWidth="1"/>
    <col min="12" max="12" width="10.33203125" style="14" customWidth="1"/>
    <col min="13" max="14" width="4.5" style="14" customWidth="1"/>
    <col min="15" max="15" width="15.6640625" style="14" customWidth="1"/>
    <col min="16" max="16" width="10.9140625" style="14" customWidth="1"/>
    <col min="17" max="17" width="18.6640625" style="14" customWidth="1"/>
    <col min="18" max="18" width="32.83203125" style="14" customWidth="1"/>
    <col min="19" max="20" width="12.4140625" style="14" customWidth="1"/>
    <col min="21" max="21" width="10.33203125" style="14" customWidth="1"/>
    <col min="22" max="22" width="11" style="14" customWidth="1"/>
    <col min="23" max="23" width="16.1640625" style="14" customWidth="1"/>
    <col min="24" max="24" width="10.5" style="14" customWidth="1"/>
    <col min="25" max="25" width="11.1640625" style="14" customWidth="1"/>
    <col min="26" max="26" width="12.5" style="14" customWidth="1"/>
    <col min="27" max="27" width="10.9140625" style="14" customWidth="1"/>
    <col min="28" max="28" width="11.58203125" style="14" bestFit="1" customWidth="1"/>
    <col min="29" max="29" width="10.08203125" style="14" bestFit="1" customWidth="1"/>
    <col min="30" max="30" width="11" style="14" bestFit="1" customWidth="1"/>
    <col min="31" max="16384" width="32.83203125" style="14"/>
  </cols>
  <sheetData>
    <row r="1" spans="1:33" ht="32.25" customHeight="1" x14ac:dyDescent="0.3">
      <c r="B1" s="80" t="s">
        <v>243</v>
      </c>
      <c r="C1" s="81">
        <v>1000</v>
      </c>
      <c r="D1" s="82" t="s">
        <v>244</v>
      </c>
      <c r="E1" s="117">
        <f>T32</f>
        <v>10987.934999999999</v>
      </c>
      <c r="F1" s="80" t="s">
        <v>245</v>
      </c>
      <c r="G1" s="81">
        <f>E1/C1</f>
        <v>10.987935</v>
      </c>
      <c r="H1" s="80" t="s">
        <v>246</v>
      </c>
      <c r="I1" s="249">
        <f>(G1/K1)</f>
        <v>11.327768041237114</v>
      </c>
      <c r="J1" s="86" t="s">
        <v>247</v>
      </c>
      <c r="K1" s="81">
        <v>0.97</v>
      </c>
      <c r="L1" s="100"/>
      <c r="M1" s="89"/>
      <c r="N1" s="90"/>
      <c r="O1" s="91" t="s">
        <v>248</v>
      </c>
      <c r="P1" s="92" t="s">
        <v>301</v>
      </c>
      <c r="Q1" s="93" t="s">
        <v>250</v>
      </c>
      <c r="R1" s="92">
        <v>0.49</v>
      </c>
      <c r="Y1" s="91" t="s">
        <v>479</v>
      </c>
      <c r="Z1" s="847">
        <v>33550</v>
      </c>
      <c r="AA1" s="91" t="s">
        <v>600</v>
      </c>
      <c r="AB1" s="847">
        <v>500</v>
      </c>
      <c r="AC1" s="91" t="s">
        <v>587</v>
      </c>
      <c r="AD1" s="847">
        <v>234</v>
      </c>
    </row>
    <row r="2" spans="1:33" ht="15.75" customHeight="1" x14ac:dyDescent="0.3">
      <c r="A2" s="97"/>
      <c r="B2" s="1415" t="s">
        <v>406</v>
      </c>
      <c r="C2" s="1429"/>
      <c r="D2" s="1429"/>
      <c r="E2" s="1429"/>
      <c r="F2" s="1429"/>
      <c r="G2" s="1429"/>
      <c r="H2" s="1429"/>
      <c r="I2" s="98"/>
      <c r="J2" s="98"/>
      <c r="K2" s="292"/>
      <c r="L2" s="293"/>
      <c r="M2" s="100"/>
      <c r="N2" s="100"/>
      <c r="O2" s="100"/>
      <c r="P2" s="100"/>
      <c r="Q2" s="100"/>
      <c r="R2" s="100"/>
      <c r="AE2" s="1417"/>
      <c r="AF2" s="1389"/>
      <c r="AG2" s="1389"/>
    </row>
    <row r="3" spans="1:33" ht="15.75" customHeight="1" x14ac:dyDescent="0.3">
      <c r="A3" s="97"/>
      <c r="B3" s="103"/>
      <c r="C3" s="103"/>
      <c r="D3" s="103"/>
      <c r="E3" s="103"/>
      <c r="F3" s="103"/>
      <c r="G3" s="103"/>
      <c r="H3" s="103"/>
      <c r="I3" s="103"/>
      <c r="J3" s="103"/>
      <c r="K3" s="292"/>
      <c r="L3" s="293"/>
      <c r="M3" s="100"/>
      <c r="N3" s="100"/>
      <c r="O3" s="100"/>
      <c r="P3" s="100"/>
      <c r="Q3" s="100"/>
      <c r="R3" s="100"/>
      <c r="AE3" s="1389"/>
      <c r="AF3" s="1389"/>
      <c r="AG3" s="1389"/>
    </row>
    <row r="4" spans="1:33" ht="35.25" customHeight="1" x14ac:dyDescent="0.25">
      <c r="A4" s="91" t="s">
        <v>1</v>
      </c>
      <c r="B4" s="91" t="s">
        <v>253</v>
      </c>
      <c r="C4" s="107" t="s">
        <v>254</v>
      </c>
      <c r="D4" s="91" t="s">
        <v>243</v>
      </c>
      <c r="E4" s="108" t="s">
        <v>246</v>
      </c>
      <c r="F4" s="108" t="s">
        <v>255</v>
      </c>
      <c r="G4" s="91" t="s">
        <v>256</v>
      </c>
      <c r="H4" s="331" t="s">
        <v>347</v>
      </c>
      <c r="I4" s="91" t="s">
        <v>258</v>
      </c>
      <c r="J4" s="91" t="s">
        <v>259</v>
      </c>
      <c r="K4" s="91" t="s">
        <v>260</v>
      </c>
      <c r="L4" s="91" t="s">
        <v>261</v>
      </c>
      <c r="M4" s="100"/>
      <c r="N4" s="100"/>
      <c r="O4" s="100"/>
      <c r="P4" s="100"/>
    </row>
    <row r="5" spans="1:33" ht="14.25" customHeight="1" x14ac:dyDescent="0.25">
      <c r="A5" s="266" t="s">
        <v>230</v>
      </c>
      <c r="B5" s="220" t="s">
        <v>232</v>
      </c>
      <c r="C5" s="115" t="s">
        <v>14</v>
      </c>
      <c r="D5" s="121">
        <f>I51/10</f>
        <v>4283.6734693877552</v>
      </c>
      <c r="E5" s="85">
        <f>H52</f>
        <v>10.987167698904241</v>
      </c>
      <c r="F5" s="299">
        <v>1</v>
      </c>
      <c r="G5" s="119">
        <f t="shared" ref="G5:G25" si="0">D5*E5</f>
        <v>47065.438775510207</v>
      </c>
      <c r="H5" s="120">
        <f t="shared" ref="H5:H25" si="1">G5*F5</f>
        <v>47065.438775510207</v>
      </c>
      <c r="I5" s="81">
        <f>VLOOKUP(B5,All_Ingredients!$A$1:$F$151,6,FALSE())</f>
        <v>0.55000000000000004</v>
      </c>
      <c r="J5" s="119">
        <f>VLOOKUP(B5,All_Ingredients!$A$1:$J$151,10,FALSE())</f>
        <v>26.666666666666668</v>
      </c>
      <c r="K5" s="122">
        <f t="shared" ref="K5" si="2">(H5/I5)/1000</f>
        <v>85.573525046382187</v>
      </c>
      <c r="L5" s="122">
        <f t="shared" ref="L5" si="3">K5*J5</f>
        <v>2281.9606679035251</v>
      </c>
      <c r="M5" s="100"/>
      <c r="N5" s="100"/>
      <c r="O5" s="100"/>
      <c r="P5" s="100"/>
    </row>
    <row r="6" spans="1:33" ht="14.25" customHeight="1" x14ac:dyDescent="0.3">
      <c r="A6" s="128" t="s">
        <v>13</v>
      </c>
      <c r="B6" s="267" t="s">
        <v>12</v>
      </c>
      <c r="C6" s="115" t="s">
        <v>14</v>
      </c>
      <c r="D6" s="125">
        <v>50</v>
      </c>
      <c r="E6" s="197">
        <f t="shared" ref="E6:E25" si="4">$I$1</f>
        <v>11.327768041237114</v>
      </c>
      <c r="F6" s="299">
        <v>0.95</v>
      </c>
      <c r="G6" s="119">
        <f t="shared" si="0"/>
        <v>566.38840206185569</v>
      </c>
      <c r="H6" s="120">
        <f t="shared" si="1"/>
        <v>538.06898195876283</v>
      </c>
      <c r="I6" s="81">
        <f>VLOOKUP(B6,All_Ingredients!$A$1:$F$151,6,FALSE())</f>
        <v>0.9</v>
      </c>
      <c r="J6" s="119">
        <f>VLOOKUP(B6,All_Ingredients!$A$1:$J$151,10,FALSE())</f>
        <v>3</v>
      </c>
      <c r="K6" s="122">
        <f t="shared" ref="K6:K25" si="5">(H6/I6)/1000</f>
        <v>0.59785442439862535</v>
      </c>
      <c r="L6" s="122">
        <f t="shared" ref="L6:L25" si="6">K6*J6</f>
        <v>1.7935632731958759</v>
      </c>
    </row>
    <row r="7" spans="1:33" ht="14.25" customHeight="1" x14ac:dyDescent="0.3">
      <c r="A7" s="128" t="s">
        <v>13</v>
      </c>
      <c r="B7" s="267" t="s">
        <v>792</v>
      </c>
      <c r="C7" s="115" t="s">
        <v>14</v>
      </c>
      <c r="D7" s="125">
        <v>10</v>
      </c>
      <c r="E7" s="197">
        <f t="shared" si="4"/>
        <v>11.327768041237114</v>
      </c>
      <c r="F7" s="299">
        <v>1</v>
      </c>
      <c r="G7" s="119">
        <f t="shared" si="0"/>
        <v>113.27768041237114</v>
      </c>
      <c r="H7" s="120">
        <f t="shared" si="1"/>
        <v>113.27768041237114</v>
      </c>
      <c r="I7" s="81">
        <f>VLOOKUP(B7,All_Ingredients!$A$1:$F$151,6,FALSE())</f>
        <v>1</v>
      </c>
      <c r="J7" s="119">
        <f>VLOOKUP(B7,All_Ingredients!$A$1:$J$151,10,FALSE())</f>
        <v>10.5</v>
      </c>
      <c r="K7" s="122">
        <f t="shared" si="5"/>
        <v>0.11327768041237114</v>
      </c>
      <c r="L7" s="122">
        <f t="shared" si="6"/>
        <v>1.1894156443298971</v>
      </c>
    </row>
    <row r="8" spans="1:33" ht="14.25" customHeight="1" x14ac:dyDescent="0.3">
      <c r="A8" s="128" t="s">
        <v>196</v>
      </c>
      <c r="B8" s="267" t="s">
        <v>206</v>
      </c>
      <c r="C8" s="115" t="s">
        <v>14</v>
      </c>
      <c r="D8" s="273">
        <v>25</v>
      </c>
      <c r="E8" s="197">
        <f t="shared" si="4"/>
        <v>11.327768041237114</v>
      </c>
      <c r="F8" s="299">
        <v>0.9</v>
      </c>
      <c r="G8" s="119">
        <f t="shared" si="0"/>
        <v>283.19420103092784</v>
      </c>
      <c r="H8" s="120">
        <f t="shared" si="1"/>
        <v>254.87478092783508</v>
      </c>
      <c r="I8" s="81">
        <f>VLOOKUP(B8,All_Ingredients!$A$1:$F$151,6,FALSE())</f>
        <v>1</v>
      </c>
      <c r="J8" s="119">
        <f>VLOOKUP(B8,All_Ingredients!$A$1:$J$151,10,FALSE())</f>
        <v>63.333333333333336</v>
      </c>
      <c r="K8" s="122">
        <f t="shared" si="5"/>
        <v>0.25487478092783505</v>
      </c>
      <c r="L8" s="122">
        <f t="shared" si="6"/>
        <v>16.142069458762887</v>
      </c>
    </row>
    <row r="9" spans="1:33" ht="14.25" customHeight="1" x14ac:dyDescent="0.3">
      <c r="A9" s="128" t="s">
        <v>158</v>
      </c>
      <c r="B9" s="267" t="s">
        <v>171</v>
      </c>
      <c r="C9" s="115" t="s">
        <v>165</v>
      </c>
      <c r="D9" s="273">
        <v>500</v>
      </c>
      <c r="E9" s="197">
        <f t="shared" si="4"/>
        <v>11.327768041237114</v>
      </c>
      <c r="F9" s="299">
        <v>1</v>
      </c>
      <c r="G9" s="119">
        <f t="shared" si="0"/>
        <v>5663.8840206185569</v>
      </c>
      <c r="H9" s="120">
        <f t="shared" si="1"/>
        <v>5663.8840206185569</v>
      </c>
      <c r="I9" s="81">
        <f>VLOOKUP(B9,All_Ingredients!$A$1:$F$151,6,FALSE())</f>
        <v>1</v>
      </c>
      <c r="J9" s="119">
        <f>VLOOKUP(B9,All_Ingredients!$A$1:$J$151,10,FALSE())</f>
        <v>12.666666666666666</v>
      </c>
      <c r="K9" s="122">
        <f t="shared" si="5"/>
        <v>5.663884020618557</v>
      </c>
      <c r="L9" s="122">
        <f t="shared" si="6"/>
        <v>71.742530927835048</v>
      </c>
    </row>
    <row r="10" spans="1:33" ht="14.25" customHeight="1" x14ac:dyDescent="0.3">
      <c r="A10" s="128" t="s">
        <v>158</v>
      </c>
      <c r="B10" s="267" t="s">
        <v>157</v>
      </c>
      <c r="C10" s="115" t="s">
        <v>14</v>
      </c>
      <c r="D10" s="125">
        <v>10</v>
      </c>
      <c r="E10" s="197">
        <f t="shared" si="4"/>
        <v>11.327768041237114</v>
      </c>
      <c r="F10" s="299">
        <v>1</v>
      </c>
      <c r="G10" s="119">
        <f t="shared" si="0"/>
        <v>113.27768041237114</v>
      </c>
      <c r="H10" s="120">
        <f t="shared" si="1"/>
        <v>113.27768041237114</v>
      </c>
      <c r="I10" s="81">
        <f>VLOOKUP(B10,All_Ingredients!$A$1:$F$151,6,FALSE())</f>
        <v>1</v>
      </c>
      <c r="J10" s="119">
        <f>VLOOKUP(B10,All_Ingredients!$A$1:$J$151,10,FALSE())</f>
        <v>30</v>
      </c>
      <c r="K10" s="122">
        <f t="shared" si="5"/>
        <v>0.11327768041237114</v>
      </c>
      <c r="L10" s="122">
        <f t="shared" si="6"/>
        <v>3.3983304123711342</v>
      </c>
    </row>
    <row r="11" spans="1:33" ht="14.25" customHeight="1" x14ac:dyDescent="0.3">
      <c r="A11" s="128" t="s">
        <v>97</v>
      </c>
      <c r="B11" s="267" t="s">
        <v>96</v>
      </c>
      <c r="C11" s="115" t="s">
        <v>14</v>
      </c>
      <c r="D11" s="125">
        <v>5</v>
      </c>
      <c r="E11" s="197">
        <f t="shared" si="4"/>
        <v>11.327768041237114</v>
      </c>
      <c r="F11" s="299">
        <v>0.75</v>
      </c>
      <c r="G11" s="119">
        <f t="shared" si="0"/>
        <v>56.63884020618557</v>
      </c>
      <c r="H11" s="120">
        <f t="shared" si="1"/>
        <v>42.479130154639179</v>
      </c>
      <c r="I11" s="81">
        <f>VLOOKUP(B11,All_Ingredients!$A$1:$F$151,6,FALSE())</f>
        <v>1</v>
      </c>
      <c r="J11" s="119">
        <f>VLOOKUP(B11,All_Ingredients!$A$1:$J$151,10,FALSE())</f>
        <v>0.74</v>
      </c>
      <c r="K11" s="122">
        <f t="shared" si="5"/>
        <v>4.247913015463918E-2</v>
      </c>
      <c r="L11" s="122">
        <f t="shared" si="6"/>
        <v>3.1434556314432996E-2</v>
      </c>
    </row>
    <row r="12" spans="1:33" ht="14.25" customHeight="1" x14ac:dyDescent="0.3">
      <c r="A12" s="128" t="s">
        <v>158</v>
      </c>
      <c r="B12" s="267" t="s">
        <v>164</v>
      </c>
      <c r="C12" s="115" t="s">
        <v>165</v>
      </c>
      <c r="D12" s="273">
        <v>400</v>
      </c>
      <c r="E12" s="197">
        <f t="shared" si="4"/>
        <v>11.327768041237114</v>
      </c>
      <c r="F12" s="299">
        <v>1</v>
      </c>
      <c r="G12" s="119">
        <f t="shared" si="0"/>
        <v>4531.1072164948455</v>
      </c>
      <c r="H12" s="120">
        <f t="shared" si="1"/>
        <v>4531.1072164948455</v>
      </c>
      <c r="I12" s="81">
        <f>VLOOKUP(B12,All_Ingredients!$A$1:$F$151,6,FALSE())</f>
        <v>1</v>
      </c>
      <c r="J12" s="119">
        <f>VLOOKUP(B12,All_Ingredients!$A$1:$J$151,10,FALSE())</f>
        <v>4.2033333333333331</v>
      </c>
      <c r="K12" s="122">
        <f t="shared" si="5"/>
        <v>4.5311072164948456</v>
      </c>
      <c r="L12" s="122">
        <f t="shared" si="6"/>
        <v>19.045753999999999</v>
      </c>
    </row>
    <row r="13" spans="1:33" ht="14.25" customHeight="1" x14ac:dyDescent="0.3">
      <c r="A13" s="128" t="s">
        <v>210</v>
      </c>
      <c r="B13" s="267" t="s">
        <v>209</v>
      </c>
      <c r="C13" s="115" t="s">
        <v>14</v>
      </c>
      <c r="D13" s="125">
        <v>300</v>
      </c>
      <c r="E13" s="197">
        <f t="shared" si="4"/>
        <v>11.327768041237114</v>
      </c>
      <c r="F13" s="299">
        <v>1</v>
      </c>
      <c r="G13" s="119">
        <f t="shared" si="0"/>
        <v>3398.3304123711341</v>
      </c>
      <c r="H13" s="120">
        <f t="shared" si="1"/>
        <v>3398.3304123711341</v>
      </c>
      <c r="I13" s="81">
        <f>VLOOKUP(B13,All_Ingredients!$A$1:$F$151,6,FALSE())</f>
        <v>1</v>
      </c>
      <c r="J13" s="119">
        <f>VLOOKUP(B13,All_Ingredients!$A$1:$J$151,10,FALSE())</f>
        <v>0</v>
      </c>
      <c r="K13" s="122">
        <f t="shared" si="5"/>
        <v>3.3983304123711342</v>
      </c>
      <c r="L13" s="122">
        <f t="shared" si="6"/>
        <v>0</v>
      </c>
    </row>
    <row r="14" spans="1:33" ht="14.25" customHeight="1" x14ac:dyDescent="0.3">
      <c r="A14" s="128" t="s">
        <v>97</v>
      </c>
      <c r="B14" s="267" t="s">
        <v>102</v>
      </c>
      <c r="C14" s="115" t="s">
        <v>14</v>
      </c>
      <c r="D14" s="125">
        <v>2</v>
      </c>
      <c r="E14" s="197">
        <f t="shared" si="4"/>
        <v>11.327768041237114</v>
      </c>
      <c r="F14" s="299">
        <v>0.75</v>
      </c>
      <c r="G14" s="119">
        <f t="shared" si="0"/>
        <v>22.655536082474228</v>
      </c>
      <c r="H14" s="120">
        <f t="shared" si="1"/>
        <v>16.991652061855671</v>
      </c>
      <c r="I14" s="81">
        <f>VLOOKUP(B14,All_Ingredients!$A$1:$F$151,6,FALSE())</f>
        <v>1</v>
      </c>
      <c r="J14" s="119">
        <f>VLOOKUP(B14,All_Ingredients!$A$1:$J$151,10,FALSE())</f>
        <v>31</v>
      </c>
      <c r="K14" s="122">
        <f t="shared" si="5"/>
        <v>1.6991652061855669E-2</v>
      </c>
      <c r="L14" s="122">
        <f t="shared" si="6"/>
        <v>0.52674121391752571</v>
      </c>
    </row>
    <row r="15" spans="1:33" ht="14.25" customHeight="1" x14ac:dyDescent="0.3">
      <c r="A15" s="128" t="s">
        <v>97</v>
      </c>
      <c r="B15" s="267" t="s">
        <v>144</v>
      </c>
      <c r="C15" s="115" t="s">
        <v>14</v>
      </c>
      <c r="D15" s="273">
        <v>10</v>
      </c>
      <c r="E15" s="197">
        <f t="shared" si="4"/>
        <v>11.327768041237114</v>
      </c>
      <c r="F15" s="299">
        <v>0.6</v>
      </c>
      <c r="G15" s="119">
        <f t="shared" si="0"/>
        <v>113.27768041237114</v>
      </c>
      <c r="H15" s="120">
        <f t="shared" si="1"/>
        <v>67.966608247422684</v>
      </c>
      <c r="I15" s="81">
        <f>VLOOKUP(B15,All_Ingredients!$A$1:$F$151,6,FALSE())</f>
        <v>1</v>
      </c>
      <c r="J15" s="119">
        <f>VLOOKUP(B15,All_Ingredients!$A$1:$J$151,10,FALSE())</f>
        <v>15.277777777777779</v>
      </c>
      <c r="K15" s="122">
        <f t="shared" si="5"/>
        <v>6.7966608247422677E-2</v>
      </c>
      <c r="L15" s="122">
        <f t="shared" si="6"/>
        <v>1.0383787371134021</v>
      </c>
    </row>
    <row r="16" spans="1:33" ht="14.25" customHeight="1" x14ac:dyDescent="0.3">
      <c r="A16" s="128" t="s">
        <v>220</v>
      </c>
      <c r="B16" s="267" t="s">
        <v>222</v>
      </c>
      <c r="C16" s="115" t="s">
        <v>14</v>
      </c>
      <c r="D16" s="125">
        <v>1</v>
      </c>
      <c r="E16" s="197">
        <f t="shared" si="4"/>
        <v>11.327768041237114</v>
      </c>
      <c r="F16" s="299">
        <v>0.9</v>
      </c>
      <c r="G16" s="119">
        <f t="shared" si="0"/>
        <v>11.327768041237114</v>
      </c>
      <c r="H16" s="120">
        <f t="shared" si="1"/>
        <v>10.194991237113403</v>
      </c>
      <c r="I16" s="81">
        <f>VLOOKUP(B16,All_Ingredients!$A$1:$F$151,6,FALSE())</f>
        <v>1</v>
      </c>
      <c r="J16" s="119">
        <f>VLOOKUP(B16,All_Ingredients!$A$1:$J$151,10,FALSE())</f>
        <v>40</v>
      </c>
      <c r="K16" s="122">
        <f t="shared" si="5"/>
        <v>1.0194991237113402E-2</v>
      </c>
      <c r="L16" s="122">
        <f t="shared" si="6"/>
        <v>0.40779964948453606</v>
      </c>
    </row>
    <row r="17" spans="1:30" ht="14.25" customHeight="1" x14ac:dyDescent="0.3">
      <c r="A17" s="128" t="s">
        <v>97</v>
      </c>
      <c r="B17" s="222" t="s">
        <v>100</v>
      </c>
      <c r="C17" s="115" t="s">
        <v>14</v>
      </c>
      <c r="D17" s="125">
        <v>2</v>
      </c>
      <c r="E17" s="197">
        <f t="shared" si="4"/>
        <v>11.327768041237114</v>
      </c>
      <c r="F17" s="299">
        <v>1</v>
      </c>
      <c r="G17" s="119">
        <f t="shared" si="0"/>
        <v>22.655536082474228</v>
      </c>
      <c r="H17" s="120">
        <f t="shared" si="1"/>
        <v>22.655536082474228</v>
      </c>
      <c r="I17" s="81">
        <f>VLOOKUP(B17,All_Ingredients!$A$1:$F$151,6,FALSE())</f>
        <v>1</v>
      </c>
      <c r="J17" s="119">
        <f>VLOOKUP(B17,All_Ingredients!$A$1:$J$151,10,FALSE())</f>
        <v>38</v>
      </c>
      <c r="K17" s="122">
        <f t="shared" si="5"/>
        <v>2.2655536082474229E-2</v>
      </c>
      <c r="L17" s="122">
        <f t="shared" si="6"/>
        <v>0.86091037113402069</v>
      </c>
    </row>
    <row r="18" spans="1:30" ht="14.25" customHeight="1" x14ac:dyDescent="0.3">
      <c r="A18" s="128" t="s">
        <v>97</v>
      </c>
      <c r="B18" s="222" t="s">
        <v>124</v>
      </c>
      <c r="C18" s="115" t="s">
        <v>14</v>
      </c>
      <c r="D18" s="125">
        <v>2</v>
      </c>
      <c r="E18" s="197">
        <f t="shared" si="4"/>
        <v>11.327768041237114</v>
      </c>
      <c r="F18" s="299">
        <v>1</v>
      </c>
      <c r="G18" s="119">
        <f t="shared" si="0"/>
        <v>22.655536082474228</v>
      </c>
      <c r="H18" s="120">
        <f t="shared" si="1"/>
        <v>22.655536082474228</v>
      </c>
      <c r="I18" s="81">
        <f>VLOOKUP(B18,All_Ingredients!$A$1:$F$151,6,FALSE())</f>
        <v>1</v>
      </c>
      <c r="J18" s="119">
        <f>VLOOKUP(B18,All_Ingredients!$A$1:$J$151,10,FALSE())</f>
        <v>15</v>
      </c>
      <c r="K18" s="122">
        <f t="shared" si="5"/>
        <v>2.2655536082474229E-2</v>
      </c>
      <c r="L18" s="122">
        <f t="shared" si="6"/>
        <v>0.33983304123711344</v>
      </c>
    </row>
    <row r="19" spans="1:30" ht="14.25" customHeight="1" x14ac:dyDescent="0.3">
      <c r="A19" s="128" t="s">
        <v>97</v>
      </c>
      <c r="B19" s="222" t="s">
        <v>106</v>
      </c>
      <c r="C19" s="115" t="s">
        <v>14</v>
      </c>
      <c r="D19" s="125">
        <v>2</v>
      </c>
      <c r="E19" s="197">
        <f t="shared" si="4"/>
        <v>11.327768041237114</v>
      </c>
      <c r="F19" s="299">
        <v>1</v>
      </c>
      <c r="G19" s="119">
        <f t="shared" si="0"/>
        <v>22.655536082474228</v>
      </c>
      <c r="H19" s="120">
        <f t="shared" si="1"/>
        <v>22.655536082474228</v>
      </c>
      <c r="I19" s="81">
        <f>VLOOKUP(B19,All_Ingredients!$A$1:$F$151,6,FALSE())</f>
        <v>1</v>
      </c>
      <c r="J19" s="119">
        <f>VLOOKUP(B19,All_Ingredients!$A$1:$J$151,10,FALSE())</f>
        <v>19</v>
      </c>
      <c r="K19" s="122">
        <f t="shared" si="5"/>
        <v>2.2655536082474229E-2</v>
      </c>
      <c r="L19" s="122">
        <f t="shared" si="6"/>
        <v>0.43045518556701035</v>
      </c>
    </row>
    <row r="20" spans="1:30" ht="14.25" customHeight="1" x14ac:dyDescent="0.3">
      <c r="A20" s="128" t="s">
        <v>97</v>
      </c>
      <c r="B20" s="222" t="s">
        <v>128</v>
      </c>
      <c r="C20" s="115" t="s">
        <v>14</v>
      </c>
      <c r="D20" s="125">
        <v>2</v>
      </c>
      <c r="E20" s="197">
        <f t="shared" si="4"/>
        <v>11.327768041237114</v>
      </c>
      <c r="F20" s="299">
        <v>1</v>
      </c>
      <c r="G20" s="119">
        <f t="shared" si="0"/>
        <v>22.655536082474228</v>
      </c>
      <c r="H20" s="120">
        <f t="shared" si="1"/>
        <v>22.655536082474228</v>
      </c>
      <c r="I20" s="81">
        <f>VLOOKUP(B20,All_Ingredients!$A$1:$F$151,6,FALSE())</f>
        <v>1</v>
      </c>
      <c r="J20" s="119">
        <f>VLOOKUP(B20,All_Ingredients!$A$1:$J$151,10,FALSE())</f>
        <v>37</v>
      </c>
      <c r="K20" s="122">
        <f t="shared" si="5"/>
        <v>2.2655536082474229E-2</v>
      </c>
      <c r="L20" s="122">
        <f t="shared" si="6"/>
        <v>0.83825483505154652</v>
      </c>
    </row>
    <row r="21" spans="1:30" ht="14.25" customHeight="1" x14ac:dyDescent="0.3">
      <c r="A21" s="128" t="s">
        <v>97</v>
      </c>
      <c r="B21" s="222" t="s">
        <v>130</v>
      </c>
      <c r="C21" s="115" t="s">
        <v>14</v>
      </c>
      <c r="D21" s="125">
        <v>2</v>
      </c>
      <c r="E21" s="197">
        <f t="shared" si="4"/>
        <v>11.327768041237114</v>
      </c>
      <c r="F21" s="299">
        <v>1</v>
      </c>
      <c r="G21" s="119">
        <f t="shared" si="0"/>
        <v>22.655536082474228</v>
      </c>
      <c r="H21" s="120">
        <f t="shared" si="1"/>
        <v>22.655536082474228</v>
      </c>
      <c r="I21" s="81">
        <f>VLOOKUP(B21,All_Ingredients!$A$1:$F$151,6,FALSE())</f>
        <v>1</v>
      </c>
      <c r="J21" s="119">
        <f>VLOOKUP(B21,All_Ingredients!$A$1:$J$151,10,FALSE())</f>
        <v>125</v>
      </c>
      <c r="K21" s="122">
        <f t="shared" si="5"/>
        <v>2.2655536082474229E-2</v>
      </c>
      <c r="L21" s="122">
        <f t="shared" si="6"/>
        <v>2.8319420103092785</v>
      </c>
      <c r="Q21" s="129" t="s">
        <v>407</v>
      </c>
    </row>
    <row r="22" spans="1:30" ht="14.25" customHeight="1" x14ac:dyDescent="0.3">
      <c r="A22" s="128" t="s">
        <v>97</v>
      </c>
      <c r="B22" s="222" t="s">
        <v>134</v>
      </c>
      <c r="C22" s="115" t="s">
        <v>14</v>
      </c>
      <c r="D22" s="125">
        <v>2</v>
      </c>
      <c r="E22" s="197">
        <f t="shared" si="4"/>
        <v>11.327768041237114</v>
      </c>
      <c r="F22" s="299">
        <v>1</v>
      </c>
      <c r="G22" s="119">
        <f t="shared" si="0"/>
        <v>22.655536082474228</v>
      </c>
      <c r="H22" s="120">
        <f t="shared" si="1"/>
        <v>22.655536082474228</v>
      </c>
      <c r="I22" s="81">
        <f>VLOOKUP(B22,All_Ingredients!$A$1:$F$151,6,FALSE())</f>
        <v>1</v>
      </c>
      <c r="J22" s="119">
        <f>VLOOKUP(B22,All_Ingredients!$A$1:$J$151,10,FALSE())</f>
        <v>31.5</v>
      </c>
      <c r="K22" s="122">
        <f t="shared" si="5"/>
        <v>2.2655536082474229E-2</v>
      </c>
      <c r="L22" s="122">
        <f t="shared" si="6"/>
        <v>0.7136493865979382</v>
      </c>
    </row>
    <row r="23" spans="1:30" ht="14.25" customHeight="1" x14ac:dyDescent="0.3">
      <c r="A23" s="128" t="s">
        <v>63</v>
      </c>
      <c r="B23" s="222" t="s">
        <v>822</v>
      </c>
      <c r="C23" s="115" t="s">
        <v>14</v>
      </c>
      <c r="D23" s="125">
        <v>2</v>
      </c>
      <c r="E23" s="197">
        <f t="shared" si="4"/>
        <v>11.327768041237114</v>
      </c>
      <c r="F23" s="299">
        <v>1</v>
      </c>
      <c r="G23" s="119">
        <f t="shared" si="0"/>
        <v>22.655536082474228</v>
      </c>
      <c r="H23" s="120">
        <f t="shared" si="1"/>
        <v>22.655536082474228</v>
      </c>
      <c r="I23" s="81">
        <f>VLOOKUP(B23,All_Ingredients!$A$1:$F$151,6,FALSE())</f>
        <v>0.74</v>
      </c>
      <c r="J23" s="119">
        <f>VLOOKUP(B23,All_Ingredients!$A$1:$J$151,10,FALSE())</f>
        <v>100</v>
      </c>
      <c r="K23" s="122">
        <f t="shared" si="5"/>
        <v>3.0615589300640848E-2</v>
      </c>
      <c r="L23" s="122">
        <f t="shared" si="6"/>
        <v>3.0615589300640846</v>
      </c>
    </row>
    <row r="24" spans="1:30" ht="14.25" customHeight="1" x14ac:dyDescent="0.3">
      <c r="A24" s="128" t="s">
        <v>83</v>
      </c>
      <c r="B24" s="222" t="s">
        <v>93</v>
      </c>
      <c r="C24" s="115" t="s">
        <v>14</v>
      </c>
      <c r="D24" s="125">
        <v>2</v>
      </c>
      <c r="E24" s="197">
        <f t="shared" si="4"/>
        <v>11.327768041237114</v>
      </c>
      <c r="F24" s="299">
        <v>1</v>
      </c>
      <c r="G24" s="455">
        <f t="shared" si="0"/>
        <v>22.655536082474228</v>
      </c>
      <c r="H24" s="449">
        <f t="shared" si="1"/>
        <v>22.655536082474228</v>
      </c>
      <c r="I24" s="81">
        <f>VLOOKUP(B24,All_Ingredients!$A$1:$F$151,6,FALSE())</f>
        <v>1</v>
      </c>
      <c r="J24" s="119">
        <f>VLOOKUP(B24,All_Ingredients!$A$1:$J$151,10,FALSE())</f>
        <v>3.04</v>
      </c>
      <c r="K24" s="122">
        <f t="shared" si="5"/>
        <v>2.2655536082474229E-2</v>
      </c>
      <c r="L24" s="122">
        <f t="shared" si="6"/>
        <v>6.8872829690721657E-2</v>
      </c>
      <c r="Z24" s="1234"/>
    </row>
    <row r="25" spans="1:30" ht="14.25" customHeight="1" x14ac:dyDescent="0.35">
      <c r="A25" s="128" t="s">
        <v>97</v>
      </c>
      <c r="B25" s="267" t="s">
        <v>96</v>
      </c>
      <c r="C25" s="115" t="s">
        <v>14</v>
      </c>
      <c r="D25" s="125">
        <v>5</v>
      </c>
      <c r="E25" s="197">
        <f t="shared" si="4"/>
        <v>11.327768041237114</v>
      </c>
      <c r="F25" s="299">
        <v>1</v>
      </c>
      <c r="G25" s="119">
        <f t="shared" si="0"/>
        <v>56.63884020618557</v>
      </c>
      <c r="H25" s="120">
        <f t="shared" si="1"/>
        <v>56.63884020618557</v>
      </c>
      <c r="I25" s="81">
        <f>VLOOKUP(B25,All_Ingredients!$A$1:$F$151,6,FALSE())</f>
        <v>1</v>
      </c>
      <c r="J25" s="119">
        <f>VLOOKUP(B25,All_Ingredients!$A$1:$J$151,10,FALSE())</f>
        <v>0.74</v>
      </c>
      <c r="K25" s="122">
        <f t="shared" si="5"/>
        <v>5.6638840206185571E-2</v>
      </c>
      <c r="L25" s="122">
        <f t="shared" si="6"/>
        <v>4.1912741752577323E-2</v>
      </c>
      <c r="R25" s="1411" t="s">
        <v>406</v>
      </c>
      <c r="S25" s="1388"/>
      <c r="T25" s="1388"/>
      <c r="U25" s="1388"/>
      <c r="Z25" s="141" t="s">
        <v>264</v>
      </c>
      <c r="AA25" s="142">
        <v>150</v>
      </c>
      <c r="AB25" s="141" t="s">
        <v>261</v>
      </c>
      <c r="AC25" s="143">
        <f>AD30*AA25</f>
        <v>10.807146089720272</v>
      </c>
    </row>
    <row r="26" spans="1:30" ht="14.25" customHeight="1" x14ac:dyDescent="0.3">
      <c r="B26" s="100"/>
      <c r="C26" s="171"/>
      <c r="D26" s="171"/>
      <c r="E26" s="100"/>
      <c r="F26" s="100"/>
      <c r="G26" s="361"/>
      <c r="H26" s="362"/>
      <c r="L26" s="297"/>
      <c r="R26" s="1423" t="s">
        <v>373</v>
      </c>
      <c r="S26" s="1388"/>
      <c r="T26" s="1388"/>
      <c r="U26" s="1388"/>
    </row>
    <row r="27" spans="1:30" ht="14.25" customHeight="1" thickBot="1" x14ac:dyDescent="0.35">
      <c r="L27" s="297"/>
      <c r="R27" s="231" t="s">
        <v>266</v>
      </c>
      <c r="S27" s="456" t="s">
        <v>310</v>
      </c>
      <c r="T27" s="456" t="s">
        <v>268</v>
      </c>
      <c r="U27" s="456" t="s">
        <v>269</v>
      </c>
      <c r="V27" s="146" t="s">
        <v>848</v>
      </c>
      <c r="Z27" s="141" t="s">
        <v>270</v>
      </c>
      <c r="AA27" s="147" t="s">
        <v>271</v>
      </c>
      <c r="AB27" s="147" t="s">
        <v>272</v>
      </c>
      <c r="AC27" s="1186" t="s">
        <v>848</v>
      </c>
      <c r="AD27" s="147" t="s">
        <v>274</v>
      </c>
    </row>
    <row r="28" spans="1:30" ht="14.25" customHeight="1" thickBot="1" x14ac:dyDescent="0.35">
      <c r="R28" s="144" t="s">
        <v>275</v>
      </c>
      <c r="S28" s="1375">
        <f>U28*S40</f>
        <v>22723.415000000001</v>
      </c>
      <c r="T28" s="1375">
        <f>U28*U40</f>
        <v>10826.584999999999</v>
      </c>
      <c r="U28" s="1378">
        <f>$Z$1</f>
        <v>33550</v>
      </c>
      <c r="V28" s="149">
        <f>SUM(H37:H38)</f>
        <v>468</v>
      </c>
      <c r="Z28" s="151"/>
      <c r="AA28" s="152">
        <f>AA25*$S$40</f>
        <v>101.595</v>
      </c>
      <c r="AB28" s="152">
        <f>AA25*$U$40</f>
        <v>48.405000000000001</v>
      </c>
      <c r="AC28" s="1188"/>
      <c r="AD28" s="154">
        <f>SUM(AA28:AC28)</f>
        <v>150</v>
      </c>
    </row>
    <row r="29" spans="1:30" ht="14.25" customHeight="1" thickBot="1" x14ac:dyDescent="0.35">
      <c r="R29" s="144" t="s">
        <v>408</v>
      </c>
      <c r="S29" s="1376"/>
      <c r="T29" s="1375"/>
      <c r="U29" s="228">
        <f>T29</f>
        <v>0</v>
      </c>
      <c r="V29" s="149"/>
      <c r="Z29" s="151"/>
      <c r="AA29" s="156">
        <f>AA28/$AD$28</f>
        <v>0.67730000000000001</v>
      </c>
      <c r="AB29" s="156">
        <f>AB28/$AD$28</f>
        <v>0.32269999999999999</v>
      </c>
      <c r="AC29" s="1192"/>
      <c r="AD29" s="156">
        <f>AD28/$AD$28</f>
        <v>1</v>
      </c>
    </row>
    <row r="30" spans="1:30" ht="14.25" customHeight="1" thickBot="1" x14ac:dyDescent="0.35">
      <c r="R30" s="144" t="s">
        <v>277</v>
      </c>
      <c r="S30" s="1377">
        <f>U30*S40</f>
        <v>338.65000000000003</v>
      </c>
      <c r="T30" s="1377">
        <f>U30*U40</f>
        <v>161.35</v>
      </c>
      <c r="U30" s="1378">
        <f>$AB$1</f>
        <v>500</v>
      </c>
      <c r="V30" s="1143"/>
      <c r="Z30" s="141" t="s">
        <v>278</v>
      </c>
      <c r="AA30" s="157">
        <f>S35/(S32)</f>
        <v>9.8948670377241796E-2</v>
      </c>
      <c r="AB30" s="158">
        <f>T35/T32</f>
        <v>1.1327105089625708E-2</v>
      </c>
      <c r="AC30" s="1199">
        <f>V35/U32</f>
        <v>1.3744493392070485E-3</v>
      </c>
      <c r="AD30" s="1201">
        <f>SUMPRODUCT(AA30:AB30,AA29:AB29)+AC30</f>
        <v>7.2047640598135149E-2</v>
      </c>
    </row>
    <row r="31" spans="1:30" ht="14.25" customHeight="1" thickBot="1" x14ac:dyDescent="0.35">
      <c r="R31" s="144" t="s">
        <v>279</v>
      </c>
      <c r="S31" s="230"/>
      <c r="T31" s="228"/>
      <c r="U31" s="228"/>
      <c r="V31" s="149"/>
    </row>
    <row r="32" spans="1:30" ht="14.25" customHeight="1" thickBot="1" x14ac:dyDescent="0.35">
      <c r="R32" s="236" t="s">
        <v>269</v>
      </c>
      <c r="S32" s="228">
        <f>SUM(S28:S30)</f>
        <v>23062.065000000002</v>
      </c>
      <c r="T32" s="228">
        <f>SUM(T28:T30)</f>
        <v>10987.934999999999</v>
      </c>
      <c r="U32" s="228">
        <f>SUM(U28:U30)</f>
        <v>34050</v>
      </c>
      <c r="V32" s="149">
        <f>SUM(V28:V30)</f>
        <v>468</v>
      </c>
    </row>
    <row r="33" spans="2:23" ht="14.25" customHeight="1" thickBot="1" x14ac:dyDescent="0.35">
      <c r="B33" s="100"/>
      <c r="E33" s="100"/>
      <c r="F33" s="100"/>
      <c r="R33" s="237" t="s">
        <v>280</v>
      </c>
      <c r="S33" s="230"/>
      <c r="T33" s="230"/>
      <c r="U33" s="230"/>
      <c r="V33" s="155"/>
    </row>
    <row r="34" spans="2:23" ht="14.25" customHeight="1" thickBot="1" x14ac:dyDescent="0.35">
      <c r="B34" s="100"/>
      <c r="E34" s="100"/>
      <c r="F34" s="100"/>
      <c r="R34" s="238" t="s">
        <v>281</v>
      </c>
      <c r="S34" s="230"/>
      <c r="T34" s="228"/>
      <c r="U34" s="230"/>
      <c r="V34" s="155"/>
    </row>
    <row r="35" spans="2:23" ht="14.25" customHeight="1" thickBot="1" x14ac:dyDescent="0.35">
      <c r="B35" s="1394" t="s">
        <v>694</v>
      </c>
      <c r="C35" s="1394"/>
      <c r="D35" s="1394"/>
      <c r="E35" s="1394"/>
      <c r="F35" s="1394"/>
      <c r="G35" s="882"/>
      <c r="H35" s="882"/>
      <c r="I35" s="889"/>
      <c r="J35" s="889"/>
      <c r="K35" s="889"/>
      <c r="L35" s="889"/>
      <c r="R35" s="163" t="s">
        <v>261</v>
      </c>
      <c r="S35" s="164">
        <f>$L$5</f>
        <v>2281.9606679035251</v>
      </c>
      <c r="T35" s="164">
        <f>SUM(L6:L24)</f>
        <v>124.46149446297646</v>
      </c>
      <c r="U35" s="1238">
        <f>S35+T35+V35</f>
        <v>2453.2221623665018</v>
      </c>
      <c r="V35" s="1203">
        <f>SUM(L37:L38)</f>
        <v>46.800000000000004</v>
      </c>
    </row>
    <row r="36" spans="2:23" ht="44.75" customHeight="1" x14ac:dyDescent="0.45">
      <c r="B36" s="860" t="s">
        <v>253</v>
      </c>
      <c r="C36" s="860" t="s">
        <v>329</v>
      </c>
      <c r="D36" s="862" t="s">
        <v>671</v>
      </c>
      <c r="E36" s="859" t="s">
        <v>672</v>
      </c>
      <c r="F36" s="862" t="s">
        <v>673</v>
      </c>
      <c r="G36" s="882"/>
      <c r="H36" s="862" t="s">
        <v>673</v>
      </c>
      <c r="I36" s="862" t="s">
        <v>258</v>
      </c>
      <c r="J36" s="862" t="s">
        <v>259</v>
      </c>
      <c r="K36" s="862" t="s">
        <v>260</v>
      </c>
      <c r="L36" s="862" t="s">
        <v>261</v>
      </c>
      <c r="Q36" s="457"/>
    </row>
    <row r="37" spans="2:23" ht="14.25" customHeight="1" x14ac:dyDescent="0.3">
      <c r="B37" s="855" t="s">
        <v>764</v>
      </c>
      <c r="C37" s="856" t="s">
        <v>14</v>
      </c>
      <c r="D37" s="857">
        <v>1</v>
      </c>
      <c r="E37" s="855">
        <f>$AD$1</f>
        <v>234</v>
      </c>
      <c r="F37" s="855">
        <f>D37*E37</f>
        <v>234</v>
      </c>
      <c r="G37" s="881"/>
      <c r="H37" s="855">
        <f>F37</f>
        <v>234</v>
      </c>
      <c r="I37" s="855">
        <f>VLOOKUP(B37,All_Ingredients!$A$1:$F$151,6,FALSE())</f>
        <v>1</v>
      </c>
      <c r="J37" s="855">
        <f>VLOOKUP(B37,All_Ingredients!$A$1:$J$151,10,FALSE())</f>
        <v>160</v>
      </c>
      <c r="K37" s="855">
        <f>(H37/I37)/1000</f>
        <v>0.23400000000000001</v>
      </c>
      <c r="L37" s="855">
        <f t="shared" ref="L37" si="7">K37*J37</f>
        <v>37.440000000000005</v>
      </c>
      <c r="Q37" s="413"/>
    </row>
    <row r="38" spans="2:23" ht="14.25" customHeight="1" x14ac:dyDescent="0.3">
      <c r="B38" s="855" t="s">
        <v>765</v>
      </c>
      <c r="C38" s="856" t="s">
        <v>14</v>
      </c>
      <c r="D38" s="857">
        <v>1</v>
      </c>
      <c r="E38" s="855">
        <f>$AD$1</f>
        <v>234</v>
      </c>
      <c r="F38" s="855">
        <f>D38*E38</f>
        <v>234</v>
      </c>
      <c r="H38" s="855">
        <f>F38</f>
        <v>234</v>
      </c>
      <c r="I38" s="855">
        <f>VLOOKUP(B38,All_Ingredients!$A$1:$F$151,6,FALSE())</f>
        <v>1</v>
      </c>
      <c r="J38" s="855">
        <f>VLOOKUP(B38,All_Ingredients!$A$1:$J$151,10,FALSE())</f>
        <v>40</v>
      </c>
      <c r="K38" s="855">
        <f>(H38/I38)/1000</f>
        <v>0.23400000000000001</v>
      </c>
      <c r="L38" s="855">
        <f t="shared" ref="L38" si="8">K38*J38</f>
        <v>9.3600000000000012</v>
      </c>
      <c r="U38" s="458"/>
    </row>
    <row r="40" spans="2:23" ht="19.25" customHeight="1" x14ac:dyDescent="0.3">
      <c r="R40" s="165" t="s">
        <v>282</v>
      </c>
      <c r="S40" s="166">
        <v>0.67730000000000001</v>
      </c>
      <c r="T40" s="165" t="s">
        <v>283</v>
      </c>
      <c r="U40" s="167">
        <v>0.32269999999999999</v>
      </c>
      <c r="V40" s="168">
        <f>S40+U40</f>
        <v>1</v>
      </c>
    </row>
    <row r="41" spans="2:23" ht="14.25" customHeight="1" x14ac:dyDescent="0.3">
      <c r="U41" s="169"/>
    </row>
    <row r="43" spans="2:23" ht="14.25" customHeight="1" x14ac:dyDescent="0.3">
      <c r="Q43" s="170" t="s">
        <v>284</v>
      </c>
      <c r="R43" s="170" t="s">
        <v>285</v>
      </c>
      <c r="S43" s="170" t="s">
        <v>286</v>
      </c>
      <c r="T43" s="170" t="s">
        <v>287</v>
      </c>
      <c r="U43" s="170" t="s">
        <v>288</v>
      </c>
      <c r="V43" s="170" t="s">
        <v>289</v>
      </c>
      <c r="W43" s="258" t="s">
        <v>290</v>
      </c>
    </row>
    <row r="44" spans="2:23" ht="14.25" customHeight="1" x14ac:dyDescent="0.3">
      <c r="Q44" s="172">
        <v>30990</v>
      </c>
      <c r="R44" s="173">
        <f>$D$51</f>
        <v>10000</v>
      </c>
      <c r="S44" s="241">
        <v>1</v>
      </c>
      <c r="T44" s="174">
        <v>0</v>
      </c>
      <c r="U44" s="242">
        <f>R44*S44</f>
        <v>10000</v>
      </c>
      <c r="V44" s="176">
        <f>R44*T44</f>
        <v>0</v>
      </c>
      <c r="W44" s="260">
        <f>Q44-U44</f>
        <v>20990</v>
      </c>
    </row>
    <row r="50" spans="1:17" x14ac:dyDescent="0.3">
      <c r="B50" s="145"/>
      <c r="C50" s="145" t="s">
        <v>245</v>
      </c>
      <c r="D50" s="145" t="s">
        <v>291</v>
      </c>
      <c r="E50" s="183"/>
      <c r="F50" s="100"/>
      <c r="G50" s="145" t="s">
        <v>292</v>
      </c>
      <c r="H50" s="145" t="s">
        <v>245</v>
      </c>
      <c r="I50" s="145" t="s">
        <v>293</v>
      </c>
      <c r="J50" s="145" t="s">
        <v>294</v>
      </c>
    </row>
    <row r="51" spans="1:17" x14ac:dyDescent="0.3">
      <c r="B51" s="180" t="s">
        <v>295</v>
      </c>
      <c r="C51" s="181">
        <f>10/$K$1</f>
        <v>10.309278350515465</v>
      </c>
      <c r="D51" s="182">
        <f>$C$1*10</f>
        <v>10000</v>
      </c>
      <c r="E51" s="183"/>
      <c r="F51" s="100"/>
      <c r="G51" s="180" t="s">
        <v>295</v>
      </c>
      <c r="H51" s="277">
        <f>I51/$D$5</f>
        <v>10</v>
      </c>
      <c r="I51" s="181">
        <f>J51/$R$1</f>
        <v>42836.734693877552</v>
      </c>
      <c r="J51" s="181">
        <f>$W$44</f>
        <v>20990</v>
      </c>
    </row>
    <row r="52" spans="1:17" ht="14.25" customHeight="1" x14ac:dyDescent="0.3">
      <c r="B52" s="231" t="s">
        <v>274</v>
      </c>
      <c r="C52" s="232">
        <f>$I$1</f>
        <v>11.327768041237114</v>
      </c>
      <c r="D52" s="233">
        <f>$E$1</f>
        <v>10987.934999999999</v>
      </c>
      <c r="E52" s="100"/>
      <c r="F52" s="100"/>
      <c r="G52" s="148" t="s">
        <v>274</v>
      </c>
      <c r="H52" s="210">
        <f>I52/$D$5</f>
        <v>10.987167698904241</v>
      </c>
      <c r="I52" s="176">
        <f>J52/$R$1</f>
        <v>47065.438775510207</v>
      </c>
      <c r="J52" s="184">
        <f>$S$32</f>
        <v>23062.065000000002</v>
      </c>
      <c r="Q52" s="459"/>
    </row>
    <row r="53" spans="1:17" x14ac:dyDescent="0.3">
      <c r="B53" s="231" t="s">
        <v>296</v>
      </c>
      <c r="C53" s="234">
        <f>MIN(C52, C51)</f>
        <v>10.309278350515465</v>
      </c>
      <c r="D53" s="233">
        <f>(C53*$K$1)*$C$1</f>
        <v>10000</v>
      </c>
      <c r="E53" s="100"/>
      <c r="F53" s="100"/>
      <c r="G53" s="148" t="s">
        <v>296</v>
      </c>
      <c r="H53" s="187">
        <f>MIN(H52,H51)</f>
        <v>10</v>
      </c>
      <c r="I53" s="176">
        <f>J53/$R$1</f>
        <v>42836.734693877552</v>
      </c>
      <c r="J53" s="176">
        <f>MIN(J52,J51)</f>
        <v>20990</v>
      </c>
    </row>
    <row r="54" spans="1:17" x14ac:dyDescent="0.3">
      <c r="B54" s="231" t="s">
        <v>297</v>
      </c>
      <c r="C54" s="234">
        <f>MIN(MAX(C52-C53,0),C51)</f>
        <v>1.0184896907216494</v>
      </c>
      <c r="D54" s="233">
        <f>(C54*$K$1)*$C$1</f>
        <v>987.93499999999995</v>
      </c>
      <c r="E54" s="100"/>
      <c r="F54" s="100"/>
      <c r="G54" s="148" t="s">
        <v>297</v>
      </c>
      <c r="H54" s="187">
        <f>MIN(MAX(H52-H53),H51)</f>
        <v>0.98716769890424061</v>
      </c>
      <c r="I54" s="176">
        <f>J54/$R$1</f>
        <v>4228.704081632658</v>
      </c>
      <c r="J54" s="176">
        <f>MIN(MAX(J52-J53),J51)</f>
        <v>2072.0650000000023</v>
      </c>
    </row>
    <row r="55" spans="1:17" x14ac:dyDescent="0.3">
      <c r="B55" s="231" t="s">
        <v>298</v>
      </c>
      <c r="C55" s="234">
        <f>MIN(MAX(C52-C53-C54,0),C51)</f>
        <v>0</v>
      </c>
      <c r="D55" s="233">
        <f>(C55*$K$1)*$C$1</f>
        <v>0</v>
      </c>
      <c r="E55" s="100"/>
      <c r="F55" s="100"/>
      <c r="G55" s="145" t="s">
        <v>298</v>
      </c>
      <c r="H55" s="187">
        <f>MIN(MAX(H52-H53-H54),H51)</f>
        <v>0</v>
      </c>
      <c r="I55" s="176">
        <f>J55/$R$1</f>
        <v>0</v>
      </c>
      <c r="J55" s="176">
        <f>MIN(MAX(J52-J53-J54),J51)</f>
        <v>0</v>
      </c>
    </row>
    <row r="62" spans="1:17" x14ac:dyDescent="0.3">
      <c r="A62" s="937"/>
      <c r="B62" s="1382" t="str">
        <f>"لحم اوريانتل 1 / " &amp; COUNTIF($C$53:$C$55, "&gt;0")</f>
        <v>لحم اوريانتل 1 / 2</v>
      </c>
      <c r="C62" s="1383"/>
      <c r="D62" s="1383"/>
      <c r="E62" s="1383"/>
      <c r="F62" s="1383"/>
      <c r="G62" s="1383"/>
      <c r="H62" s="1383"/>
    </row>
    <row r="63" spans="1:17" ht="17.75" customHeight="1" x14ac:dyDescent="0.3">
      <c r="A63" s="937"/>
      <c r="B63" s="1384" t="str">
        <f>"Laham Oriental 1 / " &amp; COUNTIF($C$53:$C$55, "&gt;0")</f>
        <v>Laham Oriental 1 / 2</v>
      </c>
      <c r="C63" s="1385"/>
      <c r="D63" s="1385"/>
      <c r="E63" s="1385"/>
      <c r="F63" s="1385"/>
      <c r="G63" s="1385"/>
      <c r="H63" s="1385"/>
    </row>
    <row r="64" spans="1:17" ht="41" customHeight="1" x14ac:dyDescent="0.25">
      <c r="A64" s="91"/>
      <c r="B64" s="243" t="s">
        <v>253</v>
      </c>
      <c r="C64" s="244" t="s">
        <v>254</v>
      </c>
      <c r="D64" s="245" t="s">
        <v>243</v>
      </c>
      <c r="E64" s="218" t="s">
        <v>246</v>
      </c>
      <c r="F64" s="218" t="s">
        <v>255</v>
      </c>
      <c r="G64" s="245" t="s">
        <v>256</v>
      </c>
      <c r="H64" s="218" t="s">
        <v>257</v>
      </c>
    </row>
    <row r="65" spans="1:8" ht="17.75" customHeight="1" x14ac:dyDescent="0.3">
      <c r="A65" s="128" t="s">
        <v>230</v>
      </c>
      <c r="B65" s="123" t="str">
        <f t="shared" ref="B65:D85" si="9">B5</f>
        <v>Indian Meat Alana  - لحم هندى ألانا</v>
      </c>
      <c r="C65" s="123" t="str">
        <f t="shared" si="9"/>
        <v>gm</v>
      </c>
      <c r="D65" s="263">
        <f t="shared" si="9"/>
        <v>4283.6734693877552</v>
      </c>
      <c r="E65" s="116">
        <f>H53</f>
        <v>10</v>
      </c>
      <c r="F65" s="299">
        <f t="shared" ref="F65:F85" si="10">F5</f>
        <v>1</v>
      </c>
      <c r="G65" s="119">
        <f t="shared" ref="G65:G84" si="11">D65*E65</f>
        <v>42836.734693877552</v>
      </c>
      <c r="H65" s="120">
        <f t="shared" ref="H65:H84" si="12">G65*F65</f>
        <v>42836.734693877552</v>
      </c>
    </row>
    <row r="66" spans="1:8" x14ac:dyDescent="0.3">
      <c r="A66" s="128" t="s">
        <v>13</v>
      </c>
      <c r="B66" s="123" t="str">
        <f t="shared" si="9"/>
        <v>Onion - بصل</v>
      </c>
      <c r="C66" s="123" t="str">
        <f t="shared" si="9"/>
        <v>gm</v>
      </c>
      <c r="D66" s="123">
        <f t="shared" si="9"/>
        <v>50</v>
      </c>
      <c r="E66" s="116">
        <f t="shared" ref="E66:E85" si="13">$C$53</f>
        <v>10.309278350515465</v>
      </c>
      <c r="F66" s="299">
        <f t="shared" si="10"/>
        <v>0.95</v>
      </c>
      <c r="G66" s="119">
        <f t="shared" si="11"/>
        <v>515.46391752577324</v>
      </c>
      <c r="H66" s="120">
        <f t="shared" si="12"/>
        <v>489.69072164948454</v>
      </c>
    </row>
    <row r="67" spans="1:8" ht="14.25" customHeight="1" x14ac:dyDescent="0.3">
      <c r="A67" s="128" t="s">
        <v>13</v>
      </c>
      <c r="B67" s="123" t="str">
        <f t="shared" si="9"/>
        <v>Garlic - ثوم مقشر</v>
      </c>
      <c r="C67" s="123" t="str">
        <f t="shared" si="9"/>
        <v>gm</v>
      </c>
      <c r="D67" s="123">
        <f t="shared" si="9"/>
        <v>10</v>
      </c>
      <c r="E67" s="116">
        <f t="shared" si="13"/>
        <v>10.309278350515465</v>
      </c>
      <c r="F67" s="299">
        <f t="shared" si="10"/>
        <v>1</v>
      </c>
      <c r="G67" s="119">
        <f t="shared" si="11"/>
        <v>103.09278350515464</v>
      </c>
      <c r="H67" s="120">
        <f t="shared" si="12"/>
        <v>103.09278350515464</v>
      </c>
    </row>
    <row r="68" spans="1:8" ht="14.25" customHeight="1" x14ac:dyDescent="0.3">
      <c r="A68" s="128" t="s">
        <v>196</v>
      </c>
      <c r="B68" s="123" t="str">
        <f t="shared" si="9"/>
        <v>Demi Glaze Sauce - صوص ديمي غلاز</v>
      </c>
      <c r="C68" s="123" t="str">
        <f t="shared" si="9"/>
        <v>gm</v>
      </c>
      <c r="D68" s="123">
        <f t="shared" si="9"/>
        <v>25</v>
      </c>
      <c r="E68" s="116">
        <f t="shared" si="13"/>
        <v>10.309278350515465</v>
      </c>
      <c r="F68" s="299">
        <f t="shared" si="10"/>
        <v>0.9</v>
      </c>
      <c r="G68" s="119">
        <f t="shared" si="11"/>
        <v>257.73195876288662</v>
      </c>
      <c r="H68" s="120">
        <f t="shared" si="12"/>
        <v>231.95876288659795</v>
      </c>
    </row>
    <row r="69" spans="1:8" ht="14.25" customHeight="1" x14ac:dyDescent="0.3">
      <c r="A69" s="128" t="s">
        <v>158</v>
      </c>
      <c r="B69" s="123" t="str">
        <f t="shared" si="9"/>
        <v>Cooking Cream - كريمة طبخ</v>
      </c>
      <c r="C69" s="123" t="str">
        <f t="shared" si="9"/>
        <v>ml</v>
      </c>
      <c r="D69" s="123">
        <f t="shared" si="9"/>
        <v>500</v>
      </c>
      <c r="E69" s="116">
        <f t="shared" si="13"/>
        <v>10.309278350515465</v>
      </c>
      <c r="F69" s="299">
        <f t="shared" si="10"/>
        <v>1</v>
      </c>
      <c r="G69" s="119">
        <f t="shared" si="11"/>
        <v>5154.6391752577319</v>
      </c>
      <c r="H69" s="120">
        <f t="shared" si="12"/>
        <v>5154.6391752577319</v>
      </c>
    </row>
    <row r="70" spans="1:8" ht="14.25" customHeight="1" x14ac:dyDescent="0.3">
      <c r="A70" s="128" t="s">
        <v>158</v>
      </c>
      <c r="B70" s="123" t="str">
        <f t="shared" si="9"/>
        <v>Butter - زبدة</v>
      </c>
      <c r="C70" s="123" t="str">
        <f t="shared" si="9"/>
        <v>gm</v>
      </c>
      <c r="D70" s="123">
        <f t="shared" si="9"/>
        <v>10</v>
      </c>
      <c r="E70" s="116">
        <f t="shared" si="13"/>
        <v>10.309278350515465</v>
      </c>
      <c r="F70" s="299">
        <f t="shared" si="10"/>
        <v>1</v>
      </c>
      <c r="G70" s="119">
        <f t="shared" si="11"/>
        <v>103.09278350515464</v>
      </c>
      <c r="H70" s="120">
        <f t="shared" si="12"/>
        <v>103.09278350515464</v>
      </c>
    </row>
    <row r="71" spans="1:8" ht="14.25" customHeight="1" x14ac:dyDescent="0.3">
      <c r="A71" s="128" t="s">
        <v>97</v>
      </c>
      <c r="B71" s="123" t="str">
        <f t="shared" si="9"/>
        <v>Salt - ملح</v>
      </c>
      <c r="C71" s="123" t="str">
        <f t="shared" si="9"/>
        <v>gm</v>
      </c>
      <c r="D71" s="123">
        <f t="shared" si="9"/>
        <v>5</v>
      </c>
      <c r="E71" s="116">
        <f t="shared" si="13"/>
        <v>10.309278350515465</v>
      </c>
      <c r="F71" s="299">
        <f t="shared" si="10"/>
        <v>0.75</v>
      </c>
      <c r="G71" s="119">
        <f t="shared" si="11"/>
        <v>51.546391752577321</v>
      </c>
      <c r="H71" s="120">
        <f t="shared" si="12"/>
        <v>38.659793814432987</v>
      </c>
    </row>
    <row r="72" spans="1:8" ht="14.25" customHeight="1" x14ac:dyDescent="0.3">
      <c r="A72" s="128" t="s">
        <v>158</v>
      </c>
      <c r="B72" s="123" t="str">
        <f t="shared" si="9"/>
        <v>Milk - حليب</v>
      </c>
      <c r="C72" s="123" t="str">
        <f t="shared" si="9"/>
        <v>ml</v>
      </c>
      <c r="D72" s="123">
        <f t="shared" si="9"/>
        <v>400</v>
      </c>
      <c r="E72" s="116">
        <f t="shared" si="13"/>
        <v>10.309278350515465</v>
      </c>
      <c r="F72" s="299">
        <f t="shared" si="10"/>
        <v>1</v>
      </c>
      <c r="G72" s="119">
        <f t="shared" si="11"/>
        <v>4123.7113402061859</v>
      </c>
      <c r="H72" s="120">
        <f t="shared" si="12"/>
        <v>4123.7113402061859</v>
      </c>
    </row>
    <row r="73" spans="1:8" ht="14.25" customHeight="1" x14ac:dyDescent="0.3">
      <c r="A73" s="128" t="s">
        <v>210</v>
      </c>
      <c r="B73" s="123" t="str">
        <f t="shared" si="9"/>
        <v>Water - ماء</v>
      </c>
      <c r="C73" s="123" t="str">
        <f t="shared" si="9"/>
        <v>gm</v>
      </c>
      <c r="D73" s="123">
        <f t="shared" si="9"/>
        <v>300</v>
      </c>
      <c r="E73" s="116">
        <f t="shared" si="13"/>
        <v>10.309278350515465</v>
      </c>
      <c r="F73" s="299">
        <f t="shared" si="10"/>
        <v>1</v>
      </c>
      <c r="G73" s="119">
        <f t="shared" si="11"/>
        <v>3092.7835051546394</v>
      </c>
      <c r="H73" s="120">
        <f t="shared" si="12"/>
        <v>3092.7835051546394</v>
      </c>
    </row>
    <row r="74" spans="1:8" ht="14.25" customHeight="1" x14ac:dyDescent="0.3">
      <c r="A74" s="128" t="s">
        <v>97</v>
      </c>
      <c r="B74" s="123" t="str">
        <f t="shared" si="9"/>
        <v>Black Pepper Powder - فلفل أسود مطحون</v>
      </c>
      <c r="C74" s="123" t="str">
        <f t="shared" si="9"/>
        <v>gm</v>
      </c>
      <c r="D74" s="123">
        <f t="shared" si="9"/>
        <v>2</v>
      </c>
      <c r="E74" s="116">
        <f t="shared" si="13"/>
        <v>10.309278350515465</v>
      </c>
      <c r="F74" s="299">
        <f t="shared" si="10"/>
        <v>0.75</v>
      </c>
      <c r="G74" s="119">
        <f t="shared" si="11"/>
        <v>20.618556701030929</v>
      </c>
      <c r="H74" s="120">
        <f t="shared" si="12"/>
        <v>15.463917525773198</v>
      </c>
    </row>
    <row r="75" spans="1:8" ht="14.25" customHeight="1" x14ac:dyDescent="0.3">
      <c r="A75" s="128" t="s">
        <v>97</v>
      </c>
      <c r="B75" s="123" t="str">
        <f t="shared" si="9"/>
        <v>Maggi Cubes - مكعبات ماجي</v>
      </c>
      <c r="C75" s="123" t="str">
        <f t="shared" si="9"/>
        <v>gm</v>
      </c>
      <c r="D75" s="123">
        <f t="shared" si="9"/>
        <v>10</v>
      </c>
      <c r="E75" s="116">
        <f t="shared" si="13"/>
        <v>10.309278350515465</v>
      </c>
      <c r="F75" s="299">
        <f t="shared" si="10"/>
        <v>0.6</v>
      </c>
      <c r="G75" s="119">
        <f t="shared" si="11"/>
        <v>103.09278350515464</v>
      </c>
      <c r="H75" s="120">
        <f t="shared" si="12"/>
        <v>61.855670103092784</v>
      </c>
    </row>
    <row r="76" spans="1:8" ht="14.25" customHeight="1" x14ac:dyDescent="0.3">
      <c r="A76" s="128" t="s">
        <v>220</v>
      </c>
      <c r="B76" s="123" t="str">
        <f t="shared" si="9"/>
        <v>Brown Color - لون بني</v>
      </c>
      <c r="C76" s="123" t="str">
        <f t="shared" si="9"/>
        <v>gm</v>
      </c>
      <c r="D76" s="123">
        <f t="shared" si="9"/>
        <v>1</v>
      </c>
      <c r="E76" s="116">
        <f t="shared" si="13"/>
        <v>10.309278350515465</v>
      </c>
      <c r="F76" s="299">
        <f t="shared" si="10"/>
        <v>0.9</v>
      </c>
      <c r="G76" s="119">
        <f t="shared" si="11"/>
        <v>10.309278350515465</v>
      </c>
      <c r="H76" s="120">
        <f t="shared" si="12"/>
        <v>9.2783505154639183</v>
      </c>
    </row>
    <row r="77" spans="1:8" ht="14.25" customHeight="1" x14ac:dyDescent="0.3">
      <c r="A77" s="128" t="s">
        <v>97</v>
      </c>
      <c r="B77" s="123" t="str">
        <f t="shared" si="9"/>
        <v>Black Pepper Whole - فلفل أسود حب</v>
      </c>
      <c r="C77" s="123" t="str">
        <f t="shared" si="9"/>
        <v>gm</v>
      </c>
      <c r="D77" s="123">
        <f t="shared" si="9"/>
        <v>2</v>
      </c>
      <c r="E77" s="116">
        <f t="shared" si="13"/>
        <v>10.309278350515465</v>
      </c>
      <c r="F77" s="299">
        <f t="shared" si="10"/>
        <v>1</v>
      </c>
      <c r="G77" s="119">
        <f t="shared" si="11"/>
        <v>20.618556701030929</v>
      </c>
      <c r="H77" s="120">
        <f t="shared" si="12"/>
        <v>20.618556701030929</v>
      </c>
    </row>
    <row r="78" spans="1:8" ht="14.25" customHeight="1" x14ac:dyDescent="0.3">
      <c r="A78" s="128" t="s">
        <v>97</v>
      </c>
      <c r="B78" s="123" t="str">
        <f t="shared" si="9"/>
        <v>Cinnamon Whole - قرفة أعواد</v>
      </c>
      <c r="C78" s="123" t="str">
        <f t="shared" si="9"/>
        <v>gm</v>
      </c>
      <c r="D78" s="123">
        <f t="shared" si="9"/>
        <v>2</v>
      </c>
      <c r="E78" s="116">
        <f t="shared" si="13"/>
        <v>10.309278350515465</v>
      </c>
      <c r="F78" s="299">
        <f t="shared" si="10"/>
        <v>1</v>
      </c>
      <c r="G78" s="119">
        <f t="shared" si="11"/>
        <v>20.618556701030929</v>
      </c>
      <c r="H78" s="120">
        <f t="shared" si="12"/>
        <v>20.618556701030929</v>
      </c>
    </row>
    <row r="79" spans="1:8" ht="14.25" customHeight="1" x14ac:dyDescent="0.3">
      <c r="A79" s="128" t="s">
        <v>97</v>
      </c>
      <c r="B79" s="123" t="str">
        <f t="shared" si="9"/>
        <v>Cumin Whole - كمون حب</v>
      </c>
      <c r="C79" s="123" t="str">
        <f t="shared" si="9"/>
        <v>gm</v>
      </c>
      <c r="D79" s="123">
        <f t="shared" si="9"/>
        <v>2</v>
      </c>
      <c r="E79" s="116">
        <f t="shared" si="13"/>
        <v>10.309278350515465</v>
      </c>
      <c r="F79" s="299">
        <f t="shared" si="10"/>
        <v>1</v>
      </c>
      <c r="G79" s="119">
        <f t="shared" si="11"/>
        <v>20.618556701030929</v>
      </c>
      <c r="H79" s="120">
        <f t="shared" si="12"/>
        <v>20.618556701030929</v>
      </c>
    </row>
    <row r="80" spans="1:8" ht="14.25" customHeight="1" x14ac:dyDescent="0.3">
      <c r="A80" s="128" t="s">
        <v>97</v>
      </c>
      <c r="B80" s="123" t="str">
        <f t="shared" si="9"/>
        <v>Cloves Whole - قرنفل حب</v>
      </c>
      <c r="C80" s="123" t="str">
        <f t="shared" si="9"/>
        <v>gm</v>
      </c>
      <c r="D80" s="123">
        <f t="shared" si="9"/>
        <v>2</v>
      </c>
      <c r="E80" s="116">
        <f t="shared" si="13"/>
        <v>10.309278350515465</v>
      </c>
      <c r="F80" s="299">
        <f t="shared" si="10"/>
        <v>1</v>
      </c>
      <c r="G80" s="119">
        <f t="shared" si="11"/>
        <v>20.618556701030929</v>
      </c>
      <c r="H80" s="120">
        <f t="shared" si="12"/>
        <v>20.618556701030929</v>
      </c>
    </row>
    <row r="81" spans="1:8" ht="14.25" customHeight="1" x14ac:dyDescent="0.3">
      <c r="A81" s="128" t="s">
        <v>97</v>
      </c>
      <c r="B81" s="123" t="str">
        <f t="shared" si="9"/>
        <v>Cardamom Whole - هيل حب</v>
      </c>
      <c r="C81" s="123" t="str">
        <f t="shared" si="9"/>
        <v>gm</v>
      </c>
      <c r="D81" s="123">
        <f t="shared" si="9"/>
        <v>2</v>
      </c>
      <c r="E81" s="116">
        <f t="shared" si="13"/>
        <v>10.309278350515465</v>
      </c>
      <c r="F81" s="299">
        <f t="shared" si="10"/>
        <v>1</v>
      </c>
      <c r="G81" s="119">
        <f t="shared" si="11"/>
        <v>20.618556701030929</v>
      </c>
      <c r="H81" s="120">
        <f t="shared" si="12"/>
        <v>20.618556701030929</v>
      </c>
    </row>
    <row r="82" spans="1:8" ht="14.25" customHeight="1" x14ac:dyDescent="0.3">
      <c r="A82" s="128" t="s">
        <v>97</v>
      </c>
      <c r="B82" s="123" t="str">
        <f t="shared" si="9"/>
        <v>Star Anise - ينسون نجمي</v>
      </c>
      <c r="C82" s="123" t="str">
        <f t="shared" si="9"/>
        <v>gm</v>
      </c>
      <c r="D82" s="123">
        <f t="shared" si="9"/>
        <v>2</v>
      </c>
      <c r="E82" s="116">
        <f t="shared" si="13"/>
        <v>10.309278350515465</v>
      </c>
      <c r="F82" s="299">
        <f t="shared" si="10"/>
        <v>1</v>
      </c>
      <c r="G82" s="119">
        <f t="shared" si="11"/>
        <v>20.618556701030929</v>
      </c>
      <c r="H82" s="120">
        <f t="shared" si="12"/>
        <v>20.618556701030929</v>
      </c>
    </row>
    <row r="83" spans="1:8" ht="14.25" customHeight="1" x14ac:dyDescent="0.3">
      <c r="A83" s="128" t="s">
        <v>63</v>
      </c>
      <c r="B83" s="123" t="str">
        <f t="shared" si="9"/>
        <v>Rosemary - روزميري مستورد</v>
      </c>
      <c r="C83" s="123" t="str">
        <f t="shared" si="9"/>
        <v>gm</v>
      </c>
      <c r="D83" s="123">
        <f t="shared" si="9"/>
        <v>2</v>
      </c>
      <c r="E83" s="116">
        <f t="shared" si="13"/>
        <v>10.309278350515465</v>
      </c>
      <c r="F83" s="299">
        <f t="shared" si="10"/>
        <v>1</v>
      </c>
      <c r="G83" s="119">
        <f t="shared" si="11"/>
        <v>20.618556701030929</v>
      </c>
      <c r="H83" s="120">
        <f t="shared" si="12"/>
        <v>20.618556701030929</v>
      </c>
    </row>
    <row r="84" spans="1:8" ht="14.25" customHeight="1" x14ac:dyDescent="0.3">
      <c r="A84" s="128" t="s">
        <v>83</v>
      </c>
      <c r="B84" s="123" t="str">
        <f t="shared" si="9"/>
        <v>Bay Leaf - ورق غار</v>
      </c>
      <c r="C84" s="123" t="str">
        <f t="shared" si="9"/>
        <v>gm</v>
      </c>
      <c r="D84" s="123">
        <f t="shared" si="9"/>
        <v>2</v>
      </c>
      <c r="E84" s="116">
        <f t="shared" si="13"/>
        <v>10.309278350515465</v>
      </c>
      <c r="F84" s="299">
        <f t="shared" si="10"/>
        <v>1</v>
      </c>
      <c r="G84" s="119">
        <f t="shared" si="11"/>
        <v>20.618556701030929</v>
      </c>
      <c r="H84" s="120">
        <f t="shared" si="12"/>
        <v>20.618556701030929</v>
      </c>
    </row>
    <row r="85" spans="1:8" ht="14.25" customHeight="1" x14ac:dyDescent="0.3">
      <c r="A85" s="128" t="s">
        <v>83</v>
      </c>
      <c r="B85" s="123" t="str">
        <f t="shared" si="9"/>
        <v>Salt - ملح</v>
      </c>
      <c r="C85" s="123" t="str">
        <f t="shared" si="9"/>
        <v>gm</v>
      </c>
      <c r="D85" s="123">
        <f t="shared" si="9"/>
        <v>5</v>
      </c>
      <c r="E85" s="116">
        <f t="shared" si="13"/>
        <v>10.309278350515465</v>
      </c>
      <c r="F85" s="299">
        <f t="shared" si="10"/>
        <v>1</v>
      </c>
      <c r="G85" s="119">
        <f>D85*E85</f>
        <v>51.546391752577321</v>
      </c>
      <c r="H85" s="120">
        <f>G85*F85</f>
        <v>51.546391752577321</v>
      </c>
    </row>
    <row r="86" spans="1:8" ht="21" customHeight="1" x14ac:dyDescent="0.3">
      <c r="A86" s="211"/>
      <c r="B86" s="198" t="s">
        <v>299</v>
      </c>
      <c r="C86" s="200" t="s">
        <v>285</v>
      </c>
      <c r="E86" s="200" t="s">
        <v>300</v>
      </c>
      <c r="G86" s="890" t="s">
        <v>276</v>
      </c>
      <c r="H86" s="890" t="s">
        <v>733</v>
      </c>
    </row>
    <row r="87" spans="1:8" ht="20.25" customHeight="1" x14ac:dyDescent="0.4">
      <c r="A87" s="211"/>
      <c r="B87" s="199">
        <f>$J$53</f>
        <v>20990</v>
      </c>
      <c r="C87" s="199">
        <f>E87+G87</f>
        <v>10000</v>
      </c>
      <c r="D87" s="930"/>
      <c r="E87" s="199">
        <f>$D$53*$S$44</f>
        <v>10000</v>
      </c>
      <c r="F87" s="934"/>
      <c r="G87" s="199">
        <f>$D$53*$T$44</f>
        <v>0</v>
      </c>
      <c r="H87" s="199">
        <f>B87+E87</f>
        <v>30990</v>
      </c>
    </row>
    <row r="88" spans="1:8" ht="26.25" customHeight="1" x14ac:dyDescent="0.3">
      <c r="B88" s="100"/>
      <c r="E88" s="100"/>
      <c r="F88" s="100"/>
    </row>
    <row r="89" spans="1:8" ht="14.25" customHeight="1" x14ac:dyDescent="0.3">
      <c r="A89" s="937"/>
      <c r="B89" s="1382" t="str">
        <f>"لحم اوريانتل 2 / " &amp; COUNTIF($C$53:$C$55, "&gt;0")</f>
        <v>لحم اوريانتل 2 / 2</v>
      </c>
      <c r="C89" s="1383"/>
      <c r="D89" s="1383"/>
      <c r="E89" s="1383"/>
      <c r="F89" s="1383"/>
      <c r="G89" s="1383"/>
      <c r="H89" s="1383"/>
    </row>
    <row r="90" spans="1:8" ht="17.75" customHeight="1" x14ac:dyDescent="0.3">
      <c r="A90" s="937"/>
      <c r="B90" s="1384" t="str">
        <f>"Laham Oriental 2 / " &amp; COUNTIF($C$53:$C$55, "&gt;0")</f>
        <v>Laham Oriental 2 / 2</v>
      </c>
      <c r="C90" s="1385"/>
      <c r="D90" s="1385"/>
      <c r="E90" s="1385"/>
      <c r="F90" s="1385"/>
      <c r="G90" s="1385"/>
      <c r="H90" s="1385"/>
    </row>
    <row r="91" spans="1:8" ht="39.5" customHeight="1" x14ac:dyDescent="0.25">
      <c r="A91" s="91"/>
      <c r="B91" s="243" t="s">
        <v>253</v>
      </c>
      <c r="C91" s="244" t="s">
        <v>254</v>
      </c>
      <c r="D91" s="245" t="s">
        <v>243</v>
      </c>
      <c r="E91" s="218" t="s">
        <v>246</v>
      </c>
      <c r="F91" s="218" t="s">
        <v>255</v>
      </c>
      <c r="G91" s="245" t="s">
        <v>256</v>
      </c>
      <c r="H91" s="218" t="s">
        <v>257</v>
      </c>
    </row>
    <row r="92" spans="1:8" x14ac:dyDescent="0.3">
      <c r="A92" s="128" t="s">
        <v>230</v>
      </c>
      <c r="B92" s="123" t="str">
        <f t="shared" ref="B92:D112" si="14">B5</f>
        <v>Indian Meat Alana  - لحم هندى ألانا</v>
      </c>
      <c r="C92" s="123" t="str">
        <f t="shared" si="14"/>
        <v>gm</v>
      </c>
      <c r="D92" s="460">
        <f t="shared" si="14"/>
        <v>4283.6734693877552</v>
      </c>
      <c r="E92" s="197">
        <f>H54</f>
        <v>0.98716769890424061</v>
      </c>
      <c r="F92" s="299">
        <f t="shared" ref="F92:F112" si="15">F5</f>
        <v>1</v>
      </c>
      <c r="G92" s="249">
        <f t="shared" ref="G92:G111" si="16">D92*E92</f>
        <v>4228.7040816326553</v>
      </c>
      <c r="H92" s="207">
        <f t="shared" ref="H92:H111" si="17">G92*F92</f>
        <v>4228.7040816326553</v>
      </c>
    </row>
    <row r="93" spans="1:8" x14ac:dyDescent="0.3">
      <c r="A93" s="128" t="s">
        <v>13</v>
      </c>
      <c r="B93" s="123" t="str">
        <f t="shared" si="14"/>
        <v>Onion - بصل</v>
      </c>
      <c r="C93" s="123" t="str">
        <f t="shared" si="14"/>
        <v>gm</v>
      </c>
      <c r="D93" s="460">
        <f t="shared" si="14"/>
        <v>50</v>
      </c>
      <c r="E93" s="197">
        <f t="shared" ref="E93:E112" si="18">$C$54</f>
        <v>1.0184896907216494</v>
      </c>
      <c r="F93" s="299">
        <f t="shared" si="15"/>
        <v>0.95</v>
      </c>
      <c r="G93" s="249">
        <f t="shared" si="16"/>
        <v>50.924484536082474</v>
      </c>
      <c r="H93" s="207">
        <f t="shared" si="17"/>
        <v>48.378260309278346</v>
      </c>
    </row>
    <row r="94" spans="1:8" ht="14.25" customHeight="1" x14ac:dyDescent="0.3">
      <c r="A94" s="128" t="s">
        <v>13</v>
      </c>
      <c r="B94" s="123" t="str">
        <f t="shared" si="14"/>
        <v>Garlic - ثوم مقشر</v>
      </c>
      <c r="C94" s="123" t="str">
        <f t="shared" si="14"/>
        <v>gm</v>
      </c>
      <c r="D94" s="460">
        <f t="shared" si="14"/>
        <v>10</v>
      </c>
      <c r="E94" s="197">
        <f t="shared" si="18"/>
        <v>1.0184896907216494</v>
      </c>
      <c r="F94" s="299">
        <f t="shared" si="15"/>
        <v>1</v>
      </c>
      <c r="G94" s="249">
        <f t="shared" si="16"/>
        <v>10.184896907216494</v>
      </c>
      <c r="H94" s="207">
        <f t="shared" si="17"/>
        <v>10.184896907216494</v>
      </c>
    </row>
    <row r="95" spans="1:8" ht="14.25" customHeight="1" x14ac:dyDescent="0.3">
      <c r="A95" s="128" t="s">
        <v>196</v>
      </c>
      <c r="B95" s="123" t="str">
        <f t="shared" si="14"/>
        <v>Demi Glaze Sauce - صوص ديمي غلاز</v>
      </c>
      <c r="C95" s="123" t="str">
        <f t="shared" si="14"/>
        <v>gm</v>
      </c>
      <c r="D95" s="460">
        <f t="shared" si="14"/>
        <v>25</v>
      </c>
      <c r="E95" s="197">
        <f t="shared" si="18"/>
        <v>1.0184896907216494</v>
      </c>
      <c r="F95" s="299">
        <f t="shared" si="15"/>
        <v>0.9</v>
      </c>
      <c r="G95" s="249">
        <f t="shared" si="16"/>
        <v>25.462242268041237</v>
      </c>
      <c r="H95" s="207">
        <f t="shared" si="17"/>
        <v>22.916018041237113</v>
      </c>
    </row>
    <row r="96" spans="1:8" ht="14.25" customHeight="1" x14ac:dyDescent="0.3">
      <c r="A96" s="128" t="s">
        <v>158</v>
      </c>
      <c r="B96" s="123" t="str">
        <f t="shared" si="14"/>
        <v>Cooking Cream - كريمة طبخ</v>
      </c>
      <c r="C96" s="123" t="str">
        <f t="shared" si="14"/>
        <v>ml</v>
      </c>
      <c r="D96" s="460">
        <f t="shared" si="14"/>
        <v>500</v>
      </c>
      <c r="E96" s="197">
        <f t="shared" si="18"/>
        <v>1.0184896907216494</v>
      </c>
      <c r="F96" s="299">
        <f t="shared" si="15"/>
        <v>1</v>
      </c>
      <c r="G96" s="249">
        <f t="shared" si="16"/>
        <v>509.24484536082468</v>
      </c>
      <c r="H96" s="207">
        <f t="shared" si="17"/>
        <v>509.24484536082468</v>
      </c>
    </row>
    <row r="97" spans="1:8" ht="14.25" customHeight="1" x14ac:dyDescent="0.3">
      <c r="A97" s="128" t="s">
        <v>158</v>
      </c>
      <c r="B97" s="123" t="str">
        <f t="shared" si="14"/>
        <v>Butter - زبدة</v>
      </c>
      <c r="C97" s="123" t="str">
        <f t="shared" si="14"/>
        <v>gm</v>
      </c>
      <c r="D97" s="460">
        <f t="shared" si="14"/>
        <v>10</v>
      </c>
      <c r="E97" s="197">
        <f t="shared" si="18"/>
        <v>1.0184896907216494</v>
      </c>
      <c r="F97" s="299">
        <f t="shared" si="15"/>
        <v>1</v>
      </c>
      <c r="G97" s="249">
        <f t="shared" si="16"/>
        <v>10.184896907216494</v>
      </c>
      <c r="H97" s="207">
        <f t="shared" si="17"/>
        <v>10.184896907216494</v>
      </c>
    </row>
    <row r="98" spans="1:8" ht="14.25" customHeight="1" x14ac:dyDescent="0.3">
      <c r="A98" s="128" t="s">
        <v>97</v>
      </c>
      <c r="B98" s="123" t="str">
        <f t="shared" si="14"/>
        <v>Salt - ملح</v>
      </c>
      <c r="C98" s="123" t="str">
        <f t="shared" si="14"/>
        <v>gm</v>
      </c>
      <c r="D98" s="460">
        <f t="shared" si="14"/>
        <v>5</v>
      </c>
      <c r="E98" s="197">
        <f t="shared" si="18"/>
        <v>1.0184896907216494</v>
      </c>
      <c r="F98" s="299">
        <f t="shared" si="15"/>
        <v>0.75</v>
      </c>
      <c r="G98" s="249">
        <f t="shared" si="16"/>
        <v>5.092448453608247</v>
      </c>
      <c r="H98" s="207">
        <f t="shared" si="17"/>
        <v>3.8193363402061853</v>
      </c>
    </row>
    <row r="99" spans="1:8" ht="14.25" customHeight="1" x14ac:dyDescent="0.3">
      <c r="A99" s="128" t="s">
        <v>158</v>
      </c>
      <c r="B99" s="123" t="str">
        <f t="shared" si="14"/>
        <v>Milk - حليب</v>
      </c>
      <c r="C99" s="123" t="str">
        <f t="shared" si="14"/>
        <v>ml</v>
      </c>
      <c r="D99" s="460">
        <f t="shared" si="14"/>
        <v>400</v>
      </c>
      <c r="E99" s="197">
        <f t="shared" si="18"/>
        <v>1.0184896907216494</v>
      </c>
      <c r="F99" s="299">
        <f t="shared" si="15"/>
        <v>1</v>
      </c>
      <c r="G99" s="249">
        <f t="shared" si="16"/>
        <v>407.39587628865979</v>
      </c>
      <c r="H99" s="207">
        <f t="shared" si="17"/>
        <v>407.39587628865979</v>
      </c>
    </row>
    <row r="100" spans="1:8" ht="14.25" customHeight="1" x14ac:dyDescent="0.3">
      <c r="A100" s="128" t="s">
        <v>210</v>
      </c>
      <c r="B100" s="123" t="str">
        <f t="shared" si="14"/>
        <v>Water - ماء</v>
      </c>
      <c r="C100" s="123" t="str">
        <f t="shared" si="14"/>
        <v>gm</v>
      </c>
      <c r="D100" s="460">
        <f t="shared" si="14"/>
        <v>300</v>
      </c>
      <c r="E100" s="197">
        <f t="shared" si="18"/>
        <v>1.0184896907216494</v>
      </c>
      <c r="F100" s="299">
        <f t="shared" si="15"/>
        <v>1</v>
      </c>
      <c r="G100" s="249">
        <f t="shared" si="16"/>
        <v>305.54690721649484</v>
      </c>
      <c r="H100" s="207">
        <f t="shared" si="17"/>
        <v>305.54690721649484</v>
      </c>
    </row>
    <row r="101" spans="1:8" ht="14.25" customHeight="1" x14ac:dyDescent="0.3">
      <c r="A101" s="128" t="s">
        <v>97</v>
      </c>
      <c r="B101" s="123" t="str">
        <f t="shared" si="14"/>
        <v>Black Pepper Powder - فلفل أسود مطحون</v>
      </c>
      <c r="C101" s="123" t="str">
        <f t="shared" si="14"/>
        <v>gm</v>
      </c>
      <c r="D101" s="460">
        <f t="shared" si="14"/>
        <v>2</v>
      </c>
      <c r="E101" s="197">
        <f t="shared" si="18"/>
        <v>1.0184896907216494</v>
      </c>
      <c r="F101" s="299">
        <f t="shared" si="15"/>
        <v>0.75</v>
      </c>
      <c r="G101" s="249">
        <f t="shared" si="16"/>
        <v>2.0369793814432988</v>
      </c>
      <c r="H101" s="207">
        <f t="shared" si="17"/>
        <v>1.5277345360824741</v>
      </c>
    </row>
    <row r="102" spans="1:8" ht="14.25" customHeight="1" x14ac:dyDescent="0.3">
      <c r="A102" s="128" t="s">
        <v>97</v>
      </c>
      <c r="B102" s="123" t="str">
        <f t="shared" si="14"/>
        <v>Maggi Cubes - مكعبات ماجي</v>
      </c>
      <c r="C102" s="123" t="str">
        <f t="shared" si="14"/>
        <v>gm</v>
      </c>
      <c r="D102" s="460">
        <f t="shared" si="14"/>
        <v>10</v>
      </c>
      <c r="E102" s="197">
        <f t="shared" si="18"/>
        <v>1.0184896907216494</v>
      </c>
      <c r="F102" s="299">
        <f t="shared" si="15"/>
        <v>0.6</v>
      </c>
      <c r="G102" s="249">
        <f t="shared" si="16"/>
        <v>10.184896907216494</v>
      </c>
      <c r="H102" s="207">
        <f t="shared" si="17"/>
        <v>6.1109381443298965</v>
      </c>
    </row>
    <row r="103" spans="1:8" ht="14.25" customHeight="1" x14ac:dyDescent="0.3">
      <c r="A103" s="128" t="s">
        <v>220</v>
      </c>
      <c r="B103" s="123" t="str">
        <f t="shared" si="14"/>
        <v>Brown Color - لون بني</v>
      </c>
      <c r="C103" s="123" t="str">
        <f t="shared" si="14"/>
        <v>gm</v>
      </c>
      <c r="D103" s="460">
        <f t="shared" si="14"/>
        <v>1</v>
      </c>
      <c r="E103" s="197">
        <f t="shared" si="18"/>
        <v>1.0184896907216494</v>
      </c>
      <c r="F103" s="299">
        <f t="shared" si="15"/>
        <v>0.9</v>
      </c>
      <c r="G103" s="249">
        <f t="shared" si="16"/>
        <v>1.0184896907216494</v>
      </c>
      <c r="H103" s="207">
        <f t="shared" si="17"/>
        <v>0.91664072164948451</v>
      </c>
    </row>
    <row r="104" spans="1:8" ht="14.25" customHeight="1" x14ac:dyDescent="0.3">
      <c r="A104" s="128" t="s">
        <v>97</v>
      </c>
      <c r="B104" s="123" t="str">
        <f t="shared" si="14"/>
        <v>Black Pepper Whole - فلفل أسود حب</v>
      </c>
      <c r="C104" s="123" t="str">
        <f t="shared" si="14"/>
        <v>gm</v>
      </c>
      <c r="D104" s="460">
        <f t="shared" si="14"/>
        <v>2</v>
      </c>
      <c r="E104" s="197">
        <f t="shared" si="18"/>
        <v>1.0184896907216494</v>
      </c>
      <c r="F104" s="299">
        <f t="shared" si="15"/>
        <v>1</v>
      </c>
      <c r="G104" s="249">
        <f t="shared" si="16"/>
        <v>2.0369793814432988</v>
      </c>
      <c r="H104" s="207">
        <f t="shared" si="17"/>
        <v>2.0369793814432988</v>
      </c>
    </row>
    <row r="105" spans="1:8" ht="14.25" customHeight="1" x14ac:dyDescent="0.3">
      <c r="A105" s="128" t="s">
        <v>97</v>
      </c>
      <c r="B105" s="123" t="str">
        <f t="shared" si="14"/>
        <v>Cinnamon Whole - قرفة أعواد</v>
      </c>
      <c r="C105" s="123" t="str">
        <f t="shared" si="14"/>
        <v>gm</v>
      </c>
      <c r="D105" s="460">
        <f t="shared" si="14"/>
        <v>2</v>
      </c>
      <c r="E105" s="197">
        <f t="shared" si="18"/>
        <v>1.0184896907216494</v>
      </c>
      <c r="F105" s="299">
        <f t="shared" si="15"/>
        <v>1</v>
      </c>
      <c r="G105" s="249">
        <f t="shared" si="16"/>
        <v>2.0369793814432988</v>
      </c>
      <c r="H105" s="207">
        <f t="shared" si="17"/>
        <v>2.0369793814432988</v>
      </c>
    </row>
    <row r="106" spans="1:8" ht="14.25" customHeight="1" x14ac:dyDescent="0.3">
      <c r="A106" s="128" t="s">
        <v>97</v>
      </c>
      <c r="B106" s="123" t="str">
        <f t="shared" si="14"/>
        <v>Cumin Whole - كمون حب</v>
      </c>
      <c r="C106" s="123" t="str">
        <f t="shared" si="14"/>
        <v>gm</v>
      </c>
      <c r="D106" s="460">
        <f t="shared" si="14"/>
        <v>2</v>
      </c>
      <c r="E106" s="197">
        <f t="shared" si="18"/>
        <v>1.0184896907216494</v>
      </c>
      <c r="F106" s="299">
        <f t="shared" si="15"/>
        <v>1</v>
      </c>
      <c r="G106" s="249">
        <f t="shared" si="16"/>
        <v>2.0369793814432988</v>
      </c>
      <c r="H106" s="207">
        <f t="shared" si="17"/>
        <v>2.0369793814432988</v>
      </c>
    </row>
    <row r="107" spans="1:8" ht="14.25" customHeight="1" x14ac:dyDescent="0.3">
      <c r="A107" s="128" t="s">
        <v>97</v>
      </c>
      <c r="B107" s="123" t="str">
        <f t="shared" si="14"/>
        <v>Cloves Whole - قرنفل حب</v>
      </c>
      <c r="C107" s="123" t="str">
        <f t="shared" si="14"/>
        <v>gm</v>
      </c>
      <c r="D107" s="460">
        <f t="shared" si="14"/>
        <v>2</v>
      </c>
      <c r="E107" s="197">
        <f t="shared" si="18"/>
        <v>1.0184896907216494</v>
      </c>
      <c r="F107" s="299">
        <f t="shared" si="15"/>
        <v>1</v>
      </c>
      <c r="G107" s="249">
        <f t="shared" si="16"/>
        <v>2.0369793814432988</v>
      </c>
      <c r="H107" s="207">
        <f t="shared" si="17"/>
        <v>2.0369793814432988</v>
      </c>
    </row>
    <row r="108" spans="1:8" ht="14.25" customHeight="1" x14ac:dyDescent="0.3">
      <c r="A108" s="128" t="s">
        <v>97</v>
      </c>
      <c r="B108" s="123" t="str">
        <f t="shared" si="14"/>
        <v>Cardamom Whole - هيل حب</v>
      </c>
      <c r="C108" s="123" t="str">
        <f t="shared" si="14"/>
        <v>gm</v>
      </c>
      <c r="D108" s="460">
        <f t="shared" si="14"/>
        <v>2</v>
      </c>
      <c r="E108" s="197">
        <f t="shared" si="18"/>
        <v>1.0184896907216494</v>
      </c>
      <c r="F108" s="299">
        <f t="shared" si="15"/>
        <v>1</v>
      </c>
      <c r="G108" s="249">
        <f t="shared" si="16"/>
        <v>2.0369793814432988</v>
      </c>
      <c r="H108" s="207">
        <f t="shared" si="17"/>
        <v>2.0369793814432988</v>
      </c>
    </row>
    <row r="109" spans="1:8" ht="14.25" customHeight="1" x14ac:dyDescent="0.3">
      <c r="A109" s="128" t="s">
        <v>97</v>
      </c>
      <c r="B109" s="123" t="str">
        <f t="shared" si="14"/>
        <v>Star Anise - ينسون نجمي</v>
      </c>
      <c r="C109" s="123" t="str">
        <f t="shared" si="14"/>
        <v>gm</v>
      </c>
      <c r="D109" s="460">
        <f t="shared" si="14"/>
        <v>2</v>
      </c>
      <c r="E109" s="197">
        <f t="shared" si="18"/>
        <v>1.0184896907216494</v>
      </c>
      <c r="F109" s="299">
        <f t="shared" si="15"/>
        <v>1</v>
      </c>
      <c r="G109" s="249">
        <f t="shared" si="16"/>
        <v>2.0369793814432988</v>
      </c>
      <c r="H109" s="207">
        <f t="shared" si="17"/>
        <v>2.0369793814432988</v>
      </c>
    </row>
    <row r="110" spans="1:8" ht="14.25" customHeight="1" x14ac:dyDescent="0.3">
      <c r="A110" s="128" t="s">
        <v>63</v>
      </c>
      <c r="B110" s="123" t="str">
        <f t="shared" si="14"/>
        <v>Rosemary - روزميري مستورد</v>
      </c>
      <c r="C110" s="123" t="str">
        <f t="shared" si="14"/>
        <v>gm</v>
      </c>
      <c r="D110" s="460">
        <f t="shared" si="14"/>
        <v>2</v>
      </c>
      <c r="E110" s="197">
        <f t="shared" si="18"/>
        <v>1.0184896907216494</v>
      </c>
      <c r="F110" s="299">
        <f t="shared" si="15"/>
        <v>1</v>
      </c>
      <c r="G110" s="249">
        <f t="shared" si="16"/>
        <v>2.0369793814432988</v>
      </c>
      <c r="H110" s="207">
        <f t="shared" si="17"/>
        <v>2.0369793814432988</v>
      </c>
    </row>
    <row r="111" spans="1:8" ht="14.25" customHeight="1" x14ac:dyDescent="0.3">
      <c r="A111" s="128" t="s">
        <v>83</v>
      </c>
      <c r="B111" s="123" t="str">
        <f t="shared" si="14"/>
        <v>Bay Leaf - ورق غار</v>
      </c>
      <c r="C111" s="123" t="str">
        <f t="shared" si="14"/>
        <v>gm</v>
      </c>
      <c r="D111" s="460">
        <f t="shared" si="14"/>
        <v>2</v>
      </c>
      <c r="E111" s="197">
        <f t="shared" si="18"/>
        <v>1.0184896907216494</v>
      </c>
      <c r="F111" s="299">
        <f t="shared" si="15"/>
        <v>1</v>
      </c>
      <c r="G111" s="249">
        <f t="shared" si="16"/>
        <v>2.0369793814432988</v>
      </c>
      <c r="H111" s="207">
        <f t="shared" si="17"/>
        <v>2.0369793814432988</v>
      </c>
    </row>
    <row r="112" spans="1:8" ht="14.25" customHeight="1" x14ac:dyDescent="0.3">
      <c r="A112" s="128" t="s">
        <v>83</v>
      </c>
      <c r="B112" s="123" t="str">
        <f t="shared" si="14"/>
        <v>Salt - ملح</v>
      </c>
      <c r="C112" s="123" t="str">
        <f t="shared" si="14"/>
        <v>gm</v>
      </c>
      <c r="D112" s="460">
        <f t="shared" si="14"/>
        <v>5</v>
      </c>
      <c r="E112" s="197">
        <f t="shared" si="18"/>
        <v>1.0184896907216494</v>
      </c>
      <c r="F112" s="299">
        <f t="shared" si="15"/>
        <v>1</v>
      </c>
      <c r="G112" s="121">
        <f>D112*E112</f>
        <v>5.092448453608247</v>
      </c>
      <c r="H112" s="207">
        <f>G112*F112</f>
        <v>5.092448453608247</v>
      </c>
    </row>
    <row r="113" spans="1:8" ht="20.25" customHeight="1" x14ac:dyDescent="0.3">
      <c r="A113" s="211"/>
      <c r="B113" s="198" t="s">
        <v>299</v>
      </c>
      <c r="C113" s="200" t="s">
        <v>285</v>
      </c>
      <c r="E113" s="200" t="s">
        <v>300</v>
      </c>
      <c r="G113" s="890" t="s">
        <v>276</v>
      </c>
      <c r="H113" s="890" t="s">
        <v>733</v>
      </c>
    </row>
    <row r="114" spans="1:8" ht="20" x14ac:dyDescent="0.4">
      <c r="A114" s="211"/>
      <c r="B114" s="199">
        <f>$J$54</f>
        <v>2072.0650000000023</v>
      </c>
      <c r="C114" s="199">
        <f>E114+G114</f>
        <v>987.93499999999995</v>
      </c>
      <c r="D114" s="930"/>
      <c r="E114" s="199">
        <f>$D$54*$S$44</f>
        <v>987.93499999999995</v>
      </c>
      <c r="F114" s="934"/>
      <c r="G114" s="199">
        <f>$D$54*$T$44</f>
        <v>0</v>
      </c>
      <c r="H114" s="199">
        <f>B114+E114</f>
        <v>3060.0000000000023</v>
      </c>
    </row>
  </sheetData>
  <mergeCells count="9">
    <mergeCell ref="AE2:AG3"/>
    <mergeCell ref="B63:H63"/>
    <mergeCell ref="R26:U26"/>
    <mergeCell ref="B90:H90"/>
    <mergeCell ref="B2:H2"/>
    <mergeCell ref="B62:H62"/>
    <mergeCell ref="R25:U25"/>
    <mergeCell ref="B89:H89"/>
    <mergeCell ref="B35:F35"/>
  </mergeCells>
  <printOptions horizontalCentered="1"/>
  <pageMargins left="0.5" right="0.5" top="1" bottom="0.5" header="0.3" footer="0.511811023622047"/>
  <pageSetup paperSize="9" scale="35" orientation="portrait" r:id="rId1"/>
  <legacy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rgb="FFBF9000"/>
    <pageSetUpPr fitToPage="1"/>
  </sheetPr>
  <dimension ref="A1:AG98"/>
  <sheetViews>
    <sheetView topLeftCell="F10" zoomScale="85" zoomScaleNormal="85" workbookViewId="0">
      <selection activeCell="T28" sqref="S28:T30"/>
    </sheetView>
  </sheetViews>
  <sheetFormatPr defaultColWidth="12.5" defaultRowHeight="14" x14ac:dyDescent="0.3"/>
  <cols>
    <col min="1" max="1" width="16.33203125" style="1" customWidth="1"/>
    <col min="2" max="2" width="30.9140625" customWidth="1"/>
    <col min="3" max="3" width="16.9140625" customWidth="1"/>
    <col min="4" max="4" width="19" customWidth="1"/>
    <col min="5" max="5" width="16.1640625" customWidth="1"/>
    <col min="6" max="6" width="23.08203125" customWidth="1"/>
    <col min="7" max="7" width="25.1640625" customWidth="1"/>
    <col min="8" max="8" width="36.1640625" customWidth="1"/>
    <col min="9" max="9" width="18" customWidth="1"/>
    <col min="12" max="12" width="8.33203125" customWidth="1"/>
    <col min="13" max="13" width="31.83203125" customWidth="1"/>
    <col min="18" max="18" width="32" customWidth="1"/>
    <col min="23" max="23" width="29.4140625" customWidth="1"/>
    <col min="24" max="24" width="31.6640625" customWidth="1"/>
    <col min="28" max="28" width="11" bestFit="1" customWidth="1"/>
  </cols>
  <sheetData>
    <row r="1" spans="1:33" ht="24" customHeight="1" x14ac:dyDescent="0.3">
      <c r="A1" s="80" t="s">
        <v>243</v>
      </c>
      <c r="B1" s="81">
        <v>1000</v>
      </c>
      <c r="C1" s="89" t="s">
        <v>325</v>
      </c>
      <c r="D1" s="90">
        <f>$S$30/J1</f>
        <v>28338.709677419356</v>
      </c>
      <c r="E1" s="91" t="s">
        <v>248</v>
      </c>
      <c r="F1" s="92" t="s">
        <v>409</v>
      </c>
      <c r="G1" s="91" t="s">
        <v>327</v>
      </c>
      <c r="H1" s="305">
        <f>H52</f>
        <v>17.57</v>
      </c>
      <c r="I1" s="93" t="s">
        <v>250</v>
      </c>
      <c r="J1" s="306">
        <v>0.62</v>
      </c>
      <c r="K1" s="100"/>
      <c r="Y1" s="91" t="s">
        <v>479</v>
      </c>
      <c r="Z1" s="847">
        <v>16570</v>
      </c>
      <c r="AA1" s="91" t="s">
        <v>600</v>
      </c>
      <c r="AB1" s="847">
        <v>1000</v>
      </c>
      <c r="AC1" s="91" t="s">
        <v>587</v>
      </c>
      <c r="AD1" s="847">
        <v>113</v>
      </c>
    </row>
    <row r="2" spans="1:33" ht="12.75" customHeight="1" x14ac:dyDescent="0.3">
      <c r="A2" s="265"/>
      <c r="B2" s="1387" t="s">
        <v>410</v>
      </c>
      <c r="C2" s="1422"/>
      <c r="D2" s="1422"/>
      <c r="E2" s="1422"/>
      <c r="F2" s="1422"/>
      <c r="G2" s="1422"/>
      <c r="H2" s="1422"/>
      <c r="I2" s="1422"/>
      <c r="J2" s="1422"/>
      <c r="K2" s="1422"/>
      <c r="L2" s="293"/>
      <c r="M2" s="100"/>
      <c r="N2" s="100"/>
      <c r="AE2" s="1396"/>
      <c r="AF2" s="1422"/>
      <c r="AG2" s="1422"/>
    </row>
    <row r="3" spans="1:33" ht="12.75" customHeight="1" x14ac:dyDescent="0.3">
      <c r="A3" s="265"/>
      <c r="B3" s="1388"/>
      <c r="C3" s="1388"/>
      <c r="D3" s="1388"/>
      <c r="E3" s="1388"/>
      <c r="F3" s="1388"/>
      <c r="G3" s="1388"/>
      <c r="H3" s="1388"/>
      <c r="I3" s="1388"/>
      <c r="J3" s="1388"/>
      <c r="K3" s="1388"/>
      <c r="L3" s="293"/>
      <c r="M3" s="100"/>
      <c r="N3" s="100"/>
      <c r="AE3" s="1422"/>
      <c r="AF3" s="1422"/>
      <c r="AG3" s="1422"/>
    </row>
    <row r="4" spans="1:33" ht="46.5" customHeight="1" x14ac:dyDescent="0.3">
      <c r="A4" s="91" t="s">
        <v>1</v>
      </c>
      <c r="B4" s="91" t="s">
        <v>253</v>
      </c>
      <c r="C4" s="307" t="s">
        <v>329</v>
      </c>
      <c r="D4" s="91" t="s">
        <v>330</v>
      </c>
      <c r="E4" s="108" t="s">
        <v>331</v>
      </c>
      <c r="F4" s="108" t="s">
        <v>332</v>
      </c>
      <c r="G4" s="308" t="s">
        <v>333</v>
      </c>
      <c r="H4" s="109" t="s">
        <v>334</v>
      </c>
      <c r="I4" s="91" t="s">
        <v>258</v>
      </c>
      <c r="J4" s="91" t="s">
        <v>259</v>
      </c>
      <c r="K4" s="91" t="s">
        <v>260</v>
      </c>
      <c r="L4" s="91" t="s">
        <v>261</v>
      </c>
    </row>
    <row r="5" spans="1:33" ht="14.25" customHeight="1" x14ac:dyDescent="0.3">
      <c r="A5" s="266" t="s">
        <v>230</v>
      </c>
      <c r="B5" s="309" t="s">
        <v>229</v>
      </c>
      <c r="C5" s="124" t="s">
        <v>14</v>
      </c>
      <c r="D5" s="268">
        <f>I51/H51</f>
        <v>1612.9032258064517</v>
      </c>
      <c r="E5" s="119">
        <f>I52/D5</f>
        <v>17.57</v>
      </c>
      <c r="F5" s="127">
        <v>1</v>
      </c>
      <c r="G5" s="117">
        <f>D1</f>
        <v>28338.709677419356</v>
      </c>
      <c r="H5" s="406">
        <f>D1</f>
        <v>28338.709677419356</v>
      </c>
      <c r="I5" s="81">
        <f>VLOOKUP(B5,All_Ingredients!$A$1:$F$151,6,FALSE())</f>
        <v>0.86</v>
      </c>
      <c r="J5" s="119">
        <f>VLOOKUP(B5,All_Ingredients!$A$1:$J$151,10,FALSE())</f>
        <v>17.100000000000001</v>
      </c>
      <c r="K5" s="122">
        <f t="shared" ref="K5" si="0">(H5/I5)/1000</f>
        <v>32.951987996999257</v>
      </c>
      <c r="L5" s="122">
        <f t="shared" ref="L5" si="1">K5*J5</f>
        <v>563.47899474868734</v>
      </c>
    </row>
    <row r="6" spans="1:33" ht="14.25" customHeight="1" x14ac:dyDescent="0.3">
      <c r="A6" s="270" t="s">
        <v>97</v>
      </c>
      <c r="B6" s="22" t="s">
        <v>108</v>
      </c>
      <c r="C6" s="124" t="s">
        <v>14</v>
      </c>
      <c r="D6" s="125">
        <v>25</v>
      </c>
      <c r="E6" s="197">
        <f>$H$52</f>
        <v>17.57</v>
      </c>
      <c r="F6" s="127">
        <v>0.7</v>
      </c>
      <c r="G6" s="119">
        <f>D6*E6</f>
        <v>439.25</v>
      </c>
      <c r="H6" s="120">
        <f>G6*F6</f>
        <v>307.47499999999997</v>
      </c>
      <c r="I6" s="81">
        <f>VLOOKUP(B6,All_Ingredients!$A$1:$F$151,6,FALSE())</f>
        <v>1</v>
      </c>
      <c r="J6" s="119">
        <f>VLOOKUP(B6,All_Ingredients!$A$1:$J$151,10,FALSE())</f>
        <v>15</v>
      </c>
      <c r="K6" s="122">
        <f t="shared" ref="K6:K10" si="2">(H6/I6)/1000</f>
        <v>0.30747499999999994</v>
      </c>
      <c r="L6" s="122">
        <f t="shared" ref="L6:L10" si="3">K6*J6</f>
        <v>4.6121249999999989</v>
      </c>
    </row>
    <row r="7" spans="1:33" ht="14.25" customHeight="1" x14ac:dyDescent="0.3">
      <c r="A7" s="270" t="s">
        <v>196</v>
      </c>
      <c r="B7" s="294" t="s">
        <v>761</v>
      </c>
      <c r="C7" s="124" t="s">
        <v>14</v>
      </c>
      <c r="D7" s="125">
        <v>35</v>
      </c>
      <c r="E7" s="197">
        <f>$H$52</f>
        <v>17.57</v>
      </c>
      <c r="F7" s="127">
        <v>0.75</v>
      </c>
      <c r="G7" s="119">
        <f>D7*E7</f>
        <v>614.95000000000005</v>
      </c>
      <c r="H7" s="120">
        <f>G7*F7</f>
        <v>461.21250000000003</v>
      </c>
      <c r="I7" s="81">
        <f>VLOOKUP(B7,All_Ingredients!$A$1:$F$151,6,FALSE())</f>
        <v>1</v>
      </c>
      <c r="J7" s="119">
        <f>VLOOKUP(B7,All_Ingredients!$A$1:$J$151,10,FALSE())</f>
        <v>8.1520833333333336</v>
      </c>
      <c r="K7" s="122">
        <f t="shared" si="2"/>
        <v>0.46121250000000003</v>
      </c>
      <c r="L7" s="122">
        <f t="shared" si="3"/>
        <v>3.7598427343750003</v>
      </c>
    </row>
    <row r="8" spans="1:33" ht="14.25" customHeight="1" x14ac:dyDescent="0.3">
      <c r="A8" s="270" t="s">
        <v>97</v>
      </c>
      <c r="B8" s="22" t="s">
        <v>110</v>
      </c>
      <c r="C8" s="124" t="s">
        <v>14</v>
      </c>
      <c r="D8" s="125">
        <v>20</v>
      </c>
      <c r="E8" s="197">
        <f>$H$52</f>
        <v>17.57</v>
      </c>
      <c r="F8" s="127">
        <v>0.7</v>
      </c>
      <c r="G8" s="119">
        <f>D8*E8</f>
        <v>351.4</v>
      </c>
      <c r="H8" s="120">
        <f>G8*F8</f>
        <v>245.97999999999996</v>
      </c>
      <c r="I8" s="81">
        <f>VLOOKUP(B8,All_Ingredients!$A$1:$F$151,6,FALSE())</f>
        <v>1</v>
      </c>
      <c r="J8" s="119">
        <f>VLOOKUP(B8,All_Ingredients!$A$1:$J$151,10,FALSE())</f>
        <v>8</v>
      </c>
      <c r="K8" s="122">
        <f t="shared" si="2"/>
        <v>0.24597999999999995</v>
      </c>
      <c r="L8" s="122">
        <f t="shared" si="3"/>
        <v>1.9678399999999996</v>
      </c>
    </row>
    <row r="9" spans="1:33" ht="14.25" customHeight="1" x14ac:dyDescent="0.3">
      <c r="A9" s="270" t="s">
        <v>97</v>
      </c>
      <c r="B9" s="323" t="s">
        <v>96</v>
      </c>
      <c r="C9" s="124" t="s">
        <v>14</v>
      </c>
      <c r="D9" s="125">
        <v>15</v>
      </c>
      <c r="E9" s="197">
        <f>$H$52</f>
        <v>17.57</v>
      </c>
      <c r="F9" s="127">
        <v>0.75</v>
      </c>
      <c r="G9" s="119">
        <f>D9*E9</f>
        <v>263.55</v>
      </c>
      <c r="H9" s="120">
        <f>G9*F9</f>
        <v>197.66250000000002</v>
      </c>
      <c r="I9" s="81">
        <f>VLOOKUP(B9,All_Ingredients!$A$1:$F$151,6,FALSE())</f>
        <v>1</v>
      </c>
      <c r="J9" s="119">
        <f>VLOOKUP(B9,All_Ingredients!$A$1:$J$151,10,FALSE())</f>
        <v>0.74</v>
      </c>
      <c r="K9" s="122">
        <f t="shared" si="2"/>
        <v>0.19766250000000002</v>
      </c>
      <c r="L9" s="122">
        <f t="shared" si="3"/>
        <v>0.14627025000000002</v>
      </c>
    </row>
    <row r="10" spans="1:33" x14ac:dyDescent="0.3">
      <c r="A10" s="270" t="s">
        <v>210</v>
      </c>
      <c r="B10" s="323" t="s">
        <v>209</v>
      </c>
      <c r="C10" s="124" t="s">
        <v>14</v>
      </c>
      <c r="D10" s="125">
        <v>1500</v>
      </c>
      <c r="E10" s="197">
        <f>$H$52</f>
        <v>17.57</v>
      </c>
      <c r="F10" s="127">
        <v>1</v>
      </c>
      <c r="G10" s="119">
        <f>D10*E10</f>
        <v>26355</v>
      </c>
      <c r="H10" s="120">
        <f>G10*F10</f>
        <v>26355</v>
      </c>
      <c r="I10" s="81">
        <f>VLOOKUP(B10,All_Ingredients!$A$1:$F$151,6,FALSE())</f>
        <v>1</v>
      </c>
      <c r="J10" s="249">
        <f>VLOOKUP(B10,All_Ingredients!$A$1:$J$151,10,FALSE())</f>
        <v>0</v>
      </c>
      <c r="K10" s="122">
        <f t="shared" si="2"/>
        <v>26.355</v>
      </c>
      <c r="L10" s="122">
        <f t="shared" si="3"/>
        <v>0</v>
      </c>
    </row>
    <row r="11" spans="1:33" ht="14.25" customHeight="1" x14ac:dyDescent="0.3">
      <c r="A11" s="100"/>
      <c r="B11" s="100"/>
      <c r="C11" s="100"/>
      <c r="D11" s="100"/>
      <c r="E11" s="100"/>
      <c r="F11" s="100"/>
      <c r="L11" s="209"/>
    </row>
    <row r="12" spans="1:33" ht="14.25" customHeight="1" x14ac:dyDescent="0.3">
      <c r="A12" s="100"/>
      <c r="B12" s="100"/>
      <c r="C12" s="100"/>
      <c r="D12" s="100"/>
      <c r="E12" s="100"/>
      <c r="F12" s="100"/>
      <c r="L12" s="209"/>
    </row>
    <row r="13" spans="1:33" ht="14.25" customHeight="1" x14ac:dyDescent="0.3">
      <c r="A13" s="100"/>
      <c r="B13" s="100"/>
      <c r="C13" s="100"/>
      <c r="D13" s="100"/>
      <c r="E13" s="100"/>
      <c r="F13" s="100"/>
      <c r="L13" s="209"/>
    </row>
    <row r="14" spans="1:33" ht="14.25" customHeight="1" x14ac:dyDescent="0.3">
      <c r="A14" s="100"/>
      <c r="F14" s="100"/>
      <c r="L14" s="209"/>
    </row>
    <row r="15" spans="1:33" ht="15" customHeight="1" x14ac:dyDescent="0.3">
      <c r="A15" s="100"/>
      <c r="F15" s="100"/>
      <c r="L15" s="209"/>
    </row>
    <row r="16" spans="1:33" ht="14.25" customHeight="1" x14ac:dyDescent="0.3">
      <c r="A16" s="100"/>
      <c r="F16" s="100"/>
    </row>
    <row r="17" spans="1:29" ht="14.25" customHeight="1" x14ac:dyDescent="0.3">
      <c r="A17" s="100"/>
      <c r="F17" s="100"/>
    </row>
    <row r="18" spans="1:29" ht="14.25" customHeight="1" x14ac:dyDescent="0.3">
      <c r="A18" s="100"/>
      <c r="F18" s="100"/>
    </row>
    <row r="19" spans="1:29" ht="14.25" customHeight="1" x14ac:dyDescent="0.3">
      <c r="A19" s="100"/>
      <c r="F19" s="100"/>
    </row>
    <row r="20" spans="1:29" ht="14.25" customHeight="1" x14ac:dyDescent="0.3">
      <c r="F20" s="100"/>
    </row>
    <row r="21" spans="1:29" ht="14.25" customHeight="1" x14ac:dyDescent="0.3">
      <c r="B21" s="100"/>
      <c r="E21" s="100"/>
      <c r="F21" s="100"/>
    </row>
    <row r="22" spans="1:29" ht="14.25" customHeight="1" x14ac:dyDescent="0.3">
      <c r="B22" s="100"/>
      <c r="E22" s="100"/>
      <c r="F22" s="100"/>
    </row>
    <row r="23" spans="1:29" ht="14.25" customHeight="1" x14ac:dyDescent="0.3">
      <c r="B23" s="100"/>
      <c r="E23" s="100"/>
      <c r="F23" s="100"/>
    </row>
    <row r="24" spans="1:29" ht="14.25" customHeight="1" x14ac:dyDescent="0.3">
      <c r="B24" s="100"/>
      <c r="E24" s="100"/>
      <c r="F24" s="100"/>
      <c r="Z24" s="1294"/>
    </row>
    <row r="25" spans="1:29" ht="15.75" customHeight="1" x14ac:dyDescent="0.35">
      <c r="B25" s="100"/>
      <c r="D25" s="695"/>
      <c r="E25" s="100"/>
      <c r="F25" s="100"/>
      <c r="R25" s="1411" t="str">
        <f>B2</f>
        <v>Chicken Saleeq - دجاج سليق</v>
      </c>
      <c r="S25" s="1388"/>
      <c r="T25" s="1388"/>
      <c r="Z25" s="141" t="s">
        <v>264</v>
      </c>
      <c r="AA25" s="142">
        <v>17390</v>
      </c>
      <c r="AB25" s="141" t="s">
        <v>261</v>
      </c>
      <c r="AC25" s="143">
        <f>AC30*AA25</f>
        <v>568.08495246601899</v>
      </c>
    </row>
    <row r="26" spans="1:29" ht="27.75" customHeight="1" x14ac:dyDescent="0.3">
      <c r="B26" s="100"/>
      <c r="E26" s="100"/>
      <c r="F26" s="100"/>
      <c r="R26" s="1409" t="s">
        <v>336</v>
      </c>
      <c r="S26" s="1410"/>
      <c r="T26" s="1410"/>
      <c r="AB26" s="14"/>
      <c r="AC26" s="14"/>
    </row>
    <row r="27" spans="1:29" ht="14.25" customHeight="1" thickBot="1" x14ac:dyDescent="0.35">
      <c r="B27" s="100"/>
      <c r="E27" s="100"/>
      <c r="F27" s="100"/>
      <c r="R27" s="145" t="s">
        <v>266</v>
      </c>
      <c r="S27" s="146" t="s">
        <v>267</v>
      </c>
      <c r="T27" s="146" t="s">
        <v>269</v>
      </c>
      <c r="U27" s="146" t="s">
        <v>848</v>
      </c>
      <c r="Z27" s="141" t="s">
        <v>270</v>
      </c>
      <c r="AA27" s="147" t="s">
        <v>271</v>
      </c>
      <c r="AB27" s="1186" t="s">
        <v>848</v>
      </c>
      <c r="AC27" s="147" t="s">
        <v>274</v>
      </c>
    </row>
    <row r="28" spans="1:29" ht="14.25" customHeight="1" thickBot="1" x14ac:dyDescent="0.35">
      <c r="B28" s="100"/>
      <c r="E28" s="100"/>
      <c r="F28" s="100"/>
      <c r="R28" s="148" t="s">
        <v>337</v>
      </c>
      <c r="S28" s="766">
        <f>$Z$1</f>
        <v>16570</v>
      </c>
      <c r="T28" s="760">
        <f>S28</f>
        <v>16570</v>
      </c>
      <c r="U28" s="760">
        <f>SUM(G21)</f>
        <v>0</v>
      </c>
      <c r="Z28" s="151"/>
      <c r="AA28" s="152">
        <f>AA25</f>
        <v>17390</v>
      </c>
      <c r="AB28" s="1188"/>
      <c r="AC28" s="154">
        <f>SUM(AA28:AB28)</f>
        <v>17390</v>
      </c>
    </row>
    <row r="29" spans="1:29" ht="14.25" customHeight="1" thickBot="1" x14ac:dyDescent="0.35">
      <c r="B29" s="100"/>
      <c r="E29" s="100"/>
      <c r="F29" s="100"/>
      <c r="R29" s="148" t="s">
        <v>338</v>
      </c>
      <c r="S29" s="788">
        <f>$AB$1</f>
        <v>1000</v>
      </c>
      <c r="T29" s="762">
        <f>S29</f>
        <v>1000</v>
      </c>
      <c r="U29" s="762"/>
      <c r="Z29" s="151"/>
      <c r="AA29" s="156">
        <v>1</v>
      </c>
      <c r="AB29" s="1192"/>
      <c r="AC29" s="156">
        <f>AC28/$AC$28</f>
        <v>1</v>
      </c>
    </row>
    <row r="30" spans="1:29" ht="14.25" customHeight="1" thickBot="1" x14ac:dyDescent="0.35">
      <c r="B30" s="100"/>
      <c r="E30" s="100"/>
      <c r="F30" s="100"/>
      <c r="R30" s="160" t="s">
        <v>339</v>
      </c>
      <c r="S30" s="149">
        <f>S28+S29</f>
        <v>17570</v>
      </c>
      <c r="T30" s="149">
        <f>T28+T29</f>
        <v>17570</v>
      </c>
      <c r="U30" s="149">
        <f>U28+U29</f>
        <v>0</v>
      </c>
      <c r="Z30" s="141" t="s">
        <v>278</v>
      </c>
      <c r="AA30" s="157">
        <f>S33/(S30)</f>
        <v>3.266733481690736E-2</v>
      </c>
      <c r="AB30" s="1199">
        <f>U33/T30</f>
        <v>0</v>
      </c>
      <c r="AC30" s="1201">
        <f>SUMPRODUCT(AA30,AA29)+AB30</f>
        <v>3.266733481690736E-2</v>
      </c>
    </row>
    <row r="31" spans="1:29" ht="14.25" customHeight="1" thickBot="1" x14ac:dyDescent="0.35">
      <c r="B31" s="100"/>
      <c r="E31" s="100"/>
      <c r="F31" s="100"/>
      <c r="R31" s="161" t="s">
        <v>280</v>
      </c>
      <c r="S31" s="155"/>
      <c r="T31" s="155"/>
      <c r="U31" s="155"/>
    </row>
    <row r="32" spans="1:29" ht="14.25" customHeight="1" thickBot="1" x14ac:dyDescent="0.35">
      <c r="R32" s="162" t="s">
        <v>281</v>
      </c>
      <c r="S32" s="155"/>
      <c r="T32" s="155"/>
      <c r="U32" s="155"/>
    </row>
    <row r="33" spans="17:24" ht="14.25" customHeight="1" thickBot="1" x14ac:dyDescent="0.35">
      <c r="R33" s="163" t="s">
        <v>261</v>
      </c>
      <c r="S33" s="164">
        <f>SUM(L5:L10)</f>
        <v>573.96507273306236</v>
      </c>
      <c r="T33" s="164">
        <f>S33</f>
        <v>573.96507273306236</v>
      </c>
      <c r="U33" s="164">
        <f>SUM(L37)</f>
        <v>0</v>
      </c>
    </row>
    <row r="40" spans="17:24" ht="14.25" customHeight="1" x14ac:dyDescent="0.3">
      <c r="Q40" s="14"/>
      <c r="R40" s="165" t="s">
        <v>340</v>
      </c>
      <c r="S40" s="239">
        <v>1</v>
      </c>
      <c r="X40" s="14"/>
    </row>
    <row r="41" spans="17:24" ht="14.25" customHeight="1" x14ac:dyDescent="0.3">
      <c r="Q41" s="14"/>
      <c r="R41" s="14"/>
      <c r="S41" s="14"/>
      <c r="T41" s="14"/>
      <c r="U41" s="169"/>
      <c r="V41" s="14"/>
      <c r="W41" s="14"/>
      <c r="X41" s="14"/>
    </row>
    <row r="42" spans="17:24" ht="14.25" customHeight="1" x14ac:dyDescent="0.3">
      <c r="Q42" s="14"/>
      <c r="R42" s="14"/>
      <c r="S42" s="14"/>
      <c r="T42" s="14"/>
      <c r="U42" s="14"/>
      <c r="V42" s="14"/>
      <c r="W42" s="14"/>
      <c r="X42" s="14"/>
    </row>
    <row r="43" spans="17:24" ht="14.25" customHeight="1" x14ac:dyDescent="0.3">
      <c r="Q43" s="170" t="s">
        <v>284</v>
      </c>
      <c r="R43" s="170" t="s">
        <v>285</v>
      </c>
      <c r="S43" s="170" t="s">
        <v>286</v>
      </c>
      <c r="T43" s="170" t="s">
        <v>287</v>
      </c>
      <c r="U43" s="170" t="s">
        <v>288</v>
      </c>
      <c r="V43" s="170" t="s">
        <v>289</v>
      </c>
      <c r="W43" s="258" t="s">
        <v>341</v>
      </c>
      <c r="X43" s="321"/>
    </row>
    <row r="44" spans="17:24" ht="14.25" customHeight="1" x14ac:dyDescent="0.3">
      <c r="Q44" s="172">
        <v>10000</v>
      </c>
      <c r="R44" s="173">
        <v>0</v>
      </c>
      <c r="S44" s="241">
        <v>0</v>
      </c>
      <c r="T44" s="241">
        <v>0</v>
      </c>
      <c r="U44" s="242">
        <f>R44*S44</f>
        <v>0</v>
      </c>
      <c r="V44" s="176">
        <f>R44*T44</f>
        <v>0</v>
      </c>
      <c r="W44" s="260">
        <f>Q44-U44</f>
        <v>10000</v>
      </c>
      <c r="X44" s="298"/>
    </row>
    <row r="50" spans="1:10" ht="14.5" thickBot="1" x14ac:dyDescent="0.35">
      <c r="G50" s="146" t="s">
        <v>292</v>
      </c>
      <c r="H50" s="146" t="s">
        <v>245</v>
      </c>
      <c r="I50" s="146" t="s">
        <v>293</v>
      </c>
      <c r="J50" s="146" t="s">
        <v>294</v>
      </c>
    </row>
    <row r="51" spans="1:10" ht="14.5" thickBot="1" x14ac:dyDescent="0.35">
      <c r="G51" s="310" t="s">
        <v>335</v>
      </c>
      <c r="H51" s="311">
        <v>10</v>
      </c>
      <c r="I51" s="311">
        <f>J51/J1</f>
        <v>16129.032258064517</v>
      </c>
      <c r="J51" s="312">
        <f>$W$44</f>
        <v>10000</v>
      </c>
    </row>
    <row r="52" spans="1:10" x14ac:dyDescent="0.3">
      <c r="G52" s="162" t="s">
        <v>274</v>
      </c>
      <c r="H52" s="313">
        <f>E5</f>
        <v>17.57</v>
      </c>
      <c r="I52" s="314">
        <f>J52/$J$1</f>
        <v>28338.709677419356</v>
      </c>
      <c r="J52" s="315">
        <f>$S$30</f>
        <v>17570</v>
      </c>
    </row>
    <row r="53" spans="1:10" x14ac:dyDescent="0.3">
      <c r="D53" s="492"/>
      <c r="G53" s="148" t="s">
        <v>296</v>
      </c>
      <c r="H53" s="316">
        <f>MIN($H$52, H51)</f>
        <v>10</v>
      </c>
      <c r="I53" s="176">
        <f>J53/$J$1</f>
        <v>16129.032258064517</v>
      </c>
      <c r="J53" s="317">
        <f>MIN(MAX($J$52,0),$J$51)</f>
        <v>10000</v>
      </c>
    </row>
    <row r="54" spans="1:10" x14ac:dyDescent="0.3">
      <c r="D54" s="492"/>
      <c r="G54" s="148" t="s">
        <v>297</v>
      </c>
      <c r="H54" s="316">
        <f>MIN(MAX($H$52-H53,0),H51)</f>
        <v>7.57</v>
      </c>
      <c r="I54" s="176">
        <f>J54/$J$1</f>
        <v>12209.677419354839</v>
      </c>
      <c r="J54" s="184">
        <f>MIN(MAX($J$52-J53,0),$J$51)</f>
        <v>7570</v>
      </c>
    </row>
    <row r="55" spans="1:10" x14ac:dyDescent="0.3">
      <c r="D55" s="492"/>
      <c r="G55" s="145" t="s">
        <v>298</v>
      </c>
      <c r="H55" s="316">
        <f>MIN(MAX($H$52-H53-H54,0),H51)</f>
        <v>0</v>
      </c>
      <c r="I55" s="176">
        <f>J55/$J$1</f>
        <v>0</v>
      </c>
      <c r="J55" s="317">
        <f>MIN(MAX($J$52-J53-J54,0),$J$51)</f>
        <v>0</v>
      </c>
    </row>
    <row r="56" spans="1:10" x14ac:dyDescent="0.3">
      <c r="G56" s="145" t="s">
        <v>305</v>
      </c>
      <c r="H56" s="316">
        <f>MIN(MAX($H$52-H53-H54-H55,0),H52)</f>
        <v>0</v>
      </c>
      <c r="I56" s="176">
        <f>J56/$J$1</f>
        <v>0</v>
      </c>
      <c r="J56" s="317">
        <f>MIN(MAX($J$52-J53-J54-J55,0),$J$51)</f>
        <v>0</v>
      </c>
    </row>
    <row r="62" spans="1:10" ht="17.75" customHeight="1" x14ac:dyDescent="0.3">
      <c r="A62" s="322"/>
      <c r="B62" s="1413" t="str">
        <f>"دجاج سليق 1 / " &amp; COUNTIF($H$53:$H$55, "&gt;0")</f>
        <v>دجاج سليق 1 / 2</v>
      </c>
      <c r="C62" s="1421"/>
      <c r="D62" s="1421"/>
      <c r="E62" s="1421"/>
      <c r="F62" s="1421"/>
      <c r="G62" s="1421"/>
      <c r="H62" s="1421"/>
    </row>
    <row r="63" spans="1:10" ht="17.75" customHeight="1" x14ac:dyDescent="0.3">
      <c r="A63" s="322"/>
      <c r="B63" s="1413" t="str">
        <f>"Chicken Saleeq 1 / " &amp; COUNTIF($H$53:$H$55, "&gt;0")</f>
        <v>Chicken Saleeq 1 / 2</v>
      </c>
      <c r="C63" s="1421"/>
      <c r="D63" s="1421"/>
      <c r="E63" s="1421"/>
      <c r="F63" s="1421"/>
      <c r="G63" s="1421"/>
      <c r="H63" s="1421"/>
    </row>
    <row r="64" spans="1:10" ht="46.5" customHeight="1" x14ac:dyDescent="0.3">
      <c r="A64" s="91"/>
      <c r="B64" s="91" t="s">
        <v>253</v>
      </c>
      <c r="C64" s="307" t="s">
        <v>329</v>
      </c>
      <c r="D64" s="91" t="s">
        <v>330</v>
      </c>
      <c r="E64" s="108" t="s">
        <v>331</v>
      </c>
      <c r="F64" s="108" t="s">
        <v>332</v>
      </c>
      <c r="G64" s="308" t="s">
        <v>333</v>
      </c>
      <c r="H64" s="109" t="s">
        <v>334</v>
      </c>
    </row>
    <row r="65" spans="1:8" ht="14.25" customHeight="1" x14ac:dyDescent="0.3">
      <c r="A65" s="219" t="s">
        <v>230</v>
      </c>
      <c r="B65" s="323" t="str">
        <f t="shared" ref="B65:D70" si="4">B5</f>
        <v>Chicken - دجاج</v>
      </c>
      <c r="C65" s="323" t="str">
        <f t="shared" si="4"/>
        <v>gm</v>
      </c>
      <c r="D65" s="324">
        <f t="shared" si="4"/>
        <v>1612.9032258064517</v>
      </c>
      <c r="E65" s="197">
        <f t="shared" ref="E65:E70" si="5">$H$53</f>
        <v>10</v>
      </c>
      <c r="F65" s="127">
        <f t="shared" ref="F65:F70" si="6">F5</f>
        <v>1</v>
      </c>
      <c r="G65" s="119">
        <f t="shared" ref="G65:G70" si="7">D65*E65</f>
        <v>16129.032258064517</v>
      </c>
      <c r="H65" s="120">
        <f t="shared" ref="H65:H70" si="8">G65*F65</f>
        <v>16129.032258064517</v>
      </c>
    </row>
    <row r="66" spans="1:8" ht="14.25" customHeight="1" x14ac:dyDescent="0.3">
      <c r="A66" s="270" t="s">
        <v>97</v>
      </c>
      <c r="B66" s="323" t="str">
        <f t="shared" si="4"/>
        <v>Cumin Powder - كمون مطحون</v>
      </c>
      <c r="C66" s="323" t="str">
        <f t="shared" si="4"/>
        <v>gm</v>
      </c>
      <c r="D66" s="323">
        <f t="shared" si="4"/>
        <v>25</v>
      </c>
      <c r="E66" s="197">
        <f t="shared" si="5"/>
        <v>10</v>
      </c>
      <c r="F66" s="127">
        <f t="shared" si="6"/>
        <v>0.7</v>
      </c>
      <c r="G66" s="81">
        <f t="shared" si="7"/>
        <v>250</v>
      </c>
      <c r="H66" s="120">
        <f t="shared" si="8"/>
        <v>175</v>
      </c>
    </row>
    <row r="67" spans="1:8" ht="14.25" customHeight="1" x14ac:dyDescent="0.3">
      <c r="A67" s="270" t="s">
        <v>196</v>
      </c>
      <c r="B67" s="323" t="str">
        <f t="shared" si="4"/>
        <v>Tomato Paste - صلصة طماطم</v>
      </c>
      <c r="C67" s="323" t="str">
        <f t="shared" si="4"/>
        <v>gm</v>
      </c>
      <c r="D67" s="323">
        <f t="shared" si="4"/>
        <v>35</v>
      </c>
      <c r="E67" s="197">
        <f t="shared" si="5"/>
        <v>10</v>
      </c>
      <c r="F67" s="127">
        <f t="shared" si="6"/>
        <v>0.75</v>
      </c>
      <c r="G67" s="81">
        <f t="shared" si="7"/>
        <v>350</v>
      </c>
      <c r="H67" s="120">
        <f t="shared" si="8"/>
        <v>262.5</v>
      </c>
    </row>
    <row r="68" spans="1:8" ht="14.25" customHeight="1" x14ac:dyDescent="0.3">
      <c r="A68" s="270" t="s">
        <v>97</v>
      </c>
      <c r="B68" s="323" t="str">
        <f t="shared" si="4"/>
        <v>Coriander Powder - كزبرة مطحونة</v>
      </c>
      <c r="C68" s="323" t="str">
        <f t="shared" si="4"/>
        <v>gm</v>
      </c>
      <c r="D68" s="323">
        <f t="shared" si="4"/>
        <v>20</v>
      </c>
      <c r="E68" s="197">
        <f t="shared" si="5"/>
        <v>10</v>
      </c>
      <c r="F68" s="127">
        <f t="shared" si="6"/>
        <v>0.7</v>
      </c>
      <c r="G68" s="81">
        <f t="shared" si="7"/>
        <v>200</v>
      </c>
      <c r="H68" s="120">
        <f t="shared" si="8"/>
        <v>140</v>
      </c>
    </row>
    <row r="69" spans="1:8" ht="14.25" customHeight="1" x14ac:dyDescent="0.3">
      <c r="A69" s="270" t="s">
        <v>97</v>
      </c>
      <c r="B69" s="323" t="str">
        <f t="shared" si="4"/>
        <v>Salt - ملح</v>
      </c>
      <c r="C69" s="323" t="str">
        <f t="shared" si="4"/>
        <v>gm</v>
      </c>
      <c r="D69" s="323">
        <f t="shared" si="4"/>
        <v>15</v>
      </c>
      <c r="E69" s="197">
        <f t="shared" si="5"/>
        <v>10</v>
      </c>
      <c r="F69" s="127">
        <f t="shared" si="6"/>
        <v>0.75</v>
      </c>
      <c r="G69" s="81">
        <f t="shared" si="7"/>
        <v>150</v>
      </c>
      <c r="H69" s="120">
        <f t="shared" si="8"/>
        <v>112.5</v>
      </c>
    </row>
    <row r="70" spans="1:8" ht="14.25" customHeight="1" x14ac:dyDescent="0.3">
      <c r="A70" s="270" t="s">
        <v>210</v>
      </c>
      <c r="B70" s="323" t="str">
        <f t="shared" si="4"/>
        <v>Water - ماء</v>
      </c>
      <c r="C70" s="323" t="str">
        <f t="shared" si="4"/>
        <v>gm</v>
      </c>
      <c r="D70" s="323">
        <f t="shared" si="4"/>
        <v>1500</v>
      </c>
      <c r="E70" s="197">
        <f t="shared" si="5"/>
        <v>10</v>
      </c>
      <c r="F70" s="127">
        <f t="shared" si="6"/>
        <v>1</v>
      </c>
      <c r="G70" s="81">
        <f t="shared" si="7"/>
        <v>15000</v>
      </c>
      <c r="H70" s="120">
        <f t="shared" si="8"/>
        <v>15000</v>
      </c>
    </row>
    <row r="71" spans="1:8" ht="20.25" customHeight="1" x14ac:dyDescent="0.3">
      <c r="A71" s="211"/>
      <c r="B71" s="198" t="s">
        <v>299</v>
      </c>
      <c r="C71" s="200" t="s">
        <v>285</v>
      </c>
      <c r="D71" s="14"/>
      <c r="E71" s="200" t="s">
        <v>300</v>
      </c>
      <c r="F71" s="14"/>
      <c r="G71" s="890" t="s">
        <v>276</v>
      </c>
      <c r="H71" s="890" t="s">
        <v>733</v>
      </c>
    </row>
    <row r="72" spans="1:8" ht="23" customHeight="1" x14ac:dyDescent="0.4">
      <c r="A72" s="211"/>
      <c r="B72" s="199">
        <f>$J$53</f>
        <v>10000</v>
      </c>
      <c r="C72" s="201">
        <f>E72+G72</f>
        <v>0</v>
      </c>
      <c r="D72" s="209"/>
      <c r="E72" s="201">
        <f>$C$53*$S$44</f>
        <v>0</v>
      </c>
      <c r="F72" s="100"/>
      <c r="G72" s="202">
        <f>$C$53*$T$44</f>
        <v>0</v>
      </c>
      <c r="H72" s="202">
        <f>B72+E72</f>
        <v>10000</v>
      </c>
    </row>
    <row r="73" spans="1:8" ht="14.25" customHeight="1" x14ac:dyDescent="0.3">
      <c r="B73" s="100"/>
      <c r="E73" s="100"/>
      <c r="F73" s="100"/>
    </row>
    <row r="74" spans="1:8" ht="17.75" customHeight="1" x14ac:dyDescent="0.3">
      <c r="A74" s="322"/>
      <c r="B74" s="1413" t="str">
        <f>"دجاج سليق 2 / " &amp; COUNTIF($H$53:$H$55, "&gt;0")</f>
        <v>دجاج سليق 2 / 2</v>
      </c>
      <c r="C74" s="1421"/>
      <c r="D74" s="1421"/>
      <c r="E74" s="1421"/>
      <c r="F74" s="1421"/>
      <c r="G74" s="1421"/>
      <c r="H74" s="1421"/>
    </row>
    <row r="75" spans="1:8" ht="17.75" customHeight="1" x14ac:dyDescent="0.3">
      <c r="A75" s="322"/>
      <c r="B75" s="1413" t="str">
        <f>"Chicken Saleeq 2 / " &amp; COUNTIF($H$53:$H$55, "&gt;0")</f>
        <v>Chicken Saleeq 2 / 2</v>
      </c>
      <c r="C75" s="1421"/>
      <c r="D75" s="1421"/>
      <c r="E75" s="1421"/>
      <c r="F75" s="1421"/>
      <c r="G75" s="1421"/>
      <c r="H75" s="1421"/>
    </row>
    <row r="76" spans="1:8" ht="46.5" customHeight="1" x14ac:dyDescent="0.3">
      <c r="A76" s="91"/>
      <c r="B76" s="91" t="s">
        <v>253</v>
      </c>
      <c r="C76" s="307" t="s">
        <v>329</v>
      </c>
      <c r="D76" s="91" t="s">
        <v>330</v>
      </c>
      <c r="E76" s="108" t="s">
        <v>331</v>
      </c>
      <c r="F76" s="108" t="s">
        <v>332</v>
      </c>
      <c r="G76" s="308" t="s">
        <v>333</v>
      </c>
      <c r="H76" s="109" t="s">
        <v>334</v>
      </c>
    </row>
    <row r="77" spans="1:8" ht="14.25" customHeight="1" x14ac:dyDescent="0.3">
      <c r="A77" s="219" t="s">
        <v>230</v>
      </c>
      <c r="B77" s="323" t="str">
        <f t="shared" ref="B77:D82" si="9">B5</f>
        <v>Chicken - دجاج</v>
      </c>
      <c r="C77" s="323" t="str">
        <f t="shared" si="9"/>
        <v>gm</v>
      </c>
      <c r="D77" s="119">
        <f t="shared" si="9"/>
        <v>1612.9032258064517</v>
      </c>
      <c r="E77" s="197">
        <f t="shared" ref="E77:E82" si="10">$H$54</f>
        <v>7.57</v>
      </c>
      <c r="F77" s="127">
        <f t="shared" ref="F77:F82" si="11">F5</f>
        <v>1</v>
      </c>
      <c r="G77" s="119">
        <f t="shared" ref="G77:G82" si="12">D77*E77</f>
        <v>12209.677419354839</v>
      </c>
      <c r="H77" s="120">
        <f t="shared" ref="H77:H82" si="13">G77*F77</f>
        <v>12209.677419354839</v>
      </c>
    </row>
    <row r="78" spans="1:8" ht="14.25" customHeight="1" x14ac:dyDescent="0.3">
      <c r="A78" s="270" t="s">
        <v>97</v>
      </c>
      <c r="B78" s="323" t="str">
        <f t="shared" si="9"/>
        <v>Cumin Powder - كمون مطحون</v>
      </c>
      <c r="C78" s="323" t="str">
        <f t="shared" si="9"/>
        <v>gm</v>
      </c>
      <c r="D78" s="323">
        <f t="shared" si="9"/>
        <v>25</v>
      </c>
      <c r="E78" s="197">
        <f t="shared" si="10"/>
        <v>7.57</v>
      </c>
      <c r="F78" s="127">
        <f t="shared" si="11"/>
        <v>0.7</v>
      </c>
      <c r="G78" s="119">
        <f t="shared" si="12"/>
        <v>189.25</v>
      </c>
      <c r="H78" s="120">
        <f t="shared" si="13"/>
        <v>132.47499999999999</v>
      </c>
    </row>
    <row r="79" spans="1:8" ht="14.25" customHeight="1" x14ac:dyDescent="0.3">
      <c r="A79" s="270" t="s">
        <v>196</v>
      </c>
      <c r="B79" s="323" t="str">
        <f t="shared" si="9"/>
        <v>Tomato Paste - صلصة طماطم</v>
      </c>
      <c r="C79" s="323" t="str">
        <f t="shared" si="9"/>
        <v>gm</v>
      </c>
      <c r="D79" s="323">
        <f t="shared" si="9"/>
        <v>35</v>
      </c>
      <c r="E79" s="197">
        <f t="shared" si="10"/>
        <v>7.57</v>
      </c>
      <c r="F79" s="127">
        <f t="shared" si="11"/>
        <v>0.75</v>
      </c>
      <c r="G79" s="119">
        <f t="shared" si="12"/>
        <v>264.95</v>
      </c>
      <c r="H79" s="120">
        <f t="shared" si="13"/>
        <v>198.71249999999998</v>
      </c>
    </row>
    <row r="80" spans="1:8" ht="14.25" customHeight="1" x14ac:dyDescent="0.3">
      <c r="A80" s="270" t="s">
        <v>97</v>
      </c>
      <c r="B80" s="323" t="str">
        <f t="shared" si="9"/>
        <v>Coriander Powder - كزبرة مطحونة</v>
      </c>
      <c r="C80" s="323" t="str">
        <f t="shared" si="9"/>
        <v>gm</v>
      </c>
      <c r="D80" s="323">
        <f t="shared" si="9"/>
        <v>20</v>
      </c>
      <c r="E80" s="197">
        <f t="shared" si="10"/>
        <v>7.57</v>
      </c>
      <c r="F80" s="127">
        <f t="shared" si="11"/>
        <v>0.7</v>
      </c>
      <c r="G80" s="119">
        <f t="shared" si="12"/>
        <v>151.4</v>
      </c>
      <c r="H80" s="120">
        <f t="shared" si="13"/>
        <v>105.98</v>
      </c>
    </row>
    <row r="81" spans="1:8" ht="14.25" customHeight="1" x14ac:dyDescent="0.3">
      <c r="A81" s="270" t="s">
        <v>97</v>
      </c>
      <c r="B81" s="323" t="str">
        <f t="shared" si="9"/>
        <v>Salt - ملح</v>
      </c>
      <c r="C81" s="323" t="str">
        <f t="shared" si="9"/>
        <v>gm</v>
      </c>
      <c r="D81" s="323">
        <f t="shared" si="9"/>
        <v>15</v>
      </c>
      <c r="E81" s="197">
        <f t="shared" si="10"/>
        <v>7.57</v>
      </c>
      <c r="F81" s="127">
        <f t="shared" si="11"/>
        <v>0.75</v>
      </c>
      <c r="G81" s="119">
        <f t="shared" si="12"/>
        <v>113.55000000000001</v>
      </c>
      <c r="H81" s="120">
        <f t="shared" si="13"/>
        <v>85.162500000000009</v>
      </c>
    </row>
    <row r="82" spans="1:8" ht="14.25" customHeight="1" x14ac:dyDescent="0.3">
      <c r="A82" s="270" t="s">
        <v>210</v>
      </c>
      <c r="B82" s="323" t="str">
        <f t="shared" si="9"/>
        <v>Water - ماء</v>
      </c>
      <c r="C82" s="323" t="str">
        <f t="shared" si="9"/>
        <v>gm</v>
      </c>
      <c r="D82" s="323">
        <f t="shared" si="9"/>
        <v>1500</v>
      </c>
      <c r="E82" s="197">
        <f t="shared" si="10"/>
        <v>7.57</v>
      </c>
      <c r="F82" s="127">
        <f t="shared" si="11"/>
        <v>1</v>
      </c>
      <c r="G82" s="119">
        <f t="shared" si="12"/>
        <v>11355</v>
      </c>
      <c r="H82" s="120">
        <f t="shared" si="13"/>
        <v>11355</v>
      </c>
    </row>
    <row r="83" spans="1:8" ht="20.25" customHeight="1" x14ac:dyDescent="0.3">
      <c r="A83" s="211"/>
      <c r="B83" s="198" t="s">
        <v>299</v>
      </c>
      <c r="C83" s="200" t="s">
        <v>285</v>
      </c>
      <c r="D83" s="14"/>
      <c r="E83" s="200" t="s">
        <v>300</v>
      </c>
      <c r="F83" s="14"/>
      <c r="G83" s="890" t="s">
        <v>276</v>
      </c>
      <c r="H83" s="890" t="s">
        <v>733</v>
      </c>
    </row>
    <row r="84" spans="1:8" ht="22.25" customHeight="1" x14ac:dyDescent="0.4">
      <c r="A84" s="211"/>
      <c r="B84" s="199">
        <f>$J$54</f>
        <v>7570</v>
      </c>
      <c r="C84" s="201">
        <f>E84+G84</f>
        <v>0</v>
      </c>
      <c r="D84" s="209"/>
      <c r="E84" s="201">
        <f>$C$54*$S$44</f>
        <v>0</v>
      </c>
      <c r="F84" s="100"/>
      <c r="G84" s="202">
        <f>$C$54*$T$44</f>
        <v>0</v>
      </c>
      <c r="H84" s="202">
        <f>B84+E84</f>
        <v>7570</v>
      </c>
    </row>
    <row r="88" spans="1:8" ht="17.75" customHeight="1" x14ac:dyDescent="0.3">
      <c r="A88" s="322"/>
      <c r="B88" s="1413" t="str">
        <f>"دجاج سليق 3 / " &amp; COUNTIF($H$53:$H$55, "&gt;0")</f>
        <v>دجاج سليق 3 / 2</v>
      </c>
      <c r="C88" s="1421"/>
      <c r="D88" s="1421"/>
      <c r="E88" s="1421"/>
      <c r="F88" s="1421"/>
      <c r="G88" s="1421"/>
      <c r="H88" s="1421"/>
    </row>
    <row r="89" spans="1:8" ht="17.75" customHeight="1" x14ac:dyDescent="0.3">
      <c r="A89" s="407"/>
      <c r="B89" s="1413" t="str">
        <f>"Chicken Saleeq 3 / " &amp; COUNTIF($H$53:$H$55, "&gt;0")</f>
        <v>Chicken Saleeq 3 / 2</v>
      </c>
      <c r="C89" s="1421"/>
      <c r="D89" s="1421"/>
      <c r="E89" s="1421"/>
      <c r="F89" s="1421"/>
      <c r="G89" s="1421"/>
      <c r="H89" s="1421"/>
    </row>
    <row r="90" spans="1:8" ht="46.5" customHeight="1" x14ac:dyDescent="0.3">
      <c r="A90" s="91"/>
      <c r="B90" s="91" t="s">
        <v>253</v>
      </c>
      <c r="C90" s="307" t="s">
        <v>329</v>
      </c>
      <c r="D90" s="91" t="s">
        <v>330</v>
      </c>
      <c r="E90" s="108" t="s">
        <v>331</v>
      </c>
      <c r="F90" s="108" t="s">
        <v>332</v>
      </c>
      <c r="G90" s="308" t="s">
        <v>333</v>
      </c>
      <c r="H90" s="109" t="s">
        <v>334</v>
      </c>
    </row>
    <row r="91" spans="1:8" ht="14.25" customHeight="1" x14ac:dyDescent="0.3">
      <c r="A91" s="219" t="s">
        <v>230</v>
      </c>
      <c r="B91" s="219" t="str">
        <f t="shared" ref="B91:D96" si="14">B5</f>
        <v>Chicken - دجاج</v>
      </c>
      <c r="C91" s="219" t="str">
        <f t="shared" si="14"/>
        <v>gm</v>
      </c>
      <c r="D91" s="119">
        <f t="shared" si="14"/>
        <v>1612.9032258064517</v>
      </c>
      <c r="E91" s="197">
        <f t="shared" ref="E91:E96" si="15">$H$55</f>
        <v>0</v>
      </c>
      <c r="F91" s="325">
        <f t="shared" ref="F91:F96" si="16">F5</f>
        <v>1</v>
      </c>
      <c r="G91" s="119">
        <f t="shared" ref="G91:G96" si="17">D91*E91</f>
        <v>0</v>
      </c>
      <c r="H91" s="120">
        <f t="shared" ref="H91:H96" si="18">G91*F91</f>
        <v>0</v>
      </c>
    </row>
    <row r="92" spans="1:8" ht="14.25" customHeight="1" x14ac:dyDescent="0.3">
      <c r="A92" s="219" t="s">
        <v>97</v>
      </c>
      <c r="B92" s="219" t="str">
        <f t="shared" si="14"/>
        <v>Cumin Powder - كمون مطحون</v>
      </c>
      <c r="C92" s="219" t="str">
        <f t="shared" si="14"/>
        <v>gm</v>
      </c>
      <c r="D92" s="219">
        <f t="shared" si="14"/>
        <v>25</v>
      </c>
      <c r="E92" s="197">
        <f t="shared" si="15"/>
        <v>0</v>
      </c>
      <c r="F92" s="325">
        <f t="shared" si="16"/>
        <v>0.7</v>
      </c>
      <c r="G92" s="119">
        <f t="shared" si="17"/>
        <v>0</v>
      </c>
      <c r="H92" s="120">
        <f t="shared" si="18"/>
        <v>0</v>
      </c>
    </row>
    <row r="93" spans="1:8" ht="14.25" customHeight="1" x14ac:dyDescent="0.3">
      <c r="A93" s="219" t="s">
        <v>196</v>
      </c>
      <c r="B93" s="219" t="str">
        <f t="shared" si="14"/>
        <v>Tomato Paste - صلصة طماطم</v>
      </c>
      <c r="C93" s="219" t="str">
        <f t="shared" si="14"/>
        <v>gm</v>
      </c>
      <c r="D93" s="219">
        <f t="shared" si="14"/>
        <v>35</v>
      </c>
      <c r="E93" s="197">
        <f t="shared" si="15"/>
        <v>0</v>
      </c>
      <c r="F93" s="325">
        <f t="shared" si="16"/>
        <v>0.75</v>
      </c>
      <c r="G93" s="119">
        <f t="shared" si="17"/>
        <v>0</v>
      </c>
      <c r="H93" s="120">
        <f t="shared" si="18"/>
        <v>0</v>
      </c>
    </row>
    <row r="94" spans="1:8" ht="14.25" customHeight="1" x14ac:dyDescent="0.3">
      <c r="A94" s="219" t="s">
        <v>97</v>
      </c>
      <c r="B94" s="219" t="str">
        <f t="shared" si="14"/>
        <v>Coriander Powder - كزبرة مطحونة</v>
      </c>
      <c r="C94" s="219" t="str">
        <f t="shared" si="14"/>
        <v>gm</v>
      </c>
      <c r="D94" s="219">
        <f t="shared" si="14"/>
        <v>20</v>
      </c>
      <c r="E94" s="197">
        <f t="shared" si="15"/>
        <v>0</v>
      </c>
      <c r="F94" s="325">
        <f t="shared" si="16"/>
        <v>0.7</v>
      </c>
      <c r="G94" s="119">
        <f t="shared" si="17"/>
        <v>0</v>
      </c>
      <c r="H94" s="120">
        <f t="shared" si="18"/>
        <v>0</v>
      </c>
    </row>
    <row r="95" spans="1:8" ht="14.25" customHeight="1" x14ac:dyDescent="0.3">
      <c r="A95" s="219" t="s">
        <v>97</v>
      </c>
      <c r="B95" s="219" t="str">
        <f t="shared" si="14"/>
        <v>Salt - ملح</v>
      </c>
      <c r="C95" s="219" t="str">
        <f t="shared" si="14"/>
        <v>gm</v>
      </c>
      <c r="D95" s="219">
        <f t="shared" si="14"/>
        <v>15</v>
      </c>
      <c r="E95" s="197">
        <f t="shared" si="15"/>
        <v>0</v>
      </c>
      <c r="F95" s="325">
        <f t="shared" si="16"/>
        <v>0.75</v>
      </c>
      <c r="G95" s="119">
        <f t="shared" si="17"/>
        <v>0</v>
      </c>
      <c r="H95" s="120">
        <f t="shared" si="18"/>
        <v>0</v>
      </c>
    </row>
    <row r="96" spans="1:8" ht="14.25" customHeight="1" x14ac:dyDescent="0.3">
      <c r="A96" s="219" t="s">
        <v>210</v>
      </c>
      <c r="B96" s="219" t="str">
        <f t="shared" si="14"/>
        <v>Water - ماء</v>
      </c>
      <c r="C96" s="219" t="str">
        <f t="shared" si="14"/>
        <v>gm</v>
      </c>
      <c r="D96" s="219">
        <f t="shared" si="14"/>
        <v>1500</v>
      </c>
      <c r="E96" s="197">
        <f t="shared" si="15"/>
        <v>0</v>
      </c>
      <c r="F96" s="325">
        <f t="shared" si="16"/>
        <v>1</v>
      </c>
      <c r="G96" s="119">
        <f t="shared" si="17"/>
        <v>0</v>
      </c>
      <c r="H96" s="120">
        <f t="shared" si="18"/>
        <v>0</v>
      </c>
    </row>
    <row r="97" spans="1:8" ht="20.25" customHeight="1" x14ac:dyDescent="0.3">
      <c r="A97" s="211"/>
      <c r="B97" s="198" t="s">
        <v>299</v>
      </c>
      <c r="C97" s="200" t="s">
        <v>285</v>
      </c>
      <c r="D97" s="14"/>
      <c r="E97" s="200" t="s">
        <v>300</v>
      </c>
      <c r="F97" s="14"/>
      <c r="G97" s="890" t="s">
        <v>276</v>
      </c>
      <c r="H97" s="890" t="s">
        <v>733</v>
      </c>
    </row>
    <row r="98" spans="1:8" ht="20" x14ac:dyDescent="0.4">
      <c r="A98" s="211"/>
      <c r="B98" s="199">
        <f>$J$55</f>
        <v>0</v>
      </c>
      <c r="C98" s="201">
        <f>E98+G98</f>
        <v>0</v>
      </c>
      <c r="D98" s="209"/>
      <c r="E98" s="201">
        <f>$C$55*$S$44</f>
        <v>0</v>
      </c>
      <c r="F98" s="100"/>
      <c r="G98" s="202">
        <f>$C$55*$T$44</f>
        <v>0</v>
      </c>
      <c r="H98" s="202">
        <f>B98+E98</f>
        <v>0</v>
      </c>
    </row>
  </sheetData>
  <mergeCells count="10">
    <mergeCell ref="B89:H89"/>
    <mergeCell ref="AE2:AG3"/>
    <mergeCell ref="B74:H74"/>
    <mergeCell ref="B88:H88"/>
    <mergeCell ref="B75:H75"/>
    <mergeCell ref="B62:H62"/>
    <mergeCell ref="R26:T26"/>
    <mergeCell ref="R25:T25"/>
    <mergeCell ref="B2:K3"/>
    <mergeCell ref="B63:H63"/>
  </mergeCells>
  <printOptions horizontalCentered="1"/>
  <pageMargins left="0.5" right="0.5" top="1" bottom="0.5" header="0.3" footer="0.511811023622047"/>
  <pageSetup paperSize="9" scale="27" orientation="portrait" r:id="rId1"/>
  <legacy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5EF12-6654-4B19-8D8B-EE68964A6287}">
  <sheetPr codeName="Sheet88">
    <tabColor theme="7" tint="-0.249977111117893"/>
    <pageSetUpPr fitToPage="1"/>
  </sheetPr>
  <dimension ref="A1:AD970"/>
  <sheetViews>
    <sheetView topLeftCell="Q1" zoomScale="70" zoomScaleNormal="70" workbookViewId="0">
      <selection activeCell="T28" sqref="S28:T30"/>
    </sheetView>
  </sheetViews>
  <sheetFormatPr defaultColWidth="12.5" defaultRowHeight="12.5" x14ac:dyDescent="0.3"/>
  <cols>
    <col min="1" max="1" width="8.08203125" style="698" customWidth="1"/>
    <col min="2" max="2" width="42.08203125" style="698" customWidth="1"/>
    <col min="3" max="3" width="17.33203125" style="698" customWidth="1"/>
    <col min="4" max="4" width="21.6640625" style="698" customWidth="1"/>
    <col min="5" max="5" width="16.1640625" style="698" customWidth="1"/>
    <col min="6" max="6" width="12.25" style="698" customWidth="1"/>
    <col min="7" max="7" width="25.1640625" style="698" customWidth="1"/>
    <col min="8" max="9" width="18.4140625" style="698" customWidth="1"/>
    <col min="10" max="11" width="12.5" style="698" customWidth="1"/>
    <col min="12" max="12" width="8.33203125" style="698" customWidth="1"/>
    <col min="13" max="13" width="25.08203125" style="698" customWidth="1"/>
    <col min="14" max="14" width="12.5" style="698" customWidth="1"/>
    <col min="15" max="15" width="11.33203125" style="698" customWidth="1"/>
    <col min="16" max="16" width="7.75" style="698" customWidth="1"/>
    <col min="17" max="17" width="16.83203125" style="698" customWidth="1"/>
    <col min="18" max="18" width="24.75" style="698" customWidth="1"/>
    <col min="19" max="19" width="20.9140625" style="698" customWidth="1"/>
    <col min="20" max="20" width="14.08203125" style="698" customWidth="1"/>
    <col min="21" max="21" width="11.5" style="698" customWidth="1"/>
    <col min="22" max="22" width="9.4140625" style="698" customWidth="1"/>
    <col min="23" max="23" width="10.1640625" style="698" customWidth="1"/>
    <col min="24" max="24" width="14.58203125" style="698" customWidth="1"/>
    <col min="25" max="25" width="8.75" style="698" customWidth="1"/>
    <col min="26" max="16384" width="12.5" style="698"/>
  </cols>
  <sheetData>
    <row r="1" spans="1:30" ht="36" customHeight="1" x14ac:dyDescent="0.3">
      <c r="B1" s="753" t="s">
        <v>751</v>
      </c>
      <c r="C1" s="757">
        <v>5000</v>
      </c>
      <c r="D1" s="756" t="s">
        <v>244</v>
      </c>
      <c r="E1" s="755">
        <f>U30</f>
        <v>8095.2000000000007</v>
      </c>
      <c r="F1" s="753" t="s">
        <v>245</v>
      </c>
      <c r="G1" s="754">
        <f>E1/C1</f>
        <v>1.61904</v>
      </c>
      <c r="H1" s="753" t="s">
        <v>246</v>
      </c>
      <c r="I1" s="977">
        <f>(G1/K1)</f>
        <v>1.61904</v>
      </c>
      <c r="J1" s="978" t="s">
        <v>247</v>
      </c>
      <c r="K1" s="757">
        <v>1</v>
      </c>
      <c r="L1" s="705"/>
      <c r="M1" s="705"/>
      <c r="N1" s="705"/>
      <c r="O1" s="705"/>
      <c r="P1" s="705"/>
      <c r="Q1" s="93" t="s">
        <v>250</v>
      </c>
      <c r="R1" s="92">
        <v>0.66</v>
      </c>
      <c r="S1" s="979" t="s">
        <v>756</v>
      </c>
      <c r="T1" s="980">
        <v>0.77</v>
      </c>
      <c r="Y1" s="981" t="s">
        <v>479</v>
      </c>
      <c r="Z1" s="982">
        <v>33550</v>
      </c>
      <c r="AA1" s="981" t="s">
        <v>481</v>
      </c>
      <c r="AB1" s="982">
        <v>0</v>
      </c>
      <c r="AD1" s="698">
        <v>234</v>
      </c>
    </row>
    <row r="2" spans="1:30" ht="12.75" customHeight="1" x14ac:dyDescent="0.3">
      <c r="A2" s="1431"/>
      <c r="B2" s="1431" t="s">
        <v>752</v>
      </c>
      <c r="C2" s="1470"/>
      <c r="D2" s="1470"/>
      <c r="E2" s="1470"/>
      <c r="F2" s="1470"/>
      <c r="G2" s="1470"/>
      <c r="H2" s="1470"/>
      <c r="I2" s="705"/>
      <c r="J2" s="705"/>
      <c r="K2" s="705"/>
      <c r="L2" s="705"/>
      <c r="M2" s="705"/>
      <c r="N2" s="705"/>
      <c r="O2" s="705"/>
      <c r="P2" s="705"/>
      <c r="Q2" s="705"/>
      <c r="R2" s="705"/>
      <c r="S2" s="705"/>
    </row>
    <row r="3" spans="1:30" ht="12.75" customHeight="1" x14ac:dyDescent="0.3">
      <c r="A3" s="1470"/>
      <c r="B3" s="983"/>
      <c r="C3" s="983"/>
      <c r="D3" s="983"/>
      <c r="E3" s="983"/>
      <c r="F3" s="983"/>
      <c r="G3" s="983"/>
      <c r="H3" s="983"/>
      <c r="I3" s="705"/>
      <c r="J3" s="705"/>
      <c r="K3" s="705"/>
      <c r="L3" s="705"/>
      <c r="M3" s="705"/>
      <c r="N3" s="705"/>
      <c r="O3" s="705"/>
      <c r="P3" s="705"/>
      <c r="Q3" s="705"/>
      <c r="R3" s="705"/>
      <c r="S3" s="705"/>
    </row>
    <row r="4" spans="1:30" ht="57" customHeight="1" x14ac:dyDescent="0.3">
      <c r="A4" s="703" t="s">
        <v>1</v>
      </c>
      <c r="B4" s="703" t="s">
        <v>747</v>
      </c>
      <c r="C4" s="704" t="s">
        <v>329</v>
      </c>
      <c r="D4" s="703" t="s">
        <v>753</v>
      </c>
      <c r="E4" s="984" t="s">
        <v>331</v>
      </c>
      <c r="F4" s="984" t="s">
        <v>332</v>
      </c>
      <c r="G4" s="985" t="s">
        <v>333</v>
      </c>
      <c r="H4" s="716" t="s">
        <v>334</v>
      </c>
      <c r="I4" s="91" t="s">
        <v>258</v>
      </c>
      <c r="J4" s="91" t="s">
        <v>259</v>
      </c>
      <c r="K4" s="91" t="s">
        <v>260</v>
      </c>
      <c r="L4" s="91" t="s">
        <v>261</v>
      </c>
      <c r="M4" s="705"/>
      <c r="N4" s="705"/>
      <c r="O4" s="705"/>
      <c r="P4" s="705"/>
      <c r="Q4" s="705"/>
      <c r="R4" s="705"/>
      <c r="S4" s="705"/>
    </row>
    <row r="5" spans="1:30" ht="14" x14ac:dyDescent="0.3">
      <c r="B5" s="222" t="s">
        <v>237</v>
      </c>
      <c r="C5" s="710" t="s">
        <v>238</v>
      </c>
      <c r="D5" s="987">
        <f>4500/R1</f>
        <v>6818.181818181818</v>
      </c>
      <c r="E5" s="701">
        <f t="shared" ref="E5:E19" si="0">$G$1</f>
        <v>1.61904</v>
      </c>
      <c r="F5" s="700">
        <v>1</v>
      </c>
      <c r="G5" s="744">
        <f>D5*E5</f>
        <v>11038.90909090909</v>
      </c>
      <c r="H5" s="988">
        <f>G5*F5</f>
        <v>11038.90909090909</v>
      </c>
      <c r="I5" s="81">
        <f>VLOOKUP(B5,All_Ingredients!$A$1:$F$151,6,FALSE())</f>
        <v>0.99</v>
      </c>
      <c r="J5" s="119">
        <f>VLOOKUP(B5,All_Ingredients!$A$1:$J$151,10,FALSE())</f>
        <v>0</v>
      </c>
      <c r="K5" s="122">
        <f t="shared" ref="K5:K8" si="1">(H5/I5)/1000</f>
        <v>11.150413223140495</v>
      </c>
      <c r="L5" s="122">
        <f t="shared" ref="L5:L8" si="2">K5*J5</f>
        <v>0</v>
      </c>
    </row>
    <row r="6" spans="1:30" ht="13" x14ac:dyDescent="0.25">
      <c r="B6" s="986" t="s">
        <v>12</v>
      </c>
      <c r="C6" s="710" t="s">
        <v>14</v>
      </c>
      <c r="D6" s="987">
        <v>1800</v>
      </c>
      <c r="E6" s="701">
        <f t="shared" si="0"/>
        <v>1.61904</v>
      </c>
      <c r="F6" s="700">
        <v>1</v>
      </c>
      <c r="G6" s="744">
        <f t="shared" ref="G6:G19" si="3">D6*E6</f>
        <v>2914.2719999999999</v>
      </c>
      <c r="H6" s="988">
        <f t="shared" ref="H6:H19" si="4">G6*F6</f>
        <v>2914.2719999999999</v>
      </c>
      <c r="I6" s="81">
        <f>VLOOKUP(B6,All_Ingredients!$A$1:$F$151,6,FALSE())</f>
        <v>0.9</v>
      </c>
      <c r="J6" s="119">
        <f>VLOOKUP(B6,All_Ingredients!$A$1:$J$151,10,FALSE())</f>
        <v>3</v>
      </c>
      <c r="K6" s="122">
        <f t="shared" si="1"/>
        <v>3.2380800000000001</v>
      </c>
      <c r="L6" s="122">
        <f t="shared" si="2"/>
        <v>9.7142400000000002</v>
      </c>
    </row>
    <row r="7" spans="1:30" ht="13" x14ac:dyDescent="0.25">
      <c r="B7" s="986" t="s">
        <v>792</v>
      </c>
      <c r="C7" s="710" t="s">
        <v>14</v>
      </c>
      <c r="D7" s="987">
        <v>270</v>
      </c>
      <c r="E7" s="701">
        <f t="shared" si="0"/>
        <v>1.61904</v>
      </c>
      <c r="F7" s="700">
        <v>1</v>
      </c>
      <c r="G7" s="744">
        <f t="shared" si="3"/>
        <v>437.14080000000001</v>
      </c>
      <c r="H7" s="988">
        <f t="shared" si="4"/>
        <v>437.14080000000001</v>
      </c>
      <c r="I7" s="81">
        <f>VLOOKUP(B7,All_Ingredients!$A$1:$F$151,6,FALSE())</f>
        <v>1</v>
      </c>
      <c r="J7" s="119">
        <f>VLOOKUP(B7,All_Ingredients!$A$1:$J$151,10,FALSE())</f>
        <v>10.5</v>
      </c>
      <c r="K7" s="122">
        <f t="shared" si="1"/>
        <v>0.4371408</v>
      </c>
      <c r="L7" s="122">
        <f t="shared" si="2"/>
        <v>4.5899783999999997</v>
      </c>
    </row>
    <row r="8" spans="1:30" ht="13" x14ac:dyDescent="0.25">
      <c r="B8" s="986" t="s">
        <v>157</v>
      </c>
      <c r="C8" s="710" t="s">
        <v>14</v>
      </c>
      <c r="D8" s="987">
        <v>360</v>
      </c>
      <c r="E8" s="701">
        <f t="shared" si="0"/>
        <v>1.61904</v>
      </c>
      <c r="F8" s="700">
        <v>1</v>
      </c>
      <c r="G8" s="744">
        <f t="shared" si="3"/>
        <v>582.85440000000006</v>
      </c>
      <c r="H8" s="988">
        <f t="shared" si="4"/>
        <v>582.85440000000006</v>
      </c>
      <c r="I8" s="81">
        <f>VLOOKUP(B8,All_Ingredients!$A$1:$F$151,6,FALSE())</f>
        <v>1</v>
      </c>
      <c r="J8" s="119">
        <f>VLOOKUP(B8,All_Ingredients!$A$1:$J$151,10,FALSE())</f>
        <v>30</v>
      </c>
      <c r="K8" s="122">
        <f t="shared" si="1"/>
        <v>0.58285440000000011</v>
      </c>
      <c r="L8" s="122">
        <f t="shared" si="2"/>
        <v>17.485632000000003</v>
      </c>
    </row>
    <row r="9" spans="1:30" ht="13" x14ac:dyDescent="0.25">
      <c r="B9" s="986" t="s">
        <v>96</v>
      </c>
      <c r="C9" s="710" t="s">
        <v>14</v>
      </c>
      <c r="D9" s="987">
        <v>18</v>
      </c>
      <c r="E9" s="701">
        <f t="shared" si="0"/>
        <v>1.61904</v>
      </c>
      <c r="F9" s="700">
        <v>1</v>
      </c>
      <c r="G9" s="744">
        <f t="shared" si="3"/>
        <v>29.142720000000001</v>
      </c>
      <c r="H9" s="988">
        <f t="shared" si="4"/>
        <v>29.142720000000001</v>
      </c>
      <c r="I9" s="81">
        <f>VLOOKUP(B9,All_Ingredients!$A$1:$F$151,6,FALSE())</f>
        <v>1</v>
      </c>
      <c r="J9" s="119">
        <f>VLOOKUP(B9,All_Ingredients!$A$1:$J$151,10,FALSE())</f>
        <v>0.74</v>
      </c>
      <c r="K9" s="122">
        <f t="shared" ref="K9:K19" si="5">(H9/I9)/1000</f>
        <v>2.914272E-2</v>
      </c>
      <c r="L9" s="122">
        <f t="shared" ref="L9:L19" si="6">K9*J9</f>
        <v>2.1565612800000002E-2</v>
      </c>
    </row>
    <row r="10" spans="1:30" ht="13" x14ac:dyDescent="0.25">
      <c r="B10" s="986" t="s">
        <v>102</v>
      </c>
      <c r="C10" s="710" t="s">
        <v>14</v>
      </c>
      <c r="D10" s="987">
        <v>18</v>
      </c>
      <c r="E10" s="701">
        <f t="shared" si="0"/>
        <v>1.61904</v>
      </c>
      <c r="F10" s="700">
        <v>1</v>
      </c>
      <c r="G10" s="744">
        <f t="shared" si="3"/>
        <v>29.142720000000001</v>
      </c>
      <c r="H10" s="988">
        <f t="shared" si="4"/>
        <v>29.142720000000001</v>
      </c>
      <c r="I10" s="81">
        <f>VLOOKUP(B10,All_Ingredients!$A$1:$F$151,6,FALSE())</f>
        <v>1</v>
      </c>
      <c r="J10" s="119">
        <f>VLOOKUP(B10,All_Ingredients!$A$1:$J$151,10,FALSE())</f>
        <v>31</v>
      </c>
      <c r="K10" s="122">
        <f t="shared" si="5"/>
        <v>2.914272E-2</v>
      </c>
      <c r="L10" s="122">
        <f t="shared" si="6"/>
        <v>0.90342432000000006</v>
      </c>
    </row>
    <row r="11" spans="1:30" ht="13.5" customHeight="1" x14ac:dyDescent="0.25">
      <c r="B11" s="986" t="s">
        <v>126</v>
      </c>
      <c r="C11" s="710" t="s">
        <v>14</v>
      </c>
      <c r="D11" s="987">
        <v>36</v>
      </c>
      <c r="E11" s="701">
        <f t="shared" si="0"/>
        <v>1.61904</v>
      </c>
      <c r="F11" s="700">
        <v>1</v>
      </c>
      <c r="G11" s="744">
        <f t="shared" si="3"/>
        <v>58.285440000000001</v>
      </c>
      <c r="H11" s="988">
        <f t="shared" si="4"/>
        <v>58.285440000000001</v>
      </c>
      <c r="I11" s="81">
        <f>VLOOKUP(B11,All_Ingredients!$A$1:$F$151,6,FALSE())</f>
        <v>1</v>
      </c>
      <c r="J11" s="119">
        <f>VLOOKUP(B11,All_Ingredients!$A$1:$J$151,10,FALSE())</f>
        <v>14</v>
      </c>
      <c r="K11" s="122">
        <f t="shared" si="5"/>
        <v>5.8285440000000001E-2</v>
      </c>
      <c r="L11" s="122">
        <f t="shared" si="6"/>
        <v>0.81599615999999997</v>
      </c>
    </row>
    <row r="12" spans="1:30" ht="13.5" customHeight="1" x14ac:dyDescent="0.25">
      <c r="B12" s="986" t="s">
        <v>108</v>
      </c>
      <c r="C12" s="710" t="s">
        <v>14</v>
      </c>
      <c r="D12" s="987">
        <v>7.2</v>
      </c>
      <c r="E12" s="701">
        <f t="shared" si="0"/>
        <v>1.61904</v>
      </c>
      <c r="F12" s="700">
        <v>1</v>
      </c>
      <c r="G12" s="744">
        <f t="shared" si="3"/>
        <v>11.657088</v>
      </c>
      <c r="H12" s="988">
        <f t="shared" si="4"/>
        <v>11.657088</v>
      </c>
      <c r="I12" s="81">
        <f>VLOOKUP(B12,All_Ingredients!$A$1:$F$151,6,FALSE())</f>
        <v>1</v>
      </c>
      <c r="J12" s="119">
        <f>VLOOKUP(B12,All_Ingredients!$A$1:$J$151,10,FALSE())</f>
        <v>15</v>
      </c>
      <c r="K12" s="122">
        <f t="shared" si="5"/>
        <v>1.1657087999999999E-2</v>
      </c>
      <c r="L12" s="122">
        <f t="shared" si="6"/>
        <v>0.17485631999999998</v>
      </c>
    </row>
    <row r="13" spans="1:30" ht="13.5" customHeight="1" x14ac:dyDescent="0.25">
      <c r="B13" s="986" t="s">
        <v>110</v>
      </c>
      <c r="C13" s="710" t="s">
        <v>14</v>
      </c>
      <c r="D13" s="987">
        <v>9</v>
      </c>
      <c r="E13" s="701">
        <f t="shared" si="0"/>
        <v>1.61904</v>
      </c>
      <c r="F13" s="700">
        <v>1</v>
      </c>
      <c r="G13" s="744">
        <f t="shared" si="3"/>
        <v>14.57136</v>
      </c>
      <c r="H13" s="988">
        <f t="shared" si="4"/>
        <v>14.57136</v>
      </c>
      <c r="I13" s="81">
        <f>VLOOKUP(B13,All_Ingredients!$A$1:$F$151,6,FALSE())</f>
        <v>1</v>
      </c>
      <c r="J13" s="119">
        <f>VLOOKUP(B13,All_Ingredients!$A$1:$J$151,10,FALSE())</f>
        <v>8</v>
      </c>
      <c r="K13" s="122">
        <f t="shared" si="5"/>
        <v>1.457136E-2</v>
      </c>
      <c r="L13" s="122">
        <f t="shared" si="6"/>
        <v>0.11657088</v>
      </c>
    </row>
    <row r="14" spans="1:30" ht="13.5" customHeight="1" x14ac:dyDescent="0.25">
      <c r="B14" s="986" t="s">
        <v>200</v>
      </c>
      <c r="C14" s="710" t="s">
        <v>14</v>
      </c>
      <c r="D14" s="987">
        <v>180</v>
      </c>
      <c r="E14" s="701">
        <f t="shared" si="0"/>
        <v>1.61904</v>
      </c>
      <c r="F14" s="700">
        <v>1</v>
      </c>
      <c r="G14" s="744">
        <f t="shared" si="3"/>
        <v>291.42720000000003</v>
      </c>
      <c r="H14" s="988">
        <f t="shared" si="4"/>
        <v>291.42720000000003</v>
      </c>
      <c r="I14" s="81">
        <f>VLOOKUP(B14,All_Ingredients!$A$1:$F$151,6,FALSE())</f>
        <v>1</v>
      </c>
      <c r="J14" s="119">
        <f>VLOOKUP(B14,All_Ingredients!$A$1:$J$151,10,FALSE())</f>
        <v>22.666666666666668</v>
      </c>
      <c r="K14" s="122">
        <f t="shared" si="5"/>
        <v>0.29142720000000005</v>
      </c>
      <c r="L14" s="122">
        <f t="shared" si="6"/>
        <v>6.6056832000000014</v>
      </c>
    </row>
    <row r="15" spans="1:30" ht="14.25" customHeight="1" x14ac:dyDescent="0.25">
      <c r="B15" s="1008" t="s">
        <v>144</v>
      </c>
      <c r="C15" s="710" t="s">
        <v>14</v>
      </c>
      <c r="D15" s="987">
        <v>54</v>
      </c>
      <c r="E15" s="701">
        <f t="shared" si="0"/>
        <v>1.61904</v>
      </c>
      <c r="F15" s="700">
        <v>1</v>
      </c>
      <c r="G15" s="744">
        <f t="shared" si="3"/>
        <v>87.428160000000005</v>
      </c>
      <c r="H15" s="988">
        <f t="shared" si="4"/>
        <v>87.428160000000005</v>
      </c>
      <c r="I15" s="81">
        <f>VLOOKUP(B15,All_Ingredients!$A$1:$F$151,6,FALSE())</f>
        <v>1</v>
      </c>
      <c r="J15" s="119">
        <f>VLOOKUP(B15,All_Ingredients!$A$1:$J$151,10,FALSE())</f>
        <v>15.277777777777779</v>
      </c>
      <c r="K15" s="122">
        <f t="shared" si="5"/>
        <v>8.7428160000000005E-2</v>
      </c>
      <c r="L15" s="122">
        <f t="shared" si="6"/>
        <v>1.3357080000000001</v>
      </c>
    </row>
    <row r="16" spans="1:30" ht="14.25" customHeight="1" x14ac:dyDescent="0.25">
      <c r="B16" s="1008" t="s">
        <v>93</v>
      </c>
      <c r="C16" s="710" t="s">
        <v>14</v>
      </c>
      <c r="D16" s="987">
        <v>3.6</v>
      </c>
      <c r="E16" s="701">
        <f t="shared" si="0"/>
        <v>1.61904</v>
      </c>
      <c r="F16" s="700">
        <v>1</v>
      </c>
      <c r="G16" s="744">
        <f t="shared" si="3"/>
        <v>5.8285439999999999</v>
      </c>
      <c r="H16" s="988">
        <f t="shared" si="4"/>
        <v>5.8285439999999999</v>
      </c>
      <c r="I16" s="81">
        <f>VLOOKUP(B16,All_Ingredients!$A$1:$F$151,6,FALSE())</f>
        <v>1</v>
      </c>
      <c r="J16" s="119">
        <f>VLOOKUP(B16,All_Ingredients!$A$1:$J$151,10,FALSE())</f>
        <v>3.04</v>
      </c>
      <c r="K16" s="122">
        <f t="shared" si="5"/>
        <v>5.8285439999999997E-3</v>
      </c>
      <c r="L16" s="122">
        <f t="shared" si="6"/>
        <v>1.7718773760000001E-2</v>
      </c>
    </row>
    <row r="17" spans="2:21" ht="13.5" customHeight="1" x14ac:dyDescent="0.25">
      <c r="B17" s="757" t="s">
        <v>130</v>
      </c>
      <c r="C17" s="710" t="s">
        <v>14</v>
      </c>
      <c r="D17" s="993">
        <v>3.6</v>
      </c>
      <c r="E17" s="701">
        <f t="shared" si="0"/>
        <v>1.61904</v>
      </c>
      <c r="F17" s="700">
        <v>1</v>
      </c>
      <c r="G17" s="744">
        <f t="shared" si="3"/>
        <v>5.8285439999999999</v>
      </c>
      <c r="H17" s="988">
        <f t="shared" si="4"/>
        <v>5.8285439999999999</v>
      </c>
      <c r="I17" s="81">
        <f>VLOOKUP(B17,All_Ingredients!$A$1:$F$151,6,FALSE())</f>
        <v>1</v>
      </c>
      <c r="J17" s="119">
        <f>VLOOKUP(B17,All_Ingredients!$A$1:$J$151,10,FALSE())</f>
        <v>125</v>
      </c>
      <c r="K17" s="122">
        <f t="shared" si="5"/>
        <v>5.8285439999999997E-3</v>
      </c>
      <c r="L17" s="122">
        <f t="shared" si="6"/>
        <v>0.72856799999999999</v>
      </c>
    </row>
    <row r="18" spans="2:21" x14ac:dyDescent="0.25">
      <c r="B18" s="757" t="s">
        <v>128</v>
      </c>
      <c r="C18" s="710" t="s">
        <v>14</v>
      </c>
      <c r="D18" s="993">
        <v>1.8</v>
      </c>
      <c r="E18" s="701">
        <f t="shared" si="0"/>
        <v>1.61904</v>
      </c>
      <c r="F18" s="700">
        <v>1</v>
      </c>
      <c r="G18" s="744">
        <f t="shared" si="3"/>
        <v>2.914272</v>
      </c>
      <c r="H18" s="988">
        <f t="shared" si="4"/>
        <v>2.914272</v>
      </c>
      <c r="I18" s="81">
        <f>VLOOKUP(B18,All_Ingredients!$A$1:$F$151,6,FALSE())</f>
        <v>1</v>
      </c>
      <c r="J18" s="119">
        <f>VLOOKUP(B18,All_Ingredients!$A$1:$J$151,10,FALSE())</f>
        <v>37</v>
      </c>
      <c r="K18" s="122">
        <f t="shared" si="5"/>
        <v>2.9142719999999999E-3</v>
      </c>
      <c r="L18" s="122">
        <f t="shared" si="6"/>
        <v>0.107828064</v>
      </c>
    </row>
    <row r="19" spans="2:21" ht="14.25" customHeight="1" x14ac:dyDescent="0.25">
      <c r="B19" s="757" t="s">
        <v>755</v>
      </c>
      <c r="C19" s="710" t="s">
        <v>14</v>
      </c>
      <c r="D19" s="993">
        <v>3.6</v>
      </c>
      <c r="E19" s="701">
        <f t="shared" si="0"/>
        <v>1.61904</v>
      </c>
      <c r="F19" s="700">
        <v>1</v>
      </c>
      <c r="G19" s="994">
        <f t="shared" si="3"/>
        <v>5.8285439999999999</v>
      </c>
      <c r="H19" s="988">
        <f t="shared" si="4"/>
        <v>5.8285439999999999</v>
      </c>
      <c r="I19" s="81">
        <f>VLOOKUP(B19,All_Ingredients!$A$1:$F$151,6,FALSE())</f>
        <v>1</v>
      </c>
      <c r="J19" s="119">
        <f>VLOOKUP(B19,All_Ingredients!$A$1:$J$151,10,FALSE())</f>
        <v>38</v>
      </c>
      <c r="K19" s="122">
        <f t="shared" si="5"/>
        <v>5.8285439999999997E-3</v>
      </c>
      <c r="L19" s="122">
        <f t="shared" si="6"/>
        <v>0.22148467199999999</v>
      </c>
    </row>
    <row r="20" spans="2:21" ht="13.5" customHeight="1" x14ac:dyDescent="0.3">
      <c r="G20" s="705"/>
      <c r="I20" s="705"/>
      <c r="J20" s="705"/>
      <c r="K20" s="705"/>
    </row>
    <row r="21" spans="2:21" ht="13.5" customHeight="1" x14ac:dyDescent="0.3">
      <c r="E21" s="705"/>
      <c r="F21" s="705"/>
      <c r="G21" s="705"/>
      <c r="J21" s="705"/>
      <c r="K21" s="705"/>
    </row>
    <row r="22" spans="2:21" ht="13.5" customHeight="1" x14ac:dyDescent="0.3">
      <c r="E22" s="705"/>
      <c r="F22" s="705"/>
      <c r="G22" s="705"/>
    </row>
    <row r="23" spans="2:21" ht="13.5" customHeight="1" x14ac:dyDescent="0.3">
      <c r="E23" s="705"/>
      <c r="F23" s="705"/>
      <c r="G23" s="705"/>
    </row>
    <row r="24" spans="2:21" ht="13.5" customHeight="1" x14ac:dyDescent="0.3">
      <c r="E24" s="705"/>
      <c r="F24" s="705"/>
      <c r="G24" s="705"/>
    </row>
    <row r="25" spans="2:21" ht="18" customHeight="1" x14ac:dyDescent="0.3">
      <c r="R25" s="1471" t="s">
        <v>754</v>
      </c>
      <c r="S25" s="1472"/>
      <c r="T25" s="1472"/>
      <c r="U25" s="1473"/>
    </row>
    <row r="26" spans="2:21" ht="18" customHeight="1" x14ac:dyDescent="0.3">
      <c r="H26" s="1009"/>
      <c r="R26" s="1423" t="s">
        <v>373</v>
      </c>
      <c r="S26" s="1388"/>
      <c r="T26" s="1388"/>
      <c r="U26" s="1388"/>
    </row>
    <row r="27" spans="2:21" ht="16.5" customHeight="1" x14ac:dyDescent="0.3">
      <c r="R27" s="714" t="s">
        <v>266</v>
      </c>
      <c r="S27" s="714" t="s">
        <v>398</v>
      </c>
      <c r="T27" s="714" t="s">
        <v>272</v>
      </c>
      <c r="U27" s="714" t="s">
        <v>274</v>
      </c>
    </row>
    <row r="28" spans="2:21" ht="14.25" customHeight="1" x14ac:dyDescent="0.3">
      <c r="N28" s="1437"/>
      <c r="O28" s="1474"/>
      <c r="R28" s="714" t="s">
        <v>549</v>
      </c>
      <c r="S28" s="989">
        <f>($Z$1-(($Z$1*$T$1)+$AB$1))*$S$40</f>
        <v>6944.85</v>
      </c>
      <c r="T28" s="830">
        <v>650.35</v>
      </c>
      <c r="U28" s="990">
        <f>T28+S28</f>
        <v>7595.2000000000007</v>
      </c>
    </row>
    <row r="29" spans="2:21" ht="13.5" customHeight="1" x14ac:dyDescent="0.3">
      <c r="N29" s="896"/>
      <c r="O29" s="896"/>
      <c r="R29" s="714" t="s">
        <v>277</v>
      </c>
      <c r="S29" s="991"/>
      <c r="T29" s="830">
        <v>500</v>
      </c>
      <c r="U29" s="710"/>
    </row>
    <row r="30" spans="2:21" ht="13.5" customHeight="1" x14ac:dyDescent="0.3">
      <c r="N30" s="896"/>
      <c r="O30" s="999"/>
      <c r="R30" s="714" t="s">
        <v>269</v>
      </c>
      <c r="S30" s="991">
        <f>S28+S29</f>
        <v>6944.85</v>
      </c>
      <c r="T30" s="991">
        <f>T28+T29</f>
        <v>1150.3499999999999</v>
      </c>
      <c r="U30" s="992">
        <f>T30+S30</f>
        <v>8095.2000000000007</v>
      </c>
    </row>
    <row r="31" spans="2:21" ht="13.5" customHeight="1" x14ac:dyDescent="0.3">
      <c r="N31" s="896"/>
      <c r="O31" s="1000"/>
    </row>
    <row r="32" spans="2:21" ht="13.5" customHeight="1" x14ac:dyDescent="0.3">
      <c r="O32" s="896"/>
      <c r="P32" s="1000"/>
    </row>
    <row r="33" spans="1:24" ht="13.5" customHeight="1" x14ac:dyDescent="0.3">
      <c r="O33" s="1001"/>
      <c r="P33" s="1002"/>
    </row>
    <row r="34" spans="1:24" ht="13.5" customHeight="1" x14ac:dyDescent="0.3">
      <c r="O34" s="896"/>
      <c r="P34" s="1000"/>
    </row>
    <row r="36" spans="1:24" x14ac:dyDescent="0.3">
      <c r="S36" s="1009"/>
      <c r="T36" s="1009"/>
    </row>
    <row r="40" spans="1:24" ht="13" x14ac:dyDescent="0.3">
      <c r="A40" s="1003"/>
      <c r="R40" s="997" t="s">
        <v>398</v>
      </c>
      <c r="S40" s="998">
        <v>0.9</v>
      </c>
      <c r="T40" s="997" t="s">
        <v>268</v>
      </c>
      <c r="U40" s="998">
        <v>0.1</v>
      </c>
    </row>
    <row r="41" spans="1:24" ht="25.25" customHeight="1" x14ac:dyDescent="0.3">
      <c r="A41" s="1003"/>
    </row>
    <row r="42" spans="1:24" x14ac:dyDescent="0.25">
      <c r="R42" s="14"/>
      <c r="S42" s="14"/>
      <c r="T42" s="14"/>
      <c r="U42" s="14"/>
      <c r="V42" s="169"/>
      <c r="W42" s="14"/>
      <c r="X42" s="14"/>
    </row>
    <row r="43" spans="1:24" ht="13.5" customHeight="1" x14ac:dyDescent="0.3">
      <c r="Q43" s="170" t="s">
        <v>284</v>
      </c>
      <c r="R43" s="170" t="s">
        <v>285</v>
      </c>
      <c r="S43" s="170" t="s">
        <v>286</v>
      </c>
      <c r="T43" s="170" t="s">
        <v>287</v>
      </c>
      <c r="U43" s="170" t="s">
        <v>288</v>
      </c>
      <c r="V43" s="170" t="s">
        <v>289</v>
      </c>
      <c r="W43" s="258" t="s">
        <v>290</v>
      </c>
      <c r="X43" s="14"/>
    </row>
    <row r="44" spans="1:24" ht="18" customHeight="1" x14ac:dyDescent="0.3">
      <c r="Q44" s="172">
        <v>50000</v>
      </c>
      <c r="R44" s="173">
        <f>D51</f>
        <v>5000</v>
      </c>
      <c r="S44" s="174">
        <v>1</v>
      </c>
      <c r="T44" s="174">
        <v>0</v>
      </c>
      <c r="U44" s="242">
        <f>R44*S44</f>
        <v>5000</v>
      </c>
      <c r="V44" s="176">
        <f>R44*T44</f>
        <v>0</v>
      </c>
      <c r="W44" s="260">
        <f>Q44-U44</f>
        <v>45000</v>
      </c>
      <c r="X44" s="14"/>
    </row>
    <row r="45" spans="1:24" ht="18" customHeight="1" x14ac:dyDescent="0.25">
      <c r="R45" s="14"/>
      <c r="S45" s="14"/>
      <c r="T45" s="14"/>
      <c r="U45" s="14"/>
      <c r="V45" s="14"/>
      <c r="W45" s="14"/>
      <c r="X45" s="14"/>
    </row>
    <row r="47" spans="1:24" x14ac:dyDescent="0.3">
      <c r="I47" s="1011"/>
    </row>
    <row r="50" spans="1:10" ht="14" x14ac:dyDescent="0.3">
      <c r="B50" s="995"/>
      <c r="C50" s="995" t="s">
        <v>245</v>
      </c>
      <c r="D50" s="995" t="s">
        <v>291</v>
      </c>
      <c r="G50" s="145" t="s">
        <v>292</v>
      </c>
      <c r="H50" s="145" t="s">
        <v>245</v>
      </c>
      <c r="I50" s="145" t="s">
        <v>293</v>
      </c>
      <c r="J50" s="145" t="s">
        <v>294</v>
      </c>
    </row>
    <row r="51" spans="1:10" ht="14" x14ac:dyDescent="0.3">
      <c r="B51" s="180" t="s">
        <v>295</v>
      </c>
      <c r="C51" s="181">
        <f>30/$K$1</f>
        <v>30</v>
      </c>
      <c r="D51" s="182">
        <f>C1</f>
        <v>5000</v>
      </c>
      <c r="G51" s="180" t="s">
        <v>295</v>
      </c>
      <c r="H51" s="277">
        <f>I51/$D$5</f>
        <v>10</v>
      </c>
      <c r="I51" s="182">
        <f>J51/$R$1</f>
        <v>68181.818181818177</v>
      </c>
      <c r="J51" s="181">
        <f>$W$44</f>
        <v>45000</v>
      </c>
    </row>
    <row r="52" spans="1:10" ht="14" x14ac:dyDescent="0.3">
      <c r="B52" s="714" t="s">
        <v>269</v>
      </c>
      <c r="C52" s="996">
        <f>I1</f>
        <v>1.61904</v>
      </c>
      <c r="D52" s="992">
        <f>E1</f>
        <v>8095.2000000000007</v>
      </c>
      <c r="G52" s="148" t="s">
        <v>274</v>
      </c>
      <c r="H52" s="210">
        <f>I52/$D$5</f>
        <v>1.5433000000000001</v>
      </c>
      <c r="I52" s="176">
        <f>J52/$R$1</f>
        <v>10522.5</v>
      </c>
      <c r="J52" s="184">
        <f>$S$30</f>
        <v>6944.85</v>
      </c>
    </row>
    <row r="53" spans="1:10" ht="14" x14ac:dyDescent="0.3">
      <c r="B53" s="714" t="s">
        <v>296</v>
      </c>
      <c r="C53" s="234">
        <f>MIN(C52, C51)</f>
        <v>1.61904</v>
      </c>
      <c r="D53" s="233">
        <f>(C53*$K$1)*$C$1</f>
        <v>8095.2</v>
      </c>
      <c r="G53" s="148" t="s">
        <v>296</v>
      </c>
      <c r="H53" s="187">
        <f>MIN(H52,H51)</f>
        <v>1.5433000000000001</v>
      </c>
      <c r="I53" s="176">
        <f>J53/$R$1</f>
        <v>10522.5</v>
      </c>
      <c r="J53" s="176">
        <f>MIN(J52,J51)</f>
        <v>6944.85</v>
      </c>
    </row>
    <row r="54" spans="1:10" ht="14" x14ac:dyDescent="0.3">
      <c r="B54" s="714" t="s">
        <v>297</v>
      </c>
      <c r="C54" s="234">
        <f>MIN(MAX(C52-C53,0),C51)</f>
        <v>0</v>
      </c>
      <c r="D54" s="233">
        <f>(C54*$K$1)*$C$1</f>
        <v>0</v>
      </c>
      <c r="G54" s="148" t="s">
        <v>297</v>
      </c>
      <c r="H54" s="187">
        <f>MIN(MAX(H52-H53),H51)</f>
        <v>0</v>
      </c>
      <c r="I54" s="176">
        <f>J54/$R$1</f>
        <v>0</v>
      </c>
      <c r="J54" s="176">
        <f>MIN(MAX(J52-J53),J51)</f>
        <v>0</v>
      </c>
    </row>
    <row r="55" spans="1:10" ht="14" x14ac:dyDescent="0.3">
      <c r="B55" s="714"/>
      <c r="C55" s="234">
        <f>MIN(MAX(C52-C53-C54,0),C51)</f>
        <v>0</v>
      </c>
      <c r="D55" s="233">
        <f>(C55*$K$1)*$C$1</f>
        <v>0</v>
      </c>
      <c r="G55" s="145" t="s">
        <v>298</v>
      </c>
      <c r="H55" s="187">
        <f>MIN(MAX(H52-H53-H54),H51)</f>
        <v>0</v>
      </c>
      <c r="I55" s="176">
        <f>J55/$R$1</f>
        <v>0</v>
      </c>
      <c r="J55" s="176">
        <f>MIN(MAX(J52-J53-J54),J51)</f>
        <v>0</v>
      </c>
    </row>
    <row r="60" spans="1:10" x14ac:dyDescent="0.3">
      <c r="A60" s="1003"/>
    </row>
    <row r="61" spans="1:10" x14ac:dyDescent="0.3">
      <c r="A61" s="1003"/>
    </row>
    <row r="62" spans="1:10" ht="25.25" customHeight="1" x14ac:dyDescent="0.3">
      <c r="A62" s="1003"/>
      <c r="B62" s="1469" t="str">
        <f>"    صوص لحمة شرقية   1 / " &amp; COUNTIF($C$53:$C$55,"&gt;0")</f>
        <v xml:space="preserve">    صوص لحمة شرقية   1 / 1</v>
      </c>
      <c r="C62" s="1469"/>
      <c r="D62" s="1469"/>
      <c r="E62" s="1469"/>
      <c r="F62" s="1469"/>
      <c r="G62" s="1469"/>
      <c r="H62" s="1469"/>
    </row>
    <row r="63" spans="1:10" ht="12.5" customHeight="1" x14ac:dyDescent="0.3">
      <c r="A63" s="1003"/>
      <c r="B63" s="1469" t="str">
        <f>"  Oriental Beef for Rice   1 / " &amp; COUNTIF($C$53:$C$55,"&gt;0")</f>
        <v xml:space="preserve">  Oriental Beef for Rice   1 / 1</v>
      </c>
      <c r="C63" s="1469"/>
      <c r="D63" s="1469"/>
      <c r="E63" s="1469"/>
      <c r="F63" s="1469"/>
      <c r="G63" s="1469"/>
      <c r="H63" s="1469"/>
    </row>
    <row r="64" spans="1:10" ht="39" x14ac:dyDescent="0.3">
      <c r="B64" s="243" t="s">
        <v>253</v>
      </c>
      <c r="C64" s="244" t="s">
        <v>254</v>
      </c>
      <c r="D64" s="245" t="s">
        <v>243</v>
      </c>
      <c r="E64" s="218" t="s">
        <v>246</v>
      </c>
      <c r="F64" s="218" t="s">
        <v>255</v>
      </c>
      <c r="G64" s="245" t="s">
        <v>256</v>
      </c>
      <c r="H64" s="218" t="s">
        <v>257</v>
      </c>
    </row>
    <row r="65" spans="2:8" x14ac:dyDescent="0.3">
      <c r="B65" s="1004" t="str">
        <f t="shared" ref="B65:D79" si="7">B5</f>
        <v>Indian Meat Tammam Mafroom - مفروم هندى</v>
      </c>
      <c r="C65" s="1004" t="str">
        <f t="shared" si="7"/>
        <v>KG</v>
      </c>
      <c r="D65" s="1004">
        <f>D5</f>
        <v>6818.181818181818</v>
      </c>
      <c r="E65" s="1005">
        <f>$H$53</f>
        <v>1.5433000000000001</v>
      </c>
      <c r="F65" s="1012">
        <f>F5</f>
        <v>1</v>
      </c>
      <c r="G65" s="1006">
        <f>D65*E65</f>
        <v>10522.5</v>
      </c>
      <c r="H65" s="1013">
        <f>F65*G65</f>
        <v>10522.5</v>
      </c>
    </row>
    <row r="66" spans="2:8" x14ac:dyDescent="0.3">
      <c r="B66" s="1004" t="str">
        <f t="shared" si="7"/>
        <v>Onion - بصل</v>
      </c>
      <c r="C66" s="1004" t="str">
        <f t="shared" si="7"/>
        <v>gm</v>
      </c>
      <c r="D66" s="1004">
        <f t="shared" si="7"/>
        <v>1800</v>
      </c>
      <c r="E66" s="1005">
        <f t="shared" ref="E66:E79" si="8">$C$53</f>
        <v>1.61904</v>
      </c>
      <c r="F66" s="1012">
        <f t="shared" ref="F66:F79" si="9">F6</f>
        <v>1</v>
      </c>
      <c r="G66" s="1006">
        <f t="shared" ref="G66:G79" si="10">D66*E66</f>
        <v>2914.2719999999999</v>
      </c>
      <c r="H66" s="1013">
        <f t="shared" ref="H66:H79" si="11">F66*G66</f>
        <v>2914.2719999999999</v>
      </c>
    </row>
    <row r="67" spans="2:8" x14ac:dyDescent="0.3">
      <c r="B67" s="1004" t="str">
        <f t="shared" si="7"/>
        <v>Garlic - ثوم مقشر</v>
      </c>
      <c r="C67" s="1004" t="str">
        <f t="shared" si="7"/>
        <v>gm</v>
      </c>
      <c r="D67" s="1004">
        <f t="shared" si="7"/>
        <v>270</v>
      </c>
      <c r="E67" s="1007">
        <f t="shared" si="8"/>
        <v>1.61904</v>
      </c>
      <c r="F67" s="1012">
        <f t="shared" si="9"/>
        <v>1</v>
      </c>
      <c r="G67" s="1006">
        <f t="shared" si="10"/>
        <v>437.14080000000001</v>
      </c>
      <c r="H67" s="1013">
        <f t="shared" si="11"/>
        <v>437.14080000000001</v>
      </c>
    </row>
    <row r="68" spans="2:8" x14ac:dyDescent="0.3">
      <c r="B68" s="1004" t="str">
        <f t="shared" si="7"/>
        <v>Butter - زبدة</v>
      </c>
      <c r="C68" s="1004" t="str">
        <f t="shared" si="7"/>
        <v>gm</v>
      </c>
      <c r="D68" s="1004">
        <f t="shared" si="7"/>
        <v>360</v>
      </c>
      <c r="E68" s="1007">
        <f t="shared" si="8"/>
        <v>1.61904</v>
      </c>
      <c r="F68" s="1012">
        <f t="shared" si="9"/>
        <v>1</v>
      </c>
      <c r="G68" s="1006">
        <f t="shared" si="10"/>
        <v>582.85440000000006</v>
      </c>
      <c r="H68" s="1013">
        <f t="shared" si="11"/>
        <v>582.85440000000006</v>
      </c>
    </row>
    <row r="69" spans="2:8" x14ac:dyDescent="0.3">
      <c r="B69" s="1004" t="str">
        <f t="shared" si="7"/>
        <v>Salt - ملح</v>
      </c>
      <c r="C69" s="1004" t="str">
        <f t="shared" si="7"/>
        <v>gm</v>
      </c>
      <c r="D69" s="1004">
        <f t="shared" si="7"/>
        <v>18</v>
      </c>
      <c r="E69" s="1007">
        <f t="shared" si="8"/>
        <v>1.61904</v>
      </c>
      <c r="F69" s="1012">
        <f t="shared" si="9"/>
        <v>1</v>
      </c>
      <c r="G69" s="1006">
        <f t="shared" si="10"/>
        <v>29.142720000000001</v>
      </c>
      <c r="H69" s="1013">
        <f t="shared" si="11"/>
        <v>29.142720000000001</v>
      </c>
    </row>
    <row r="70" spans="2:8" x14ac:dyDescent="0.3">
      <c r="B70" s="1004" t="str">
        <f t="shared" si="7"/>
        <v>Black Pepper Powder - فلفل أسود مطحون</v>
      </c>
      <c r="C70" s="1004" t="str">
        <f t="shared" si="7"/>
        <v>gm</v>
      </c>
      <c r="D70" s="1004">
        <f t="shared" si="7"/>
        <v>18</v>
      </c>
      <c r="E70" s="1007">
        <f t="shared" si="8"/>
        <v>1.61904</v>
      </c>
      <c r="F70" s="1012">
        <f t="shared" si="9"/>
        <v>1</v>
      </c>
      <c r="G70" s="1006">
        <f t="shared" si="10"/>
        <v>29.142720000000001</v>
      </c>
      <c r="H70" s="1013">
        <f t="shared" si="11"/>
        <v>29.142720000000001</v>
      </c>
    </row>
    <row r="71" spans="2:8" x14ac:dyDescent="0.3">
      <c r="B71" s="1004" t="str">
        <f t="shared" si="7"/>
        <v>Cinnamon Powder - قرفة مطحونة</v>
      </c>
      <c r="C71" s="1004" t="str">
        <f t="shared" si="7"/>
        <v>gm</v>
      </c>
      <c r="D71" s="1004">
        <f t="shared" si="7"/>
        <v>36</v>
      </c>
      <c r="E71" s="1007">
        <f t="shared" si="8"/>
        <v>1.61904</v>
      </c>
      <c r="F71" s="1012">
        <f t="shared" si="9"/>
        <v>1</v>
      </c>
      <c r="G71" s="1006">
        <f t="shared" si="10"/>
        <v>58.285440000000001</v>
      </c>
      <c r="H71" s="1013">
        <f t="shared" si="11"/>
        <v>58.285440000000001</v>
      </c>
    </row>
    <row r="72" spans="2:8" x14ac:dyDescent="0.3">
      <c r="B72" s="1004" t="str">
        <f t="shared" si="7"/>
        <v>Cumin Powder - كمون مطحون</v>
      </c>
      <c r="C72" s="1004" t="str">
        <f t="shared" si="7"/>
        <v>gm</v>
      </c>
      <c r="D72" s="1004">
        <f t="shared" si="7"/>
        <v>7.2</v>
      </c>
      <c r="E72" s="1007">
        <f t="shared" si="8"/>
        <v>1.61904</v>
      </c>
      <c r="F72" s="1012">
        <f t="shared" si="9"/>
        <v>1</v>
      </c>
      <c r="G72" s="1006">
        <f t="shared" si="10"/>
        <v>11.657088</v>
      </c>
      <c r="H72" s="1013">
        <f t="shared" si="11"/>
        <v>11.657088</v>
      </c>
    </row>
    <row r="73" spans="2:8" x14ac:dyDescent="0.3">
      <c r="B73" s="1004" t="str">
        <f t="shared" si="7"/>
        <v>Coriander Powder - كزبرة مطحونة</v>
      </c>
      <c r="C73" s="1004" t="str">
        <f t="shared" si="7"/>
        <v>gm</v>
      </c>
      <c r="D73" s="1004">
        <f t="shared" si="7"/>
        <v>9</v>
      </c>
      <c r="E73" s="1007">
        <f t="shared" si="8"/>
        <v>1.61904</v>
      </c>
      <c r="F73" s="1012">
        <f t="shared" si="9"/>
        <v>1</v>
      </c>
      <c r="G73" s="1006">
        <f t="shared" si="10"/>
        <v>14.57136</v>
      </c>
      <c r="H73" s="1013">
        <f t="shared" si="11"/>
        <v>14.57136</v>
      </c>
    </row>
    <row r="74" spans="2:8" x14ac:dyDescent="0.3">
      <c r="B74" s="1004" t="str">
        <f t="shared" si="7"/>
        <v>Sweet Soy Sauce - صويا صوص حلو</v>
      </c>
      <c r="C74" s="1004" t="str">
        <f t="shared" si="7"/>
        <v>gm</v>
      </c>
      <c r="D74" s="1004">
        <f t="shared" si="7"/>
        <v>180</v>
      </c>
      <c r="E74" s="1007">
        <f t="shared" si="8"/>
        <v>1.61904</v>
      </c>
      <c r="F74" s="1012">
        <f t="shared" si="9"/>
        <v>1</v>
      </c>
      <c r="G74" s="1006">
        <f t="shared" si="10"/>
        <v>291.42720000000003</v>
      </c>
      <c r="H74" s="1013">
        <f t="shared" si="11"/>
        <v>291.42720000000003</v>
      </c>
    </row>
    <row r="75" spans="2:8" x14ac:dyDescent="0.3">
      <c r="B75" s="1004" t="str">
        <f t="shared" si="7"/>
        <v>Maggi Cubes - مكعبات ماجي</v>
      </c>
      <c r="C75" s="1004" t="str">
        <f t="shared" si="7"/>
        <v>gm</v>
      </c>
      <c r="D75" s="1004">
        <f t="shared" si="7"/>
        <v>54</v>
      </c>
      <c r="E75" s="1007">
        <f t="shared" si="8"/>
        <v>1.61904</v>
      </c>
      <c r="F75" s="1012">
        <f t="shared" si="9"/>
        <v>1</v>
      </c>
      <c r="G75" s="1006">
        <f t="shared" si="10"/>
        <v>87.428160000000005</v>
      </c>
      <c r="H75" s="1013">
        <f t="shared" si="11"/>
        <v>87.428160000000005</v>
      </c>
    </row>
    <row r="76" spans="2:8" x14ac:dyDescent="0.3">
      <c r="B76" s="1004" t="str">
        <f t="shared" si="7"/>
        <v>Bay Leaf - ورق غار</v>
      </c>
      <c r="C76" s="1004" t="str">
        <f t="shared" si="7"/>
        <v>gm</v>
      </c>
      <c r="D76" s="1004">
        <f t="shared" si="7"/>
        <v>3.6</v>
      </c>
      <c r="E76" s="1007">
        <f t="shared" si="8"/>
        <v>1.61904</v>
      </c>
      <c r="F76" s="1012">
        <f t="shared" si="9"/>
        <v>1</v>
      </c>
      <c r="G76" s="1006">
        <f t="shared" si="10"/>
        <v>5.8285439999999999</v>
      </c>
      <c r="H76" s="1013">
        <f t="shared" si="11"/>
        <v>5.8285439999999999</v>
      </c>
    </row>
    <row r="77" spans="2:8" x14ac:dyDescent="0.3">
      <c r="B77" s="1004" t="str">
        <f t="shared" si="7"/>
        <v>Cardamom Whole - هيل حب</v>
      </c>
      <c r="C77" s="1004" t="str">
        <f t="shared" si="7"/>
        <v>gm</v>
      </c>
      <c r="D77" s="1004">
        <f t="shared" si="7"/>
        <v>3.6</v>
      </c>
      <c r="E77" s="1005">
        <f t="shared" si="8"/>
        <v>1.61904</v>
      </c>
      <c r="F77" s="1012">
        <f t="shared" si="9"/>
        <v>1</v>
      </c>
      <c r="G77" s="1006">
        <f t="shared" si="10"/>
        <v>5.8285439999999999</v>
      </c>
      <c r="H77" s="1013">
        <f t="shared" si="11"/>
        <v>5.8285439999999999</v>
      </c>
    </row>
    <row r="78" spans="2:8" x14ac:dyDescent="0.3">
      <c r="B78" s="1004" t="str">
        <f t="shared" si="7"/>
        <v>Cloves Whole - قرنفل حب</v>
      </c>
      <c r="C78" s="1004" t="str">
        <f t="shared" si="7"/>
        <v>gm</v>
      </c>
      <c r="D78" s="1004">
        <f t="shared" si="7"/>
        <v>1.8</v>
      </c>
      <c r="E78" s="1007">
        <f t="shared" si="8"/>
        <v>1.61904</v>
      </c>
      <c r="F78" s="1012">
        <f t="shared" si="9"/>
        <v>1</v>
      </c>
      <c r="G78" s="1006">
        <f t="shared" si="10"/>
        <v>2.914272</v>
      </c>
      <c r="H78" s="1013">
        <f t="shared" si="11"/>
        <v>2.914272</v>
      </c>
    </row>
    <row r="79" spans="2:8" x14ac:dyDescent="0.3">
      <c r="B79" s="1004" t="str">
        <f t="shared" si="7"/>
        <v>Black pepper whole - فلفل أسود حب</v>
      </c>
      <c r="C79" s="1004" t="str">
        <f t="shared" si="7"/>
        <v>gm</v>
      </c>
      <c r="D79" s="1004">
        <f t="shared" si="7"/>
        <v>3.6</v>
      </c>
      <c r="E79" s="1005">
        <f t="shared" si="8"/>
        <v>1.61904</v>
      </c>
      <c r="F79" s="1012">
        <f t="shared" si="9"/>
        <v>1</v>
      </c>
      <c r="G79" s="1006">
        <f t="shared" si="10"/>
        <v>5.8285439999999999</v>
      </c>
      <c r="H79" s="1013">
        <f t="shared" si="11"/>
        <v>5.8285439999999999</v>
      </c>
    </row>
    <row r="80" spans="2:8" ht="18" x14ac:dyDescent="0.25">
      <c r="B80" s="198" t="s">
        <v>299</v>
      </c>
      <c r="C80" s="200" t="s">
        <v>285</v>
      </c>
      <c r="D80" s="14"/>
      <c r="E80" s="200" t="s">
        <v>300</v>
      </c>
      <c r="F80" s="14"/>
      <c r="G80" s="890" t="s">
        <v>276</v>
      </c>
      <c r="H80" s="890" t="s">
        <v>733</v>
      </c>
    </row>
    <row r="81" spans="2:8" ht="24" customHeight="1" x14ac:dyDescent="0.4">
      <c r="B81" s="199">
        <f>J53</f>
        <v>6944.85</v>
      </c>
      <c r="C81" s="199">
        <f>D53</f>
        <v>8095.2</v>
      </c>
      <c r="D81" s="930"/>
      <c r="E81" s="199">
        <f>$D$53*$S$44</f>
        <v>8095.2</v>
      </c>
      <c r="F81" s="934"/>
      <c r="G81" s="199">
        <f>$D$53*$T$44</f>
        <v>0</v>
      </c>
      <c r="H81" s="199">
        <f>B81+E81</f>
        <v>15040.05</v>
      </c>
    </row>
    <row r="82" spans="2:8" ht="24" customHeight="1" x14ac:dyDescent="0.4">
      <c r="B82" s="211"/>
      <c r="C82" s="484"/>
      <c r="D82" s="484"/>
      <c r="E82" s="930"/>
      <c r="F82" s="484"/>
      <c r="G82" s="934"/>
      <c r="H82" s="484"/>
    </row>
    <row r="83" spans="2:8" ht="18" x14ac:dyDescent="0.3">
      <c r="B83" s="1469" t="str">
        <f>"    صوص لحمة شرقية  2 / " &amp; COUNTIF($C$53:$C$55,"&gt;0")</f>
        <v xml:space="preserve">    صوص لحمة شرقية  2 / 1</v>
      </c>
      <c r="C83" s="1469"/>
      <c r="D83" s="1469"/>
      <c r="E83" s="1469"/>
      <c r="F83" s="1469"/>
      <c r="G83" s="1469"/>
      <c r="H83" s="1469"/>
    </row>
    <row r="84" spans="2:8" ht="18" x14ac:dyDescent="0.3">
      <c r="B84" s="1469" t="str">
        <f>" Oriental Beef for Rice   2 / " &amp; COUNTIF($C$53:$C$55,"&gt;0")</f>
        <v xml:space="preserve"> Oriental Beef for Rice   2 / 1</v>
      </c>
      <c r="C84" s="1469"/>
      <c r="D84" s="1469"/>
      <c r="E84" s="1469"/>
      <c r="F84" s="1469"/>
      <c r="G84" s="1469"/>
      <c r="H84" s="1469"/>
    </row>
    <row r="85" spans="2:8" ht="39" x14ac:dyDescent="0.3">
      <c r="B85" s="243" t="s">
        <v>253</v>
      </c>
      <c r="C85" s="244" t="s">
        <v>254</v>
      </c>
      <c r="D85" s="245" t="s">
        <v>243</v>
      </c>
      <c r="E85" s="218" t="s">
        <v>246</v>
      </c>
      <c r="F85" s="218" t="s">
        <v>255</v>
      </c>
      <c r="G85" s="245" t="s">
        <v>256</v>
      </c>
      <c r="H85" s="218" t="s">
        <v>257</v>
      </c>
    </row>
    <row r="86" spans="2:8" x14ac:dyDescent="0.3">
      <c r="B86" s="702" t="str">
        <f t="shared" ref="B86:D100" si="12">B5</f>
        <v>Indian Meat Tammam Mafroom - مفروم هندى</v>
      </c>
      <c r="C86" s="702" t="str">
        <f t="shared" si="12"/>
        <v>KG</v>
      </c>
      <c r="D86" s="702">
        <f t="shared" si="12"/>
        <v>6818.181818181818</v>
      </c>
      <c r="E86" s="701">
        <f>$H$54</f>
        <v>0</v>
      </c>
      <c r="F86" s="1014">
        <f>F5</f>
        <v>1</v>
      </c>
      <c r="G86" s="1006">
        <f>D86*E86</f>
        <v>0</v>
      </c>
      <c r="H86" s="1013">
        <f>F86*G86</f>
        <v>0</v>
      </c>
    </row>
    <row r="87" spans="2:8" x14ac:dyDescent="0.3">
      <c r="B87" s="702" t="str">
        <f t="shared" si="12"/>
        <v>Onion - بصل</v>
      </c>
      <c r="C87" s="702" t="str">
        <f t="shared" si="12"/>
        <v>gm</v>
      </c>
      <c r="D87" s="702">
        <f t="shared" si="12"/>
        <v>1800</v>
      </c>
      <c r="E87" s="701">
        <f t="shared" ref="E87:E100" si="13">$C$54</f>
        <v>0</v>
      </c>
      <c r="F87" s="1014">
        <f t="shared" ref="F87:F100" si="14">F6</f>
        <v>1</v>
      </c>
      <c r="G87" s="1006">
        <f t="shared" ref="G87:G100" si="15">D87*E87</f>
        <v>0</v>
      </c>
      <c r="H87" s="1013">
        <f t="shared" ref="H87:H100" si="16">F87*G87</f>
        <v>0</v>
      </c>
    </row>
    <row r="88" spans="2:8" x14ac:dyDescent="0.3">
      <c r="B88" s="702" t="str">
        <f t="shared" si="12"/>
        <v>Garlic - ثوم مقشر</v>
      </c>
      <c r="C88" s="702" t="str">
        <f t="shared" si="12"/>
        <v>gm</v>
      </c>
      <c r="D88" s="702">
        <f t="shared" si="12"/>
        <v>270</v>
      </c>
      <c r="E88" s="701">
        <f t="shared" si="13"/>
        <v>0</v>
      </c>
      <c r="F88" s="1014">
        <f t="shared" si="14"/>
        <v>1</v>
      </c>
      <c r="G88" s="1006">
        <f t="shared" si="15"/>
        <v>0</v>
      </c>
      <c r="H88" s="1013">
        <f t="shared" si="16"/>
        <v>0</v>
      </c>
    </row>
    <row r="89" spans="2:8" x14ac:dyDescent="0.3">
      <c r="B89" s="702" t="str">
        <f t="shared" si="12"/>
        <v>Butter - زبدة</v>
      </c>
      <c r="C89" s="702" t="str">
        <f t="shared" si="12"/>
        <v>gm</v>
      </c>
      <c r="D89" s="702">
        <f t="shared" si="12"/>
        <v>360</v>
      </c>
      <c r="E89" s="701">
        <f t="shared" si="13"/>
        <v>0</v>
      </c>
      <c r="F89" s="1014">
        <f t="shared" si="14"/>
        <v>1</v>
      </c>
      <c r="G89" s="1006">
        <f t="shared" si="15"/>
        <v>0</v>
      </c>
      <c r="H89" s="1013">
        <f t="shared" si="16"/>
        <v>0</v>
      </c>
    </row>
    <row r="90" spans="2:8" x14ac:dyDescent="0.3">
      <c r="B90" s="702" t="str">
        <f t="shared" si="12"/>
        <v>Salt - ملح</v>
      </c>
      <c r="C90" s="702" t="str">
        <f t="shared" si="12"/>
        <v>gm</v>
      </c>
      <c r="D90" s="702">
        <f t="shared" si="12"/>
        <v>18</v>
      </c>
      <c r="E90" s="701">
        <f t="shared" si="13"/>
        <v>0</v>
      </c>
      <c r="F90" s="1014">
        <f t="shared" si="14"/>
        <v>1</v>
      </c>
      <c r="G90" s="1006">
        <f t="shared" si="15"/>
        <v>0</v>
      </c>
      <c r="H90" s="1013">
        <f t="shared" si="16"/>
        <v>0</v>
      </c>
    </row>
    <row r="91" spans="2:8" x14ac:dyDescent="0.3">
      <c r="B91" s="702" t="str">
        <f t="shared" si="12"/>
        <v>Black Pepper Powder - فلفل أسود مطحون</v>
      </c>
      <c r="C91" s="702" t="str">
        <f t="shared" si="12"/>
        <v>gm</v>
      </c>
      <c r="D91" s="702">
        <f t="shared" si="12"/>
        <v>18</v>
      </c>
      <c r="E91" s="701">
        <f t="shared" si="13"/>
        <v>0</v>
      </c>
      <c r="F91" s="1014">
        <f t="shared" si="14"/>
        <v>1</v>
      </c>
      <c r="G91" s="1006">
        <f t="shared" si="15"/>
        <v>0</v>
      </c>
      <c r="H91" s="1013">
        <f t="shared" si="16"/>
        <v>0</v>
      </c>
    </row>
    <row r="92" spans="2:8" x14ac:dyDescent="0.3">
      <c r="B92" s="702" t="str">
        <f t="shared" si="12"/>
        <v>Cinnamon Powder - قرفة مطحونة</v>
      </c>
      <c r="C92" s="702" t="str">
        <f t="shared" si="12"/>
        <v>gm</v>
      </c>
      <c r="D92" s="702">
        <f t="shared" si="12"/>
        <v>36</v>
      </c>
      <c r="E92" s="701">
        <f t="shared" si="13"/>
        <v>0</v>
      </c>
      <c r="F92" s="1014">
        <f t="shared" si="14"/>
        <v>1</v>
      </c>
      <c r="G92" s="1006">
        <f t="shared" si="15"/>
        <v>0</v>
      </c>
      <c r="H92" s="1013">
        <f t="shared" si="16"/>
        <v>0</v>
      </c>
    </row>
    <row r="93" spans="2:8" x14ac:dyDescent="0.3">
      <c r="B93" s="702" t="str">
        <f t="shared" si="12"/>
        <v>Cumin Powder - كمون مطحون</v>
      </c>
      <c r="C93" s="702" t="str">
        <f t="shared" si="12"/>
        <v>gm</v>
      </c>
      <c r="D93" s="702">
        <f t="shared" si="12"/>
        <v>7.2</v>
      </c>
      <c r="E93" s="701">
        <f t="shared" si="13"/>
        <v>0</v>
      </c>
      <c r="F93" s="1014">
        <f t="shared" si="14"/>
        <v>1</v>
      </c>
      <c r="G93" s="1006">
        <f t="shared" si="15"/>
        <v>0</v>
      </c>
      <c r="H93" s="1013">
        <f t="shared" si="16"/>
        <v>0</v>
      </c>
    </row>
    <row r="94" spans="2:8" x14ac:dyDescent="0.3">
      <c r="B94" s="702" t="str">
        <f t="shared" si="12"/>
        <v>Coriander Powder - كزبرة مطحونة</v>
      </c>
      <c r="C94" s="702" t="str">
        <f t="shared" si="12"/>
        <v>gm</v>
      </c>
      <c r="D94" s="702">
        <f t="shared" si="12"/>
        <v>9</v>
      </c>
      <c r="E94" s="701">
        <f t="shared" si="13"/>
        <v>0</v>
      </c>
      <c r="F94" s="1014">
        <f t="shared" si="14"/>
        <v>1</v>
      </c>
      <c r="G94" s="1006">
        <f t="shared" si="15"/>
        <v>0</v>
      </c>
      <c r="H94" s="1013">
        <f t="shared" si="16"/>
        <v>0</v>
      </c>
    </row>
    <row r="95" spans="2:8" x14ac:dyDescent="0.3">
      <c r="B95" s="702" t="str">
        <f t="shared" si="12"/>
        <v>Sweet Soy Sauce - صويا صوص حلو</v>
      </c>
      <c r="C95" s="702" t="str">
        <f t="shared" si="12"/>
        <v>gm</v>
      </c>
      <c r="D95" s="702">
        <f t="shared" si="12"/>
        <v>180</v>
      </c>
      <c r="E95" s="701">
        <f t="shared" si="13"/>
        <v>0</v>
      </c>
      <c r="F95" s="1014">
        <f t="shared" si="14"/>
        <v>1</v>
      </c>
      <c r="G95" s="1006">
        <f t="shared" si="15"/>
        <v>0</v>
      </c>
      <c r="H95" s="1013">
        <f t="shared" si="16"/>
        <v>0</v>
      </c>
    </row>
    <row r="96" spans="2:8" x14ac:dyDescent="0.3">
      <c r="B96" s="702" t="str">
        <f t="shared" si="12"/>
        <v>Maggi Cubes - مكعبات ماجي</v>
      </c>
      <c r="C96" s="702" t="str">
        <f t="shared" si="12"/>
        <v>gm</v>
      </c>
      <c r="D96" s="702">
        <f t="shared" si="12"/>
        <v>54</v>
      </c>
      <c r="E96" s="701">
        <f t="shared" si="13"/>
        <v>0</v>
      </c>
      <c r="F96" s="1014">
        <f t="shared" si="14"/>
        <v>1</v>
      </c>
      <c r="G96" s="1006">
        <f t="shared" si="15"/>
        <v>0</v>
      </c>
      <c r="H96" s="1013">
        <f t="shared" si="16"/>
        <v>0</v>
      </c>
    </row>
    <row r="97" spans="2:8" x14ac:dyDescent="0.3">
      <c r="B97" s="702" t="str">
        <f t="shared" si="12"/>
        <v>Bay Leaf - ورق غار</v>
      </c>
      <c r="C97" s="702" t="str">
        <f t="shared" si="12"/>
        <v>gm</v>
      </c>
      <c r="D97" s="702">
        <f t="shared" si="12"/>
        <v>3.6</v>
      </c>
      <c r="E97" s="701">
        <f t="shared" si="13"/>
        <v>0</v>
      </c>
      <c r="F97" s="1014">
        <f t="shared" si="14"/>
        <v>1</v>
      </c>
      <c r="G97" s="1006">
        <f t="shared" si="15"/>
        <v>0</v>
      </c>
      <c r="H97" s="1013">
        <f t="shared" si="16"/>
        <v>0</v>
      </c>
    </row>
    <row r="98" spans="2:8" x14ac:dyDescent="0.3">
      <c r="B98" s="702" t="str">
        <f t="shared" si="12"/>
        <v>Cardamom Whole - هيل حب</v>
      </c>
      <c r="C98" s="702" t="str">
        <f t="shared" si="12"/>
        <v>gm</v>
      </c>
      <c r="D98" s="702">
        <f t="shared" si="12"/>
        <v>3.6</v>
      </c>
      <c r="E98" s="701">
        <f t="shared" si="13"/>
        <v>0</v>
      </c>
      <c r="F98" s="1014">
        <f t="shared" si="14"/>
        <v>1</v>
      </c>
      <c r="G98" s="1006">
        <f t="shared" si="15"/>
        <v>0</v>
      </c>
      <c r="H98" s="1013">
        <f t="shared" si="16"/>
        <v>0</v>
      </c>
    </row>
    <row r="99" spans="2:8" x14ac:dyDescent="0.3">
      <c r="B99" s="702" t="str">
        <f t="shared" si="12"/>
        <v>Cloves Whole - قرنفل حب</v>
      </c>
      <c r="C99" s="702" t="str">
        <f t="shared" si="12"/>
        <v>gm</v>
      </c>
      <c r="D99" s="702">
        <f t="shared" si="12"/>
        <v>1.8</v>
      </c>
      <c r="E99" s="701">
        <f t="shared" si="13"/>
        <v>0</v>
      </c>
      <c r="F99" s="1014">
        <f t="shared" si="14"/>
        <v>1</v>
      </c>
      <c r="G99" s="1006">
        <f t="shared" si="15"/>
        <v>0</v>
      </c>
      <c r="H99" s="1013">
        <f t="shared" si="16"/>
        <v>0</v>
      </c>
    </row>
    <row r="100" spans="2:8" x14ac:dyDescent="0.3">
      <c r="B100" s="702" t="str">
        <f t="shared" si="12"/>
        <v>Black pepper whole - فلفل أسود حب</v>
      </c>
      <c r="C100" s="702" t="str">
        <f t="shared" si="12"/>
        <v>gm</v>
      </c>
      <c r="D100" s="702">
        <f t="shared" si="12"/>
        <v>3.6</v>
      </c>
      <c r="E100" s="701">
        <f t="shared" si="13"/>
        <v>0</v>
      </c>
      <c r="F100" s="1014">
        <f t="shared" si="14"/>
        <v>1</v>
      </c>
      <c r="G100" s="1006">
        <f t="shared" si="15"/>
        <v>0</v>
      </c>
      <c r="H100" s="1013">
        <f t="shared" si="16"/>
        <v>0</v>
      </c>
    </row>
    <row r="101" spans="2:8" ht="18" x14ac:dyDescent="0.25">
      <c r="B101" s="198" t="s">
        <v>299</v>
      </c>
      <c r="C101" s="200" t="s">
        <v>285</v>
      </c>
      <c r="D101" s="14"/>
      <c r="E101" s="200" t="s">
        <v>300</v>
      </c>
      <c r="F101" s="14"/>
      <c r="G101" s="890" t="s">
        <v>276</v>
      </c>
      <c r="H101" s="890" t="s">
        <v>733</v>
      </c>
    </row>
    <row r="102" spans="2:8" ht="20" x14ac:dyDescent="0.4">
      <c r="B102" s="199">
        <f>$J$54</f>
        <v>0</v>
      </c>
      <c r="C102" s="199">
        <f>E102+G102</f>
        <v>0</v>
      </c>
      <c r="D102" s="930"/>
      <c r="E102" s="199">
        <f>$D$54*$S$44</f>
        <v>0</v>
      </c>
      <c r="F102" s="934"/>
      <c r="G102" s="199">
        <f>$D$54*$T$44</f>
        <v>0</v>
      </c>
      <c r="H102" s="199">
        <f>B102+E102</f>
        <v>0</v>
      </c>
    </row>
    <row r="103" spans="2:8" x14ac:dyDescent="0.3">
      <c r="B103" s="705"/>
      <c r="E103" s="705"/>
      <c r="F103" s="705"/>
    </row>
    <row r="104" spans="2:8" x14ac:dyDescent="0.3">
      <c r="B104" s="705"/>
      <c r="E104" s="705"/>
      <c r="F104" s="705"/>
    </row>
    <row r="105" spans="2:8" x14ac:dyDescent="0.3">
      <c r="B105" s="705"/>
      <c r="E105" s="705"/>
      <c r="F105" s="705"/>
    </row>
    <row r="106" spans="2:8" x14ac:dyDescent="0.3">
      <c r="B106" s="705"/>
      <c r="E106" s="705"/>
      <c r="F106" s="705"/>
    </row>
    <row r="107" spans="2:8" x14ac:dyDescent="0.3">
      <c r="B107" s="705"/>
      <c r="E107" s="705"/>
      <c r="F107" s="705"/>
    </row>
    <row r="108" spans="2:8" x14ac:dyDescent="0.3">
      <c r="B108" s="705"/>
      <c r="E108" s="705"/>
      <c r="F108" s="705"/>
    </row>
    <row r="109" spans="2:8" x14ac:dyDescent="0.3">
      <c r="B109" s="705"/>
      <c r="E109" s="705"/>
      <c r="F109" s="705"/>
    </row>
    <row r="110" spans="2:8" x14ac:dyDescent="0.3">
      <c r="B110" s="705"/>
      <c r="E110" s="705"/>
      <c r="F110" s="705"/>
    </row>
    <row r="111" spans="2:8" x14ac:dyDescent="0.3">
      <c r="B111" s="705"/>
      <c r="E111" s="705"/>
      <c r="F111" s="705"/>
    </row>
    <row r="112" spans="2:8" x14ac:dyDescent="0.3">
      <c r="B112" s="705"/>
      <c r="E112" s="705"/>
      <c r="F112" s="705"/>
    </row>
    <row r="113" spans="2:6" x14ac:dyDescent="0.3">
      <c r="B113" s="705"/>
      <c r="E113" s="705"/>
      <c r="F113" s="705"/>
    </row>
    <row r="114" spans="2:6" x14ac:dyDescent="0.3">
      <c r="B114" s="705"/>
      <c r="E114" s="705"/>
      <c r="F114" s="705"/>
    </row>
    <row r="115" spans="2:6" x14ac:dyDescent="0.3">
      <c r="B115" s="705"/>
      <c r="E115" s="705"/>
      <c r="F115" s="705"/>
    </row>
    <row r="116" spans="2:6" x14ac:dyDescent="0.3">
      <c r="B116" s="705"/>
      <c r="E116" s="705"/>
      <c r="F116" s="705"/>
    </row>
    <row r="117" spans="2:6" x14ac:dyDescent="0.3">
      <c r="B117" s="705"/>
      <c r="E117" s="705"/>
      <c r="F117" s="705"/>
    </row>
    <row r="118" spans="2:6" x14ac:dyDescent="0.3">
      <c r="B118" s="705"/>
      <c r="E118" s="705"/>
      <c r="F118" s="705"/>
    </row>
    <row r="119" spans="2:6" x14ac:dyDescent="0.3">
      <c r="B119" s="705"/>
      <c r="E119" s="705"/>
      <c r="F119" s="705"/>
    </row>
    <row r="120" spans="2:6" x14ac:dyDescent="0.3">
      <c r="B120" s="705"/>
      <c r="E120" s="705"/>
      <c r="F120" s="705"/>
    </row>
    <row r="121" spans="2:6" x14ac:dyDescent="0.3">
      <c r="B121" s="705"/>
      <c r="E121" s="705"/>
      <c r="F121" s="705"/>
    </row>
    <row r="122" spans="2:6" x14ac:dyDescent="0.3">
      <c r="B122" s="705"/>
      <c r="E122" s="705"/>
      <c r="F122" s="705"/>
    </row>
    <row r="123" spans="2:6" x14ac:dyDescent="0.3">
      <c r="B123" s="705"/>
      <c r="E123" s="705"/>
      <c r="F123" s="705"/>
    </row>
    <row r="124" spans="2:6" x14ac:dyDescent="0.3">
      <c r="B124" s="705"/>
      <c r="E124" s="705"/>
      <c r="F124" s="705"/>
    </row>
    <row r="125" spans="2:6" x14ac:dyDescent="0.3">
      <c r="B125" s="705"/>
      <c r="E125" s="705"/>
      <c r="F125" s="705"/>
    </row>
    <row r="126" spans="2:6" x14ac:dyDescent="0.3">
      <c r="B126" s="705"/>
      <c r="E126" s="705"/>
      <c r="F126" s="705"/>
    </row>
    <row r="127" spans="2:6" x14ac:dyDescent="0.3">
      <c r="B127" s="705"/>
      <c r="E127" s="705"/>
      <c r="F127" s="705"/>
    </row>
    <row r="128" spans="2:6" x14ac:dyDescent="0.3">
      <c r="B128" s="705"/>
      <c r="E128" s="705"/>
      <c r="F128" s="705"/>
    </row>
    <row r="129" spans="2:6" x14ac:dyDescent="0.3">
      <c r="B129" s="705"/>
      <c r="E129" s="705"/>
      <c r="F129" s="705"/>
    </row>
    <row r="130" spans="2:6" x14ac:dyDescent="0.3">
      <c r="B130" s="705"/>
      <c r="E130" s="705"/>
      <c r="F130" s="705"/>
    </row>
    <row r="131" spans="2:6" x14ac:dyDescent="0.3">
      <c r="B131" s="705"/>
      <c r="E131" s="705"/>
      <c r="F131" s="705"/>
    </row>
    <row r="132" spans="2:6" x14ac:dyDescent="0.3">
      <c r="B132" s="705"/>
      <c r="E132" s="705"/>
      <c r="F132" s="705"/>
    </row>
    <row r="133" spans="2:6" x14ac:dyDescent="0.3">
      <c r="B133" s="705"/>
      <c r="E133" s="705"/>
      <c r="F133" s="705"/>
    </row>
    <row r="134" spans="2:6" x14ac:dyDescent="0.3">
      <c r="B134" s="705"/>
      <c r="E134" s="705"/>
      <c r="F134" s="705"/>
    </row>
    <row r="135" spans="2:6" x14ac:dyDescent="0.3">
      <c r="B135" s="705"/>
      <c r="E135" s="705"/>
      <c r="F135" s="705"/>
    </row>
    <row r="136" spans="2:6" x14ac:dyDescent="0.3">
      <c r="B136" s="705"/>
      <c r="E136" s="705"/>
      <c r="F136" s="705"/>
    </row>
    <row r="137" spans="2:6" x14ac:dyDescent="0.3">
      <c r="B137" s="705"/>
      <c r="E137" s="705"/>
      <c r="F137" s="705"/>
    </row>
    <row r="138" spans="2:6" x14ac:dyDescent="0.3">
      <c r="B138" s="705"/>
      <c r="E138" s="705"/>
      <c r="F138" s="705"/>
    </row>
    <row r="139" spans="2:6" x14ac:dyDescent="0.3">
      <c r="B139" s="705"/>
      <c r="E139" s="705"/>
      <c r="F139" s="705"/>
    </row>
    <row r="140" spans="2:6" x14ac:dyDescent="0.3">
      <c r="B140" s="705"/>
      <c r="E140" s="705"/>
      <c r="F140" s="705"/>
    </row>
    <row r="141" spans="2:6" x14ac:dyDescent="0.3">
      <c r="B141" s="705"/>
      <c r="E141" s="705"/>
      <c r="F141" s="705"/>
    </row>
    <row r="142" spans="2:6" x14ac:dyDescent="0.3">
      <c r="B142" s="705"/>
      <c r="E142" s="705"/>
      <c r="F142" s="705"/>
    </row>
    <row r="143" spans="2:6" x14ac:dyDescent="0.3">
      <c r="B143" s="705"/>
      <c r="E143" s="705"/>
      <c r="F143" s="705"/>
    </row>
    <row r="144" spans="2:6" x14ac:dyDescent="0.3">
      <c r="B144" s="705"/>
      <c r="E144" s="705"/>
      <c r="F144" s="705"/>
    </row>
    <row r="145" spans="2:6" x14ac:dyDescent="0.3">
      <c r="B145" s="705"/>
      <c r="E145" s="705"/>
      <c r="F145" s="705"/>
    </row>
    <row r="146" spans="2:6" x14ac:dyDescent="0.3">
      <c r="B146" s="705"/>
      <c r="E146" s="705"/>
      <c r="F146" s="705"/>
    </row>
    <row r="147" spans="2:6" x14ac:dyDescent="0.3">
      <c r="B147" s="705"/>
      <c r="E147" s="705"/>
      <c r="F147" s="705"/>
    </row>
    <row r="148" spans="2:6" x14ac:dyDescent="0.3">
      <c r="B148" s="705"/>
      <c r="E148" s="705"/>
      <c r="F148" s="705"/>
    </row>
    <row r="149" spans="2:6" x14ac:dyDescent="0.3">
      <c r="B149" s="705"/>
      <c r="E149" s="705"/>
      <c r="F149" s="705"/>
    </row>
    <row r="150" spans="2:6" x14ac:dyDescent="0.3">
      <c r="B150" s="705"/>
      <c r="E150" s="705"/>
      <c r="F150" s="705"/>
    </row>
    <row r="151" spans="2:6" x14ac:dyDescent="0.3">
      <c r="B151" s="705"/>
      <c r="E151" s="705"/>
      <c r="F151" s="705"/>
    </row>
    <row r="152" spans="2:6" x14ac:dyDescent="0.3">
      <c r="B152" s="705"/>
      <c r="E152" s="705"/>
      <c r="F152" s="705"/>
    </row>
    <row r="153" spans="2:6" x14ac:dyDescent="0.3">
      <c r="B153" s="705"/>
      <c r="E153" s="705"/>
      <c r="F153" s="705"/>
    </row>
    <row r="154" spans="2:6" x14ac:dyDescent="0.3">
      <c r="B154" s="705"/>
      <c r="E154" s="705"/>
      <c r="F154" s="705"/>
    </row>
    <row r="155" spans="2:6" x14ac:dyDescent="0.3">
      <c r="B155" s="705"/>
      <c r="E155" s="705"/>
      <c r="F155" s="705"/>
    </row>
    <row r="156" spans="2:6" x14ac:dyDescent="0.3">
      <c r="B156" s="705"/>
      <c r="E156" s="705"/>
      <c r="F156" s="705"/>
    </row>
    <row r="157" spans="2:6" x14ac:dyDescent="0.3">
      <c r="B157" s="705"/>
      <c r="E157" s="705"/>
      <c r="F157" s="705"/>
    </row>
    <row r="158" spans="2:6" x14ac:dyDescent="0.3">
      <c r="B158" s="705"/>
      <c r="E158" s="705"/>
      <c r="F158" s="705"/>
    </row>
    <row r="159" spans="2:6" x14ac:dyDescent="0.3">
      <c r="B159" s="705"/>
      <c r="E159" s="705"/>
      <c r="F159" s="705"/>
    </row>
    <row r="160" spans="2:6" x14ac:dyDescent="0.3">
      <c r="B160" s="705"/>
      <c r="E160" s="705"/>
      <c r="F160" s="705"/>
    </row>
    <row r="161" spans="2:6" x14ac:dyDescent="0.3">
      <c r="B161" s="705"/>
      <c r="E161" s="705"/>
      <c r="F161" s="705"/>
    </row>
    <row r="162" spans="2:6" x14ac:dyDescent="0.3">
      <c r="B162" s="705"/>
      <c r="E162" s="705"/>
      <c r="F162" s="705"/>
    </row>
    <row r="163" spans="2:6" x14ac:dyDescent="0.3">
      <c r="B163" s="705"/>
      <c r="E163" s="705"/>
      <c r="F163" s="705"/>
    </row>
    <row r="164" spans="2:6" x14ac:dyDescent="0.3">
      <c r="B164" s="705"/>
      <c r="E164" s="705"/>
      <c r="F164" s="705"/>
    </row>
    <row r="165" spans="2:6" x14ac:dyDescent="0.3">
      <c r="B165" s="705"/>
      <c r="E165" s="705"/>
      <c r="F165" s="705"/>
    </row>
    <row r="166" spans="2:6" x14ac:dyDescent="0.3">
      <c r="B166" s="705"/>
      <c r="E166" s="705"/>
      <c r="F166" s="705"/>
    </row>
    <row r="167" spans="2:6" x14ac:dyDescent="0.3">
      <c r="B167" s="705"/>
      <c r="E167" s="705"/>
      <c r="F167" s="705"/>
    </row>
    <row r="168" spans="2:6" x14ac:dyDescent="0.3">
      <c r="B168" s="705"/>
      <c r="E168" s="705"/>
      <c r="F168" s="705"/>
    </row>
    <row r="169" spans="2:6" x14ac:dyDescent="0.3">
      <c r="B169" s="705"/>
      <c r="E169" s="705"/>
      <c r="F169" s="705"/>
    </row>
    <row r="170" spans="2:6" x14ac:dyDescent="0.3">
      <c r="B170" s="705"/>
      <c r="E170" s="705"/>
      <c r="F170" s="705"/>
    </row>
    <row r="171" spans="2:6" x14ac:dyDescent="0.3">
      <c r="B171" s="705"/>
      <c r="E171" s="705"/>
      <c r="F171" s="705"/>
    </row>
    <row r="172" spans="2:6" x14ac:dyDescent="0.3">
      <c r="B172" s="705"/>
      <c r="E172" s="705"/>
      <c r="F172" s="705"/>
    </row>
    <row r="173" spans="2:6" x14ac:dyDescent="0.3">
      <c r="B173" s="705"/>
      <c r="E173" s="705"/>
      <c r="F173" s="705"/>
    </row>
    <row r="174" spans="2:6" x14ac:dyDescent="0.3">
      <c r="B174" s="705"/>
      <c r="E174" s="705"/>
      <c r="F174" s="705"/>
    </row>
    <row r="175" spans="2:6" x14ac:dyDescent="0.3">
      <c r="B175" s="705"/>
      <c r="E175" s="705"/>
      <c r="F175" s="705"/>
    </row>
    <row r="176" spans="2:6" x14ac:dyDescent="0.3">
      <c r="B176" s="705"/>
      <c r="E176" s="705"/>
      <c r="F176" s="705"/>
    </row>
    <row r="177" spans="2:6" x14ac:dyDescent="0.3">
      <c r="B177" s="705"/>
      <c r="E177" s="705"/>
      <c r="F177" s="705"/>
    </row>
    <row r="178" spans="2:6" x14ac:dyDescent="0.3">
      <c r="B178" s="705"/>
      <c r="E178" s="705"/>
      <c r="F178" s="705"/>
    </row>
    <row r="179" spans="2:6" x14ac:dyDescent="0.3">
      <c r="B179" s="705"/>
      <c r="E179" s="705"/>
      <c r="F179" s="705"/>
    </row>
    <row r="180" spans="2:6" x14ac:dyDescent="0.3">
      <c r="B180" s="705"/>
      <c r="E180" s="705"/>
      <c r="F180" s="705"/>
    </row>
    <row r="181" spans="2:6" x14ac:dyDescent="0.3">
      <c r="B181" s="705"/>
      <c r="E181" s="705"/>
      <c r="F181" s="705"/>
    </row>
    <row r="182" spans="2:6" x14ac:dyDescent="0.3">
      <c r="B182" s="705"/>
      <c r="E182" s="705"/>
      <c r="F182" s="705"/>
    </row>
    <row r="183" spans="2:6" x14ac:dyDescent="0.3">
      <c r="B183" s="705"/>
      <c r="E183" s="705"/>
      <c r="F183" s="705"/>
    </row>
    <row r="184" spans="2:6" x14ac:dyDescent="0.3">
      <c r="B184" s="705"/>
      <c r="E184" s="705"/>
      <c r="F184" s="705"/>
    </row>
    <row r="185" spans="2:6" x14ac:dyDescent="0.3">
      <c r="B185" s="705"/>
      <c r="E185" s="705"/>
      <c r="F185" s="705"/>
    </row>
    <row r="186" spans="2:6" x14ac:dyDescent="0.3">
      <c r="B186" s="705"/>
      <c r="E186" s="705"/>
      <c r="F186" s="705"/>
    </row>
    <row r="187" spans="2:6" x14ac:dyDescent="0.3">
      <c r="B187" s="705"/>
      <c r="E187" s="705"/>
      <c r="F187" s="705"/>
    </row>
    <row r="188" spans="2:6" x14ac:dyDescent="0.3">
      <c r="B188" s="705"/>
      <c r="E188" s="705"/>
      <c r="F188" s="705"/>
    </row>
    <row r="189" spans="2:6" x14ac:dyDescent="0.3">
      <c r="B189" s="705"/>
      <c r="E189" s="705"/>
      <c r="F189" s="705"/>
    </row>
    <row r="190" spans="2:6" x14ac:dyDescent="0.3">
      <c r="B190" s="705"/>
      <c r="E190" s="705"/>
      <c r="F190" s="705"/>
    </row>
    <row r="191" spans="2:6" x14ac:dyDescent="0.3">
      <c r="B191" s="705"/>
      <c r="E191" s="705"/>
      <c r="F191" s="705"/>
    </row>
    <row r="192" spans="2:6" x14ac:dyDescent="0.3">
      <c r="B192" s="705"/>
      <c r="E192" s="705"/>
      <c r="F192" s="705"/>
    </row>
    <row r="193" spans="2:6" x14ac:dyDescent="0.3">
      <c r="B193" s="705"/>
      <c r="E193" s="705"/>
      <c r="F193" s="705"/>
    </row>
    <row r="194" spans="2:6" x14ac:dyDescent="0.3">
      <c r="B194" s="705"/>
      <c r="E194" s="705"/>
      <c r="F194" s="705"/>
    </row>
    <row r="195" spans="2:6" x14ac:dyDescent="0.3">
      <c r="B195" s="705"/>
      <c r="E195" s="705"/>
      <c r="F195" s="705"/>
    </row>
    <row r="196" spans="2:6" x14ac:dyDescent="0.3">
      <c r="B196" s="705"/>
      <c r="E196" s="705"/>
      <c r="F196" s="705"/>
    </row>
    <row r="197" spans="2:6" x14ac:dyDescent="0.3">
      <c r="B197" s="705"/>
      <c r="E197" s="705"/>
      <c r="F197" s="705"/>
    </row>
    <row r="198" spans="2:6" x14ac:dyDescent="0.3">
      <c r="B198" s="705"/>
      <c r="E198" s="705"/>
      <c r="F198" s="705"/>
    </row>
    <row r="199" spans="2:6" x14ac:dyDescent="0.3">
      <c r="B199" s="705"/>
      <c r="E199" s="705"/>
      <c r="F199" s="705"/>
    </row>
    <row r="200" spans="2:6" x14ac:dyDescent="0.3">
      <c r="B200" s="705"/>
      <c r="E200" s="705"/>
      <c r="F200" s="705"/>
    </row>
    <row r="201" spans="2:6" x14ac:dyDescent="0.3">
      <c r="B201" s="705"/>
      <c r="E201" s="705"/>
      <c r="F201" s="705"/>
    </row>
    <row r="202" spans="2:6" x14ac:dyDescent="0.3">
      <c r="B202" s="705"/>
      <c r="E202" s="705"/>
      <c r="F202" s="705"/>
    </row>
    <row r="203" spans="2:6" x14ac:dyDescent="0.3">
      <c r="B203" s="705"/>
      <c r="E203" s="705"/>
      <c r="F203" s="705"/>
    </row>
    <row r="204" spans="2:6" x14ac:dyDescent="0.3">
      <c r="B204" s="705"/>
      <c r="E204" s="705"/>
      <c r="F204" s="705"/>
    </row>
    <row r="205" spans="2:6" x14ac:dyDescent="0.3">
      <c r="B205" s="705"/>
      <c r="E205" s="705"/>
      <c r="F205" s="705"/>
    </row>
    <row r="206" spans="2:6" x14ac:dyDescent="0.3">
      <c r="B206" s="705"/>
      <c r="E206" s="705"/>
      <c r="F206" s="705"/>
    </row>
    <row r="207" spans="2:6" x14ac:dyDescent="0.3">
      <c r="B207" s="705"/>
      <c r="E207" s="705"/>
      <c r="F207" s="705"/>
    </row>
    <row r="208" spans="2:6" x14ac:dyDescent="0.3">
      <c r="B208" s="705"/>
      <c r="E208" s="705"/>
      <c r="F208" s="705"/>
    </row>
    <row r="209" spans="2:6" x14ac:dyDescent="0.3">
      <c r="B209" s="705"/>
      <c r="E209" s="705"/>
      <c r="F209" s="705"/>
    </row>
    <row r="210" spans="2:6" x14ac:dyDescent="0.3">
      <c r="B210" s="705"/>
      <c r="E210" s="705"/>
      <c r="F210" s="705"/>
    </row>
    <row r="211" spans="2:6" x14ac:dyDescent="0.3">
      <c r="B211" s="705"/>
      <c r="E211" s="705"/>
      <c r="F211" s="705"/>
    </row>
    <row r="212" spans="2:6" x14ac:dyDescent="0.3">
      <c r="B212" s="705"/>
      <c r="E212" s="705"/>
      <c r="F212" s="705"/>
    </row>
    <row r="213" spans="2:6" x14ac:dyDescent="0.3">
      <c r="B213" s="705"/>
      <c r="E213" s="705"/>
      <c r="F213" s="705"/>
    </row>
    <row r="214" spans="2:6" x14ac:dyDescent="0.3">
      <c r="B214" s="705"/>
      <c r="E214" s="705"/>
      <c r="F214" s="705"/>
    </row>
    <row r="215" spans="2:6" x14ac:dyDescent="0.3">
      <c r="B215" s="705"/>
      <c r="E215" s="705"/>
      <c r="F215" s="705"/>
    </row>
    <row r="216" spans="2:6" x14ac:dyDescent="0.3">
      <c r="B216" s="705"/>
      <c r="E216" s="705"/>
      <c r="F216" s="705"/>
    </row>
    <row r="217" spans="2:6" x14ac:dyDescent="0.3">
      <c r="B217" s="705"/>
      <c r="E217" s="705"/>
      <c r="F217" s="705"/>
    </row>
    <row r="218" spans="2:6" x14ac:dyDescent="0.3">
      <c r="B218" s="705"/>
      <c r="E218" s="705"/>
      <c r="F218" s="705"/>
    </row>
    <row r="219" spans="2:6" x14ac:dyDescent="0.3">
      <c r="B219" s="705"/>
      <c r="E219" s="705"/>
      <c r="F219" s="705"/>
    </row>
    <row r="220" spans="2:6" x14ac:dyDescent="0.3">
      <c r="B220" s="705"/>
      <c r="E220" s="705"/>
      <c r="F220" s="705"/>
    </row>
    <row r="221" spans="2:6" x14ac:dyDescent="0.3">
      <c r="B221" s="705"/>
      <c r="E221" s="705"/>
      <c r="F221" s="705"/>
    </row>
    <row r="222" spans="2:6" x14ac:dyDescent="0.3">
      <c r="B222" s="705"/>
      <c r="E222" s="705"/>
      <c r="F222" s="705"/>
    </row>
    <row r="223" spans="2:6" x14ac:dyDescent="0.3">
      <c r="B223" s="705"/>
      <c r="E223" s="705"/>
      <c r="F223" s="705"/>
    </row>
    <row r="224" spans="2:6" x14ac:dyDescent="0.3">
      <c r="B224" s="705"/>
      <c r="E224" s="705"/>
      <c r="F224" s="705"/>
    </row>
    <row r="225" spans="2:6" x14ac:dyDescent="0.3">
      <c r="B225" s="705"/>
      <c r="E225" s="705"/>
      <c r="F225" s="705"/>
    </row>
    <row r="226" spans="2:6" x14ac:dyDescent="0.3">
      <c r="B226" s="705"/>
      <c r="E226" s="705"/>
      <c r="F226" s="705"/>
    </row>
    <row r="227" spans="2:6" x14ac:dyDescent="0.3">
      <c r="B227" s="705"/>
      <c r="E227" s="705"/>
      <c r="F227" s="705"/>
    </row>
    <row r="228" spans="2:6" x14ac:dyDescent="0.3">
      <c r="B228" s="705"/>
      <c r="E228" s="705"/>
      <c r="F228" s="705"/>
    </row>
    <row r="229" spans="2:6" x14ac:dyDescent="0.3">
      <c r="B229" s="705"/>
      <c r="E229" s="705"/>
      <c r="F229" s="705"/>
    </row>
    <row r="230" spans="2:6" x14ac:dyDescent="0.3">
      <c r="B230" s="705"/>
      <c r="E230" s="705"/>
      <c r="F230" s="705"/>
    </row>
    <row r="231" spans="2:6" x14ac:dyDescent="0.3">
      <c r="B231" s="705"/>
      <c r="E231" s="705"/>
      <c r="F231" s="705"/>
    </row>
    <row r="232" spans="2:6" x14ac:dyDescent="0.3">
      <c r="B232" s="705"/>
      <c r="E232" s="705"/>
      <c r="F232" s="705"/>
    </row>
    <row r="233" spans="2:6" x14ac:dyDescent="0.3">
      <c r="B233" s="705"/>
      <c r="E233" s="705"/>
      <c r="F233" s="705"/>
    </row>
    <row r="234" spans="2:6" x14ac:dyDescent="0.3">
      <c r="B234" s="705"/>
      <c r="E234" s="705"/>
      <c r="F234" s="705"/>
    </row>
    <row r="235" spans="2:6" x14ac:dyDescent="0.3">
      <c r="B235" s="705"/>
      <c r="E235" s="705"/>
      <c r="F235" s="705"/>
    </row>
    <row r="236" spans="2:6" x14ac:dyDescent="0.3">
      <c r="B236" s="705"/>
      <c r="E236" s="705"/>
      <c r="F236" s="705"/>
    </row>
    <row r="237" spans="2:6" x14ac:dyDescent="0.3">
      <c r="B237" s="705"/>
      <c r="E237" s="705"/>
      <c r="F237" s="705"/>
    </row>
    <row r="238" spans="2:6" x14ac:dyDescent="0.3">
      <c r="B238" s="705"/>
      <c r="E238" s="705"/>
      <c r="F238" s="705"/>
    </row>
    <row r="239" spans="2:6" x14ac:dyDescent="0.3">
      <c r="B239" s="705"/>
      <c r="E239" s="705"/>
      <c r="F239" s="705"/>
    </row>
    <row r="240" spans="2:6" x14ac:dyDescent="0.3">
      <c r="B240" s="705"/>
      <c r="E240" s="705"/>
      <c r="F240" s="705"/>
    </row>
    <row r="241" spans="2:6" x14ac:dyDescent="0.3">
      <c r="B241" s="705"/>
      <c r="E241" s="705"/>
      <c r="F241" s="705"/>
    </row>
    <row r="242" spans="2:6" x14ac:dyDescent="0.3">
      <c r="B242" s="705"/>
      <c r="E242" s="705"/>
      <c r="F242" s="705"/>
    </row>
    <row r="243" spans="2:6" x14ac:dyDescent="0.3">
      <c r="B243" s="705"/>
      <c r="E243" s="705"/>
      <c r="F243" s="705"/>
    </row>
    <row r="244" spans="2:6" x14ac:dyDescent="0.3">
      <c r="B244" s="705"/>
      <c r="E244" s="705"/>
      <c r="F244" s="705"/>
    </row>
    <row r="245" spans="2:6" x14ac:dyDescent="0.3">
      <c r="B245" s="705"/>
      <c r="E245" s="705"/>
      <c r="F245" s="705"/>
    </row>
    <row r="246" spans="2:6" x14ac:dyDescent="0.3">
      <c r="B246" s="705"/>
      <c r="E246" s="705"/>
      <c r="F246" s="705"/>
    </row>
    <row r="247" spans="2:6" x14ac:dyDescent="0.3">
      <c r="B247" s="705"/>
      <c r="E247" s="705"/>
      <c r="F247" s="705"/>
    </row>
    <row r="248" spans="2:6" x14ac:dyDescent="0.3">
      <c r="B248" s="705"/>
      <c r="E248" s="705"/>
      <c r="F248" s="705"/>
    </row>
    <row r="249" spans="2:6" x14ac:dyDescent="0.3">
      <c r="B249" s="705"/>
      <c r="E249" s="705"/>
      <c r="F249" s="705"/>
    </row>
    <row r="250" spans="2:6" x14ac:dyDescent="0.3">
      <c r="B250" s="705"/>
      <c r="E250" s="705"/>
      <c r="F250" s="705"/>
    </row>
    <row r="251" spans="2:6" x14ac:dyDescent="0.3">
      <c r="B251" s="705"/>
      <c r="E251" s="705"/>
      <c r="F251" s="705"/>
    </row>
    <row r="252" spans="2:6" x14ac:dyDescent="0.3">
      <c r="B252" s="705"/>
      <c r="E252" s="705"/>
      <c r="F252" s="705"/>
    </row>
    <row r="253" spans="2:6" x14ac:dyDescent="0.3">
      <c r="B253" s="705"/>
      <c r="E253" s="705"/>
      <c r="F253" s="705"/>
    </row>
    <row r="254" spans="2:6" x14ac:dyDescent="0.3">
      <c r="B254" s="705"/>
      <c r="E254" s="705"/>
      <c r="F254" s="705"/>
    </row>
    <row r="255" spans="2:6" x14ac:dyDescent="0.3">
      <c r="B255" s="705"/>
      <c r="E255" s="705"/>
      <c r="F255" s="705"/>
    </row>
    <row r="256" spans="2:6" x14ac:dyDescent="0.3">
      <c r="B256" s="705"/>
      <c r="E256" s="705"/>
      <c r="F256" s="705"/>
    </row>
    <row r="257" spans="2:6" x14ac:dyDescent="0.3">
      <c r="B257" s="705"/>
      <c r="E257" s="705"/>
      <c r="F257" s="705"/>
    </row>
    <row r="258" spans="2:6" x14ac:dyDescent="0.3">
      <c r="B258" s="705"/>
      <c r="E258" s="705"/>
      <c r="F258" s="705"/>
    </row>
    <row r="259" spans="2:6" x14ac:dyDescent="0.3">
      <c r="B259" s="705"/>
      <c r="E259" s="705"/>
      <c r="F259" s="705"/>
    </row>
    <row r="260" spans="2:6" x14ac:dyDescent="0.3">
      <c r="B260" s="705"/>
      <c r="E260" s="705"/>
      <c r="F260" s="705"/>
    </row>
    <row r="261" spans="2:6" x14ac:dyDescent="0.3">
      <c r="B261" s="705"/>
      <c r="E261" s="705"/>
      <c r="F261" s="705"/>
    </row>
    <row r="262" spans="2:6" x14ac:dyDescent="0.3">
      <c r="B262" s="705"/>
      <c r="E262" s="705"/>
      <c r="F262" s="705"/>
    </row>
    <row r="263" spans="2:6" x14ac:dyDescent="0.3">
      <c r="B263" s="705"/>
      <c r="E263" s="705"/>
      <c r="F263" s="705"/>
    </row>
    <row r="264" spans="2:6" x14ac:dyDescent="0.3">
      <c r="B264" s="705"/>
      <c r="E264" s="705"/>
      <c r="F264" s="705"/>
    </row>
    <row r="265" spans="2:6" x14ac:dyDescent="0.3">
      <c r="B265" s="705"/>
      <c r="E265" s="705"/>
      <c r="F265" s="705"/>
    </row>
    <row r="266" spans="2:6" x14ac:dyDescent="0.3">
      <c r="B266" s="705"/>
      <c r="E266" s="705"/>
      <c r="F266" s="705"/>
    </row>
    <row r="267" spans="2:6" x14ac:dyDescent="0.3">
      <c r="B267" s="705"/>
      <c r="E267" s="705"/>
      <c r="F267" s="705"/>
    </row>
    <row r="268" spans="2:6" x14ac:dyDescent="0.3">
      <c r="B268" s="705"/>
      <c r="E268" s="705"/>
      <c r="F268" s="705"/>
    </row>
    <row r="269" spans="2:6" x14ac:dyDescent="0.3">
      <c r="B269" s="705"/>
      <c r="E269" s="705"/>
      <c r="F269" s="705"/>
    </row>
    <row r="270" spans="2:6" x14ac:dyDescent="0.3">
      <c r="B270" s="705"/>
      <c r="E270" s="705"/>
      <c r="F270" s="705"/>
    </row>
    <row r="271" spans="2:6" x14ac:dyDescent="0.3">
      <c r="B271" s="705"/>
      <c r="E271" s="705"/>
      <c r="F271" s="705"/>
    </row>
    <row r="272" spans="2:6" x14ac:dyDescent="0.3">
      <c r="B272" s="705"/>
      <c r="E272" s="705"/>
      <c r="F272" s="705"/>
    </row>
    <row r="273" spans="2:6" x14ac:dyDescent="0.3">
      <c r="B273" s="705"/>
      <c r="E273" s="705"/>
      <c r="F273" s="705"/>
    </row>
    <row r="274" spans="2:6" x14ac:dyDescent="0.3">
      <c r="B274" s="705"/>
      <c r="E274" s="705"/>
      <c r="F274" s="705"/>
    </row>
    <row r="275" spans="2:6" x14ac:dyDescent="0.3">
      <c r="B275" s="705"/>
      <c r="E275" s="705"/>
      <c r="F275" s="705"/>
    </row>
    <row r="276" spans="2:6" x14ac:dyDescent="0.3">
      <c r="B276" s="705"/>
      <c r="E276" s="705"/>
      <c r="F276" s="705"/>
    </row>
    <row r="277" spans="2:6" x14ac:dyDescent="0.3">
      <c r="B277" s="705"/>
      <c r="E277" s="705"/>
      <c r="F277" s="705"/>
    </row>
    <row r="278" spans="2:6" x14ac:dyDescent="0.3">
      <c r="B278" s="705"/>
      <c r="E278" s="705"/>
      <c r="F278" s="705"/>
    </row>
    <row r="279" spans="2:6" x14ac:dyDescent="0.3">
      <c r="B279" s="705"/>
      <c r="E279" s="705"/>
      <c r="F279" s="705"/>
    </row>
    <row r="280" spans="2:6" x14ac:dyDescent="0.3">
      <c r="B280" s="705"/>
      <c r="E280" s="705"/>
      <c r="F280" s="705"/>
    </row>
    <row r="281" spans="2:6" x14ac:dyDescent="0.3">
      <c r="B281" s="705"/>
      <c r="E281" s="705"/>
      <c r="F281" s="705"/>
    </row>
    <row r="282" spans="2:6" x14ac:dyDescent="0.3">
      <c r="B282" s="705"/>
      <c r="E282" s="705"/>
      <c r="F282" s="705"/>
    </row>
    <row r="283" spans="2:6" x14ac:dyDescent="0.3">
      <c r="B283" s="705"/>
      <c r="E283" s="705"/>
      <c r="F283" s="705"/>
    </row>
    <row r="284" spans="2:6" x14ac:dyDescent="0.3">
      <c r="B284" s="705"/>
      <c r="E284" s="705"/>
      <c r="F284" s="705"/>
    </row>
    <row r="285" spans="2:6" x14ac:dyDescent="0.3">
      <c r="B285" s="705"/>
      <c r="E285" s="705"/>
      <c r="F285" s="705"/>
    </row>
    <row r="286" spans="2:6" x14ac:dyDescent="0.3">
      <c r="B286" s="705"/>
      <c r="E286" s="705"/>
      <c r="F286" s="705"/>
    </row>
    <row r="287" spans="2:6" x14ac:dyDescent="0.3">
      <c r="B287" s="705"/>
      <c r="E287" s="705"/>
      <c r="F287" s="705"/>
    </row>
    <row r="288" spans="2:6" x14ac:dyDescent="0.3">
      <c r="B288" s="705"/>
      <c r="E288" s="705"/>
      <c r="F288" s="705"/>
    </row>
    <row r="289" spans="2:6" x14ac:dyDescent="0.3">
      <c r="B289" s="705"/>
      <c r="E289" s="705"/>
      <c r="F289" s="705"/>
    </row>
    <row r="290" spans="2:6" x14ac:dyDescent="0.3">
      <c r="B290" s="705"/>
      <c r="E290" s="705"/>
      <c r="F290" s="705"/>
    </row>
    <row r="291" spans="2:6" x14ac:dyDescent="0.3">
      <c r="B291" s="705"/>
      <c r="E291" s="705"/>
      <c r="F291" s="705"/>
    </row>
    <row r="292" spans="2:6" x14ac:dyDescent="0.3">
      <c r="B292" s="705"/>
      <c r="E292" s="705"/>
      <c r="F292" s="705"/>
    </row>
    <row r="293" spans="2:6" x14ac:dyDescent="0.3">
      <c r="B293" s="705"/>
      <c r="E293" s="705"/>
      <c r="F293" s="705"/>
    </row>
    <row r="294" spans="2:6" x14ac:dyDescent="0.3">
      <c r="B294" s="705"/>
      <c r="E294" s="705"/>
      <c r="F294" s="705"/>
    </row>
    <row r="295" spans="2:6" x14ac:dyDescent="0.3">
      <c r="B295" s="705"/>
      <c r="E295" s="705"/>
      <c r="F295" s="705"/>
    </row>
    <row r="296" spans="2:6" x14ac:dyDescent="0.3">
      <c r="B296" s="705"/>
      <c r="E296" s="705"/>
      <c r="F296" s="705"/>
    </row>
    <row r="297" spans="2:6" x14ac:dyDescent="0.3">
      <c r="B297" s="705"/>
      <c r="E297" s="705"/>
      <c r="F297" s="705"/>
    </row>
    <row r="298" spans="2:6" x14ac:dyDescent="0.3">
      <c r="B298" s="705"/>
      <c r="E298" s="705"/>
      <c r="F298" s="705"/>
    </row>
    <row r="299" spans="2:6" x14ac:dyDescent="0.3">
      <c r="B299" s="705"/>
      <c r="E299" s="705"/>
      <c r="F299" s="705"/>
    </row>
    <row r="300" spans="2:6" x14ac:dyDescent="0.3">
      <c r="B300" s="705"/>
      <c r="E300" s="705"/>
      <c r="F300" s="705"/>
    </row>
    <row r="301" spans="2:6" x14ac:dyDescent="0.3">
      <c r="B301" s="705"/>
      <c r="E301" s="705"/>
      <c r="F301" s="705"/>
    </row>
    <row r="302" spans="2:6" x14ac:dyDescent="0.3">
      <c r="B302" s="705"/>
      <c r="E302" s="705"/>
      <c r="F302" s="705"/>
    </row>
    <row r="303" spans="2:6" x14ac:dyDescent="0.3">
      <c r="B303" s="705"/>
      <c r="E303" s="705"/>
      <c r="F303" s="705"/>
    </row>
    <row r="304" spans="2:6" x14ac:dyDescent="0.3">
      <c r="B304" s="705"/>
      <c r="E304" s="705"/>
      <c r="F304" s="705"/>
    </row>
    <row r="305" spans="2:6" x14ac:dyDescent="0.3">
      <c r="B305" s="705"/>
      <c r="E305" s="705"/>
      <c r="F305" s="705"/>
    </row>
    <row r="306" spans="2:6" x14ac:dyDescent="0.3">
      <c r="B306" s="705"/>
      <c r="E306" s="705"/>
      <c r="F306" s="705"/>
    </row>
    <row r="307" spans="2:6" x14ac:dyDescent="0.3">
      <c r="B307" s="705"/>
      <c r="E307" s="705"/>
      <c r="F307" s="705"/>
    </row>
    <row r="308" spans="2:6" x14ac:dyDescent="0.3">
      <c r="B308" s="705"/>
      <c r="E308" s="705"/>
      <c r="F308" s="705"/>
    </row>
    <row r="309" spans="2:6" x14ac:dyDescent="0.3">
      <c r="B309" s="705"/>
      <c r="E309" s="705"/>
      <c r="F309" s="705"/>
    </row>
    <row r="310" spans="2:6" x14ac:dyDescent="0.3">
      <c r="B310" s="705"/>
      <c r="E310" s="705"/>
      <c r="F310" s="705"/>
    </row>
    <row r="311" spans="2:6" x14ac:dyDescent="0.3">
      <c r="B311" s="705"/>
      <c r="E311" s="705"/>
      <c r="F311" s="705"/>
    </row>
    <row r="312" spans="2:6" x14ac:dyDescent="0.3">
      <c r="B312" s="705"/>
      <c r="E312" s="705"/>
      <c r="F312" s="705"/>
    </row>
    <row r="313" spans="2:6" x14ac:dyDescent="0.3">
      <c r="B313" s="705"/>
      <c r="E313" s="705"/>
      <c r="F313" s="705"/>
    </row>
    <row r="314" spans="2:6" x14ac:dyDescent="0.3">
      <c r="B314" s="705"/>
      <c r="E314" s="705"/>
      <c r="F314" s="705"/>
    </row>
    <row r="315" spans="2:6" x14ac:dyDescent="0.3">
      <c r="B315" s="705"/>
      <c r="E315" s="705"/>
      <c r="F315" s="705"/>
    </row>
    <row r="316" spans="2:6" x14ac:dyDescent="0.3">
      <c r="B316" s="705"/>
      <c r="E316" s="705"/>
      <c r="F316" s="705"/>
    </row>
    <row r="317" spans="2:6" x14ac:dyDescent="0.3">
      <c r="B317" s="705"/>
      <c r="E317" s="705"/>
      <c r="F317" s="705"/>
    </row>
    <row r="318" spans="2:6" x14ac:dyDescent="0.3">
      <c r="B318" s="705"/>
      <c r="E318" s="705"/>
      <c r="F318" s="705"/>
    </row>
    <row r="319" spans="2:6" x14ac:dyDescent="0.3">
      <c r="B319" s="705"/>
      <c r="E319" s="705"/>
      <c r="F319" s="705"/>
    </row>
    <row r="320" spans="2:6" x14ac:dyDescent="0.3">
      <c r="B320" s="705"/>
      <c r="E320" s="705"/>
      <c r="F320" s="705"/>
    </row>
    <row r="321" spans="2:6" x14ac:dyDescent="0.3">
      <c r="B321" s="705"/>
      <c r="E321" s="705"/>
      <c r="F321" s="705"/>
    </row>
    <row r="322" spans="2:6" x14ac:dyDescent="0.3">
      <c r="B322" s="705"/>
      <c r="E322" s="705"/>
      <c r="F322" s="705"/>
    </row>
    <row r="323" spans="2:6" x14ac:dyDescent="0.3">
      <c r="B323" s="705"/>
      <c r="E323" s="705"/>
      <c r="F323" s="705"/>
    </row>
    <row r="324" spans="2:6" x14ac:dyDescent="0.3">
      <c r="B324" s="705"/>
      <c r="E324" s="705"/>
      <c r="F324" s="705"/>
    </row>
    <row r="325" spans="2:6" x14ac:dyDescent="0.3">
      <c r="B325" s="705"/>
      <c r="E325" s="705"/>
      <c r="F325" s="705"/>
    </row>
    <row r="326" spans="2:6" x14ac:dyDescent="0.3">
      <c r="B326" s="705"/>
      <c r="E326" s="705"/>
      <c r="F326" s="705"/>
    </row>
    <row r="327" spans="2:6" x14ac:dyDescent="0.3">
      <c r="B327" s="705"/>
      <c r="E327" s="705"/>
      <c r="F327" s="705"/>
    </row>
    <row r="328" spans="2:6" x14ac:dyDescent="0.3">
      <c r="B328" s="705"/>
      <c r="E328" s="705"/>
      <c r="F328" s="705"/>
    </row>
    <row r="329" spans="2:6" x14ac:dyDescent="0.3">
      <c r="B329" s="705"/>
      <c r="E329" s="705"/>
      <c r="F329" s="705"/>
    </row>
    <row r="330" spans="2:6" x14ac:dyDescent="0.3">
      <c r="B330" s="705"/>
      <c r="E330" s="705"/>
      <c r="F330" s="705"/>
    </row>
    <row r="331" spans="2:6" x14ac:dyDescent="0.3">
      <c r="B331" s="705"/>
      <c r="E331" s="705"/>
      <c r="F331" s="705"/>
    </row>
    <row r="332" spans="2:6" x14ac:dyDescent="0.3">
      <c r="B332" s="705"/>
      <c r="E332" s="705"/>
      <c r="F332" s="705"/>
    </row>
    <row r="333" spans="2:6" x14ac:dyDescent="0.3">
      <c r="B333" s="705"/>
      <c r="E333" s="705"/>
      <c r="F333" s="705"/>
    </row>
    <row r="334" spans="2:6" x14ac:dyDescent="0.3">
      <c r="B334" s="705"/>
      <c r="E334" s="705"/>
      <c r="F334" s="705"/>
    </row>
    <row r="335" spans="2:6" x14ac:dyDescent="0.3">
      <c r="B335" s="705"/>
      <c r="E335" s="705"/>
      <c r="F335" s="705"/>
    </row>
    <row r="336" spans="2:6" x14ac:dyDescent="0.3">
      <c r="B336" s="705"/>
      <c r="E336" s="705"/>
      <c r="F336" s="705"/>
    </row>
    <row r="337" spans="2:6" x14ac:dyDescent="0.3">
      <c r="B337" s="705"/>
      <c r="E337" s="705"/>
      <c r="F337" s="705"/>
    </row>
    <row r="338" spans="2:6" x14ac:dyDescent="0.3">
      <c r="B338" s="705"/>
      <c r="E338" s="705"/>
      <c r="F338" s="705"/>
    </row>
    <row r="339" spans="2:6" x14ac:dyDescent="0.3">
      <c r="B339" s="705"/>
      <c r="E339" s="705"/>
      <c r="F339" s="705"/>
    </row>
    <row r="340" spans="2:6" x14ac:dyDescent="0.3">
      <c r="B340" s="705"/>
      <c r="E340" s="705"/>
      <c r="F340" s="705"/>
    </row>
    <row r="341" spans="2:6" x14ac:dyDescent="0.3">
      <c r="B341" s="705"/>
      <c r="E341" s="705"/>
      <c r="F341" s="705"/>
    </row>
    <row r="342" spans="2:6" x14ac:dyDescent="0.3">
      <c r="B342" s="705"/>
      <c r="E342" s="705"/>
      <c r="F342" s="705"/>
    </row>
    <row r="343" spans="2:6" x14ac:dyDescent="0.3">
      <c r="B343" s="705"/>
      <c r="E343" s="705"/>
      <c r="F343" s="705"/>
    </row>
    <row r="344" spans="2:6" x14ac:dyDescent="0.3">
      <c r="B344" s="705"/>
      <c r="E344" s="705"/>
      <c r="F344" s="705"/>
    </row>
    <row r="345" spans="2:6" x14ac:dyDescent="0.3">
      <c r="B345" s="705"/>
      <c r="E345" s="705"/>
      <c r="F345" s="705"/>
    </row>
    <row r="346" spans="2:6" x14ac:dyDescent="0.3">
      <c r="B346" s="705"/>
      <c r="E346" s="705"/>
      <c r="F346" s="705"/>
    </row>
    <row r="347" spans="2:6" x14ac:dyDescent="0.3">
      <c r="B347" s="705"/>
      <c r="E347" s="705"/>
      <c r="F347" s="705"/>
    </row>
    <row r="348" spans="2:6" x14ac:dyDescent="0.3">
      <c r="B348" s="705"/>
      <c r="E348" s="705"/>
      <c r="F348" s="705"/>
    </row>
    <row r="349" spans="2:6" x14ac:dyDescent="0.3">
      <c r="B349" s="705"/>
      <c r="E349" s="705"/>
      <c r="F349" s="705"/>
    </row>
    <row r="350" spans="2:6" x14ac:dyDescent="0.3">
      <c r="B350" s="705"/>
      <c r="E350" s="705"/>
      <c r="F350" s="705"/>
    </row>
    <row r="351" spans="2:6" x14ac:dyDescent="0.3">
      <c r="B351" s="705"/>
      <c r="E351" s="705"/>
      <c r="F351" s="705"/>
    </row>
    <row r="352" spans="2:6" x14ac:dyDescent="0.3">
      <c r="B352" s="705"/>
      <c r="E352" s="705"/>
      <c r="F352" s="705"/>
    </row>
    <row r="353" spans="2:6" x14ac:dyDescent="0.3">
      <c r="B353" s="705"/>
      <c r="E353" s="705"/>
      <c r="F353" s="705"/>
    </row>
    <row r="354" spans="2:6" x14ac:dyDescent="0.3">
      <c r="B354" s="705"/>
      <c r="E354" s="705"/>
      <c r="F354" s="705"/>
    </row>
    <row r="355" spans="2:6" x14ac:dyDescent="0.3">
      <c r="B355" s="705"/>
      <c r="E355" s="705"/>
      <c r="F355" s="705"/>
    </row>
    <row r="356" spans="2:6" x14ac:dyDescent="0.3">
      <c r="B356" s="705"/>
      <c r="E356" s="705"/>
      <c r="F356" s="705"/>
    </row>
    <row r="357" spans="2:6" x14ac:dyDescent="0.3">
      <c r="B357" s="705"/>
      <c r="E357" s="705"/>
      <c r="F357" s="705"/>
    </row>
    <row r="358" spans="2:6" x14ac:dyDescent="0.3">
      <c r="B358" s="705"/>
      <c r="E358" s="705"/>
      <c r="F358" s="705"/>
    </row>
    <row r="359" spans="2:6" x14ac:dyDescent="0.3">
      <c r="B359" s="705"/>
      <c r="E359" s="705"/>
      <c r="F359" s="705"/>
    </row>
    <row r="360" spans="2:6" x14ac:dyDescent="0.3">
      <c r="B360" s="705"/>
      <c r="E360" s="705"/>
      <c r="F360" s="705"/>
    </row>
    <row r="361" spans="2:6" x14ac:dyDescent="0.3">
      <c r="B361" s="705"/>
      <c r="E361" s="705"/>
      <c r="F361" s="705"/>
    </row>
    <row r="362" spans="2:6" x14ac:dyDescent="0.3">
      <c r="B362" s="705"/>
      <c r="E362" s="705"/>
      <c r="F362" s="705"/>
    </row>
    <row r="363" spans="2:6" x14ac:dyDescent="0.3">
      <c r="B363" s="705"/>
      <c r="E363" s="705"/>
      <c r="F363" s="705"/>
    </row>
    <row r="364" spans="2:6" x14ac:dyDescent="0.3">
      <c r="B364" s="705"/>
      <c r="E364" s="705"/>
      <c r="F364" s="705"/>
    </row>
    <row r="365" spans="2:6" x14ac:dyDescent="0.3">
      <c r="B365" s="705"/>
      <c r="E365" s="705"/>
      <c r="F365" s="705"/>
    </row>
    <row r="366" spans="2:6" x14ac:dyDescent="0.3">
      <c r="B366" s="705"/>
      <c r="E366" s="705"/>
      <c r="F366" s="705"/>
    </row>
    <row r="367" spans="2:6" x14ac:dyDescent="0.3">
      <c r="B367" s="705"/>
      <c r="E367" s="705"/>
      <c r="F367" s="705"/>
    </row>
    <row r="368" spans="2:6" x14ac:dyDescent="0.3">
      <c r="B368" s="705"/>
      <c r="E368" s="705"/>
      <c r="F368" s="705"/>
    </row>
    <row r="369" spans="2:6" x14ac:dyDescent="0.3">
      <c r="B369" s="705"/>
      <c r="E369" s="705"/>
      <c r="F369" s="705"/>
    </row>
    <row r="370" spans="2:6" x14ac:dyDescent="0.3">
      <c r="B370" s="705"/>
      <c r="E370" s="705"/>
      <c r="F370" s="705"/>
    </row>
    <row r="371" spans="2:6" x14ac:dyDescent="0.3">
      <c r="B371" s="705"/>
      <c r="E371" s="705"/>
      <c r="F371" s="705"/>
    </row>
    <row r="372" spans="2:6" x14ac:dyDescent="0.3">
      <c r="B372" s="705"/>
      <c r="E372" s="705"/>
      <c r="F372" s="705"/>
    </row>
    <row r="373" spans="2:6" x14ac:dyDescent="0.3">
      <c r="B373" s="705"/>
      <c r="E373" s="705"/>
      <c r="F373" s="705"/>
    </row>
    <row r="374" spans="2:6" x14ac:dyDescent="0.3">
      <c r="B374" s="705"/>
      <c r="E374" s="705"/>
      <c r="F374" s="705"/>
    </row>
    <row r="375" spans="2:6" x14ac:dyDescent="0.3">
      <c r="B375" s="705"/>
      <c r="E375" s="705"/>
      <c r="F375" s="705"/>
    </row>
    <row r="376" spans="2:6" x14ac:dyDescent="0.3">
      <c r="B376" s="705"/>
      <c r="E376" s="705"/>
      <c r="F376" s="705"/>
    </row>
    <row r="377" spans="2:6" x14ac:dyDescent="0.3">
      <c r="B377" s="705"/>
      <c r="E377" s="705"/>
      <c r="F377" s="705"/>
    </row>
    <row r="378" spans="2:6" x14ac:dyDescent="0.3">
      <c r="B378" s="705"/>
      <c r="E378" s="705"/>
      <c r="F378" s="705"/>
    </row>
    <row r="379" spans="2:6" x14ac:dyDescent="0.3">
      <c r="B379" s="705"/>
      <c r="E379" s="705"/>
      <c r="F379" s="705"/>
    </row>
    <row r="380" spans="2:6" x14ac:dyDescent="0.3">
      <c r="B380" s="705"/>
      <c r="E380" s="705"/>
      <c r="F380" s="705"/>
    </row>
    <row r="381" spans="2:6" x14ac:dyDescent="0.3">
      <c r="B381" s="705"/>
      <c r="E381" s="705"/>
      <c r="F381" s="705"/>
    </row>
    <row r="382" spans="2:6" x14ac:dyDescent="0.3">
      <c r="B382" s="705"/>
      <c r="E382" s="705"/>
      <c r="F382" s="705"/>
    </row>
    <row r="383" spans="2:6" x14ac:dyDescent="0.3">
      <c r="B383" s="705"/>
      <c r="E383" s="705"/>
      <c r="F383" s="705"/>
    </row>
    <row r="384" spans="2:6" x14ac:dyDescent="0.3">
      <c r="B384" s="705"/>
      <c r="E384" s="705"/>
      <c r="F384" s="705"/>
    </row>
    <row r="385" spans="2:6" x14ac:dyDescent="0.3">
      <c r="B385" s="705"/>
      <c r="E385" s="705"/>
      <c r="F385" s="705"/>
    </row>
    <row r="386" spans="2:6" x14ac:dyDescent="0.3">
      <c r="B386" s="705"/>
      <c r="E386" s="705"/>
      <c r="F386" s="705"/>
    </row>
    <row r="387" spans="2:6" x14ac:dyDescent="0.3">
      <c r="B387" s="705"/>
      <c r="E387" s="705"/>
      <c r="F387" s="705"/>
    </row>
    <row r="388" spans="2:6" x14ac:dyDescent="0.3">
      <c r="B388" s="705"/>
      <c r="E388" s="705"/>
      <c r="F388" s="705"/>
    </row>
    <row r="389" spans="2:6" x14ac:dyDescent="0.3">
      <c r="B389" s="705"/>
      <c r="E389" s="705"/>
      <c r="F389" s="705"/>
    </row>
    <row r="390" spans="2:6" x14ac:dyDescent="0.3">
      <c r="B390" s="705"/>
      <c r="E390" s="705"/>
      <c r="F390" s="705"/>
    </row>
    <row r="391" spans="2:6" x14ac:dyDescent="0.3">
      <c r="B391" s="705"/>
      <c r="E391" s="705"/>
      <c r="F391" s="705"/>
    </row>
    <row r="392" spans="2:6" x14ac:dyDescent="0.3">
      <c r="B392" s="705"/>
      <c r="E392" s="705"/>
      <c r="F392" s="705"/>
    </row>
    <row r="393" spans="2:6" x14ac:dyDescent="0.3">
      <c r="B393" s="705"/>
      <c r="E393" s="705"/>
      <c r="F393" s="705"/>
    </row>
    <row r="394" spans="2:6" x14ac:dyDescent="0.3">
      <c r="B394" s="705"/>
      <c r="E394" s="705"/>
      <c r="F394" s="705"/>
    </row>
    <row r="395" spans="2:6" x14ac:dyDescent="0.3">
      <c r="B395" s="705"/>
      <c r="E395" s="705"/>
      <c r="F395" s="705"/>
    </row>
    <row r="396" spans="2:6" x14ac:dyDescent="0.3">
      <c r="B396" s="705"/>
      <c r="E396" s="705"/>
      <c r="F396" s="705"/>
    </row>
    <row r="397" spans="2:6" x14ac:dyDescent="0.3">
      <c r="B397" s="705"/>
      <c r="E397" s="705"/>
      <c r="F397" s="705"/>
    </row>
    <row r="398" spans="2:6" x14ac:dyDescent="0.3">
      <c r="B398" s="705"/>
      <c r="E398" s="705"/>
      <c r="F398" s="705"/>
    </row>
    <row r="399" spans="2:6" x14ac:dyDescent="0.3">
      <c r="B399" s="705"/>
      <c r="E399" s="705"/>
      <c r="F399" s="705"/>
    </row>
    <row r="400" spans="2:6" x14ac:dyDescent="0.3">
      <c r="B400" s="705"/>
      <c r="E400" s="705"/>
      <c r="F400" s="705"/>
    </row>
    <row r="401" spans="2:6" x14ac:dyDescent="0.3">
      <c r="B401" s="705"/>
      <c r="E401" s="705"/>
      <c r="F401" s="705"/>
    </row>
    <row r="402" spans="2:6" x14ac:dyDescent="0.3">
      <c r="B402" s="705"/>
      <c r="E402" s="705"/>
      <c r="F402" s="705"/>
    </row>
    <row r="403" spans="2:6" x14ac:dyDescent="0.3">
      <c r="B403" s="705"/>
      <c r="E403" s="705"/>
      <c r="F403" s="705"/>
    </row>
    <row r="404" spans="2:6" x14ac:dyDescent="0.3">
      <c r="B404" s="705"/>
      <c r="E404" s="705"/>
      <c r="F404" s="705"/>
    </row>
    <row r="405" spans="2:6" x14ac:dyDescent="0.3">
      <c r="B405" s="705"/>
      <c r="E405" s="705"/>
      <c r="F405" s="705"/>
    </row>
    <row r="406" spans="2:6" x14ac:dyDescent="0.3">
      <c r="B406" s="705"/>
      <c r="E406" s="705"/>
      <c r="F406" s="705"/>
    </row>
    <row r="407" spans="2:6" x14ac:dyDescent="0.3">
      <c r="B407" s="705"/>
      <c r="E407" s="705"/>
      <c r="F407" s="705"/>
    </row>
    <row r="408" spans="2:6" x14ac:dyDescent="0.3">
      <c r="B408" s="705"/>
      <c r="E408" s="705"/>
      <c r="F408" s="705"/>
    </row>
    <row r="409" spans="2:6" x14ac:dyDescent="0.3">
      <c r="B409" s="705"/>
      <c r="E409" s="705"/>
      <c r="F409" s="705"/>
    </row>
    <row r="410" spans="2:6" x14ac:dyDescent="0.3">
      <c r="B410" s="705"/>
      <c r="E410" s="705"/>
      <c r="F410" s="705"/>
    </row>
    <row r="411" spans="2:6" x14ac:dyDescent="0.3">
      <c r="B411" s="705"/>
      <c r="E411" s="705"/>
      <c r="F411" s="705"/>
    </row>
    <row r="412" spans="2:6" x14ac:dyDescent="0.3">
      <c r="B412" s="705"/>
      <c r="E412" s="705"/>
      <c r="F412" s="705"/>
    </row>
    <row r="413" spans="2:6" x14ac:dyDescent="0.3">
      <c r="B413" s="705"/>
      <c r="E413" s="705"/>
      <c r="F413" s="705"/>
    </row>
    <row r="414" spans="2:6" x14ac:dyDescent="0.3">
      <c r="B414" s="705"/>
      <c r="E414" s="705"/>
      <c r="F414" s="705"/>
    </row>
    <row r="415" spans="2:6" x14ac:dyDescent="0.3">
      <c r="B415" s="705"/>
      <c r="E415" s="705"/>
      <c r="F415" s="705"/>
    </row>
    <row r="416" spans="2:6" x14ac:dyDescent="0.3">
      <c r="B416" s="705"/>
      <c r="E416" s="705"/>
      <c r="F416" s="705"/>
    </row>
    <row r="417" spans="2:6" x14ac:dyDescent="0.3">
      <c r="B417" s="705"/>
      <c r="E417" s="705"/>
      <c r="F417" s="705"/>
    </row>
    <row r="418" spans="2:6" x14ac:dyDescent="0.3">
      <c r="B418" s="705"/>
      <c r="E418" s="705"/>
      <c r="F418" s="705"/>
    </row>
    <row r="419" spans="2:6" x14ac:dyDescent="0.3">
      <c r="B419" s="705"/>
      <c r="E419" s="705"/>
      <c r="F419" s="705"/>
    </row>
    <row r="420" spans="2:6" x14ac:dyDescent="0.3">
      <c r="B420" s="705"/>
      <c r="E420" s="705"/>
      <c r="F420" s="705"/>
    </row>
    <row r="421" spans="2:6" x14ac:dyDescent="0.3">
      <c r="B421" s="705"/>
      <c r="E421" s="705"/>
      <c r="F421" s="705"/>
    </row>
    <row r="422" spans="2:6" x14ac:dyDescent="0.3">
      <c r="B422" s="705"/>
      <c r="E422" s="705"/>
      <c r="F422" s="705"/>
    </row>
    <row r="423" spans="2:6" x14ac:dyDescent="0.3">
      <c r="B423" s="705"/>
      <c r="E423" s="705"/>
      <c r="F423" s="705"/>
    </row>
    <row r="424" spans="2:6" x14ac:dyDescent="0.3">
      <c r="B424" s="705"/>
      <c r="E424" s="705"/>
      <c r="F424" s="705"/>
    </row>
    <row r="425" spans="2:6" x14ac:dyDescent="0.3">
      <c r="B425" s="705"/>
      <c r="E425" s="705"/>
      <c r="F425" s="705"/>
    </row>
    <row r="426" spans="2:6" x14ac:dyDescent="0.3">
      <c r="B426" s="705"/>
      <c r="E426" s="705"/>
      <c r="F426" s="705"/>
    </row>
    <row r="427" spans="2:6" x14ac:dyDescent="0.3">
      <c r="B427" s="705"/>
      <c r="E427" s="705"/>
      <c r="F427" s="705"/>
    </row>
    <row r="428" spans="2:6" x14ac:dyDescent="0.3">
      <c r="B428" s="705"/>
      <c r="E428" s="705"/>
      <c r="F428" s="705"/>
    </row>
    <row r="429" spans="2:6" x14ac:dyDescent="0.3">
      <c r="B429" s="705"/>
      <c r="E429" s="705"/>
      <c r="F429" s="705"/>
    </row>
    <row r="430" spans="2:6" x14ac:dyDescent="0.3">
      <c r="B430" s="705"/>
      <c r="E430" s="705"/>
      <c r="F430" s="705"/>
    </row>
    <row r="431" spans="2:6" x14ac:dyDescent="0.3">
      <c r="B431" s="705"/>
      <c r="E431" s="705"/>
      <c r="F431" s="705"/>
    </row>
    <row r="432" spans="2:6" x14ac:dyDescent="0.3">
      <c r="B432" s="705"/>
      <c r="E432" s="705"/>
      <c r="F432" s="705"/>
    </row>
    <row r="433" spans="2:6" x14ac:dyDescent="0.3">
      <c r="B433" s="705"/>
      <c r="E433" s="705"/>
      <c r="F433" s="705"/>
    </row>
    <row r="434" spans="2:6" x14ac:dyDescent="0.3">
      <c r="B434" s="705"/>
      <c r="E434" s="705"/>
      <c r="F434" s="705"/>
    </row>
    <row r="435" spans="2:6" x14ac:dyDescent="0.3">
      <c r="B435" s="705"/>
      <c r="E435" s="705"/>
      <c r="F435" s="705"/>
    </row>
    <row r="436" spans="2:6" x14ac:dyDescent="0.3">
      <c r="B436" s="705"/>
      <c r="E436" s="705"/>
      <c r="F436" s="705"/>
    </row>
    <row r="437" spans="2:6" x14ac:dyDescent="0.3">
      <c r="B437" s="705"/>
      <c r="E437" s="705"/>
      <c r="F437" s="705"/>
    </row>
    <row r="438" spans="2:6" x14ac:dyDescent="0.3">
      <c r="B438" s="705"/>
      <c r="E438" s="705"/>
      <c r="F438" s="705"/>
    </row>
    <row r="439" spans="2:6" x14ac:dyDescent="0.3">
      <c r="B439" s="705"/>
      <c r="E439" s="705"/>
      <c r="F439" s="705"/>
    </row>
    <row r="440" spans="2:6" x14ac:dyDescent="0.3">
      <c r="B440" s="705"/>
      <c r="E440" s="705"/>
      <c r="F440" s="705"/>
    </row>
    <row r="441" spans="2:6" x14ac:dyDescent="0.3">
      <c r="B441" s="705"/>
      <c r="E441" s="705"/>
      <c r="F441" s="705"/>
    </row>
    <row r="442" spans="2:6" x14ac:dyDescent="0.3">
      <c r="B442" s="705"/>
      <c r="E442" s="705"/>
      <c r="F442" s="705"/>
    </row>
    <row r="443" spans="2:6" x14ac:dyDescent="0.3">
      <c r="B443" s="705"/>
      <c r="E443" s="705"/>
      <c r="F443" s="705"/>
    </row>
    <row r="444" spans="2:6" x14ac:dyDescent="0.3">
      <c r="B444" s="705"/>
      <c r="E444" s="705"/>
      <c r="F444" s="705"/>
    </row>
    <row r="445" spans="2:6" x14ac:dyDescent="0.3">
      <c r="B445" s="705"/>
      <c r="E445" s="705"/>
      <c r="F445" s="705"/>
    </row>
    <row r="446" spans="2:6" x14ac:dyDescent="0.3">
      <c r="B446" s="705"/>
      <c r="E446" s="705"/>
      <c r="F446" s="705"/>
    </row>
    <row r="447" spans="2:6" x14ac:dyDescent="0.3">
      <c r="B447" s="705"/>
      <c r="E447" s="705"/>
      <c r="F447" s="705"/>
    </row>
    <row r="448" spans="2:6" x14ac:dyDescent="0.3">
      <c r="B448" s="705"/>
      <c r="E448" s="705"/>
      <c r="F448" s="705"/>
    </row>
    <row r="449" spans="2:6" x14ac:dyDescent="0.3">
      <c r="B449" s="705"/>
      <c r="E449" s="705"/>
      <c r="F449" s="705"/>
    </row>
    <row r="450" spans="2:6" x14ac:dyDescent="0.3">
      <c r="B450" s="705"/>
      <c r="E450" s="705"/>
      <c r="F450" s="705"/>
    </row>
    <row r="451" spans="2:6" x14ac:dyDescent="0.3">
      <c r="B451" s="705"/>
      <c r="E451" s="705"/>
      <c r="F451" s="705"/>
    </row>
    <row r="452" spans="2:6" x14ac:dyDescent="0.3">
      <c r="B452" s="705"/>
      <c r="E452" s="705"/>
      <c r="F452" s="705"/>
    </row>
    <row r="453" spans="2:6" x14ac:dyDescent="0.3">
      <c r="B453" s="705"/>
      <c r="E453" s="705"/>
      <c r="F453" s="705"/>
    </row>
    <row r="454" spans="2:6" x14ac:dyDescent="0.3">
      <c r="B454" s="705"/>
      <c r="E454" s="705"/>
      <c r="F454" s="705"/>
    </row>
    <row r="455" spans="2:6" x14ac:dyDescent="0.3">
      <c r="B455" s="705"/>
      <c r="E455" s="705"/>
      <c r="F455" s="705"/>
    </row>
    <row r="456" spans="2:6" x14ac:dyDescent="0.3">
      <c r="B456" s="705"/>
      <c r="E456" s="705"/>
      <c r="F456" s="705"/>
    </row>
    <row r="457" spans="2:6" x14ac:dyDescent="0.3">
      <c r="B457" s="705"/>
      <c r="E457" s="705"/>
      <c r="F457" s="705"/>
    </row>
    <row r="458" spans="2:6" x14ac:dyDescent="0.3">
      <c r="B458" s="705"/>
      <c r="E458" s="705"/>
      <c r="F458" s="705"/>
    </row>
    <row r="459" spans="2:6" x14ac:dyDescent="0.3">
      <c r="B459" s="705"/>
      <c r="E459" s="705"/>
      <c r="F459" s="705"/>
    </row>
    <row r="460" spans="2:6" x14ac:dyDescent="0.3">
      <c r="B460" s="705"/>
      <c r="E460" s="705"/>
      <c r="F460" s="705"/>
    </row>
    <row r="461" spans="2:6" x14ac:dyDescent="0.3">
      <c r="B461" s="705"/>
      <c r="E461" s="705"/>
      <c r="F461" s="705"/>
    </row>
    <row r="462" spans="2:6" x14ac:dyDescent="0.3">
      <c r="B462" s="705"/>
      <c r="E462" s="705"/>
      <c r="F462" s="705"/>
    </row>
    <row r="463" spans="2:6" x14ac:dyDescent="0.3">
      <c r="B463" s="705"/>
      <c r="E463" s="705"/>
      <c r="F463" s="705"/>
    </row>
    <row r="464" spans="2:6" x14ac:dyDescent="0.3">
      <c r="B464" s="705"/>
      <c r="E464" s="705"/>
      <c r="F464" s="705"/>
    </row>
    <row r="465" spans="2:6" x14ac:dyDescent="0.3">
      <c r="B465" s="705"/>
      <c r="E465" s="705"/>
      <c r="F465" s="705"/>
    </row>
    <row r="466" spans="2:6" x14ac:dyDescent="0.3">
      <c r="B466" s="705"/>
      <c r="E466" s="705"/>
      <c r="F466" s="705"/>
    </row>
    <row r="467" spans="2:6" x14ac:dyDescent="0.3">
      <c r="B467" s="705"/>
      <c r="E467" s="705"/>
      <c r="F467" s="705"/>
    </row>
    <row r="468" spans="2:6" x14ac:dyDescent="0.3">
      <c r="B468" s="705"/>
      <c r="E468" s="705"/>
      <c r="F468" s="705"/>
    </row>
    <row r="469" spans="2:6" x14ac:dyDescent="0.3">
      <c r="B469" s="705"/>
      <c r="E469" s="705"/>
      <c r="F469" s="705"/>
    </row>
    <row r="470" spans="2:6" x14ac:dyDescent="0.3">
      <c r="B470" s="705"/>
      <c r="E470" s="705"/>
      <c r="F470" s="705"/>
    </row>
    <row r="471" spans="2:6" x14ac:dyDescent="0.3">
      <c r="B471" s="705"/>
      <c r="E471" s="705"/>
      <c r="F471" s="705"/>
    </row>
    <row r="472" spans="2:6" x14ac:dyDescent="0.3">
      <c r="B472" s="705"/>
      <c r="E472" s="705"/>
      <c r="F472" s="705"/>
    </row>
    <row r="473" spans="2:6" x14ac:dyDescent="0.3">
      <c r="B473" s="705"/>
      <c r="E473" s="705"/>
      <c r="F473" s="705"/>
    </row>
    <row r="474" spans="2:6" x14ac:dyDescent="0.3">
      <c r="B474" s="705"/>
      <c r="E474" s="705"/>
      <c r="F474" s="705"/>
    </row>
    <row r="475" spans="2:6" x14ac:dyDescent="0.3">
      <c r="B475" s="705"/>
      <c r="E475" s="705"/>
      <c r="F475" s="705"/>
    </row>
    <row r="476" spans="2:6" x14ac:dyDescent="0.3">
      <c r="B476" s="705"/>
      <c r="E476" s="705"/>
      <c r="F476" s="705"/>
    </row>
    <row r="477" spans="2:6" x14ac:dyDescent="0.3">
      <c r="B477" s="705"/>
      <c r="E477" s="705"/>
      <c r="F477" s="705"/>
    </row>
    <row r="478" spans="2:6" x14ac:dyDescent="0.3">
      <c r="B478" s="705"/>
      <c r="E478" s="705"/>
      <c r="F478" s="705"/>
    </row>
    <row r="479" spans="2:6" x14ac:dyDescent="0.3">
      <c r="B479" s="705"/>
      <c r="E479" s="705"/>
      <c r="F479" s="705"/>
    </row>
    <row r="480" spans="2:6" x14ac:dyDescent="0.3">
      <c r="B480" s="705"/>
      <c r="E480" s="705"/>
      <c r="F480" s="705"/>
    </row>
    <row r="481" spans="2:6" x14ac:dyDescent="0.3">
      <c r="B481" s="705"/>
      <c r="E481" s="705"/>
      <c r="F481" s="705"/>
    </row>
    <row r="482" spans="2:6" x14ac:dyDescent="0.3">
      <c r="B482" s="705"/>
      <c r="E482" s="705"/>
      <c r="F482" s="705"/>
    </row>
    <row r="483" spans="2:6" x14ac:dyDescent="0.3">
      <c r="B483" s="705"/>
      <c r="E483" s="705"/>
      <c r="F483" s="705"/>
    </row>
    <row r="484" spans="2:6" x14ac:dyDescent="0.3">
      <c r="B484" s="705"/>
      <c r="E484" s="705"/>
      <c r="F484" s="705"/>
    </row>
    <row r="485" spans="2:6" x14ac:dyDescent="0.3">
      <c r="B485" s="705"/>
      <c r="E485" s="705"/>
      <c r="F485" s="705"/>
    </row>
    <row r="486" spans="2:6" x14ac:dyDescent="0.3">
      <c r="B486" s="705"/>
      <c r="E486" s="705"/>
      <c r="F486" s="705"/>
    </row>
    <row r="487" spans="2:6" x14ac:dyDescent="0.3">
      <c r="B487" s="705"/>
      <c r="E487" s="705"/>
      <c r="F487" s="705"/>
    </row>
    <row r="488" spans="2:6" x14ac:dyDescent="0.3">
      <c r="B488" s="705"/>
      <c r="E488" s="705"/>
      <c r="F488" s="705"/>
    </row>
    <row r="489" spans="2:6" x14ac:dyDescent="0.3">
      <c r="B489" s="705"/>
      <c r="E489" s="705"/>
      <c r="F489" s="705"/>
    </row>
    <row r="490" spans="2:6" x14ac:dyDescent="0.3">
      <c r="B490" s="705"/>
      <c r="E490" s="705"/>
      <c r="F490" s="705"/>
    </row>
    <row r="491" spans="2:6" x14ac:dyDescent="0.3">
      <c r="B491" s="705"/>
      <c r="E491" s="705"/>
      <c r="F491" s="705"/>
    </row>
    <row r="492" spans="2:6" x14ac:dyDescent="0.3">
      <c r="B492" s="705"/>
      <c r="E492" s="705"/>
      <c r="F492" s="705"/>
    </row>
    <row r="493" spans="2:6" x14ac:dyDescent="0.3">
      <c r="B493" s="705"/>
      <c r="E493" s="705"/>
      <c r="F493" s="705"/>
    </row>
    <row r="494" spans="2:6" x14ac:dyDescent="0.3">
      <c r="B494" s="705"/>
      <c r="E494" s="705"/>
      <c r="F494" s="705"/>
    </row>
    <row r="495" spans="2:6" x14ac:dyDescent="0.3">
      <c r="B495" s="705"/>
      <c r="E495" s="705"/>
      <c r="F495" s="705"/>
    </row>
    <row r="496" spans="2:6" x14ac:dyDescent="0.3">
      <c r="B496" s="705"/>
      <c r="E496" s="705"/>
      <c r="F496" s="705"/>
    </row>
    <row r="497" spans="2:6" x14ac:dyDescent="0.3">
      <c r="B497" s="705"/>
      <c r="E497" s="705"/>
      <c r="F497" s="705"/>
    </row>
    <row r="498" spans="2:6" x14ac:dyDescent="0.3">
      <c r="B498" s="705"/>
      <c r="E498" s="705"/>
      <c r="F498" s="705"/>
    </row>
    <row r="499" spans="2:6" x14ac:dyDescent="0.3">
      <c r="B499" s="705"/>
      <c r="E499" s="705"/>
      <c r="F499" s="705"/>
    </row>
    <row r="500" spans="2:6" x14ac:dyDescent="0.3">
      <c r="B500" s="705"/>
      <c r="E500" s="705"/>
      <c r="F500" s="705"/>
    </row>
    <row r="501" spans="2:6" x14ac:dyDescent="0.3">
      <c r="B501" s="705"/>
      <c r="E501" s="705"/>
      <c r="F501" s="705"/>
    </row>
    <row r="502" spans="2:6" x14ac:dyDescent="0.3">
      <c r="B502" s="705"/>
      <c r="E502" s="705"/>
      <c r="F502" s="705"/>
    </row>
    <row r="503" spans="2:6" x14ac:dyDescent="0.3">
      <c r="B503" s="705"/>
      <c r="E503" s="705"/>
      <c r="F503" s="705"/>
    </row>
    <row r="504" spans="2:6" x14ac:dyDescent="0.3">
      <c r="B504" s="705"/>
      <c r="E504" s="705"/>
      <c r="F504" s="705"/>
    </row>
    <row r="505" spans="2:6" x14ac:dyDescent="0.3">
      <c r="B505" s="705"/>
      <c r="E505" s="705"/>
      <c r="F505" s="705"/>
    </row>
    <row r="506" spans="2:6" x14ac:dyDescent="0.3">
      <c r="B506" s="705"/>
      <c r="E506" s="705"/>
      <c r="F506" s="705"/>
    </row>
    <row r="507" spans="2:6" x14ac:dyDescent="0.3">
      <c r="B507" s="705"/>
      <c r="E507" s="705"/>
      <c r="F507" s="705"/>
    </row>
    <row r="508" spans="2:6" x14ac:dyDescent="0.3">
      <c r="B508" s="705"/>
      <c r="E508" s="705"/>
      <c r="F508" s="705"/>
    </row>
    <row r="509" spans="2:6" x14ac:dyDescent="0.3">
      <c r="B509" s="705"/>
      <c r="E509" s="705"/>
      <c r="F509" s="705"/>
    </row>
    <row r="510" spans="2:6" x14ac:dyDescent="0.3">
      <c r="B510" s="705"/>
      <c r="E510" s="705"/>
      <c r="F510" s="705"/>
    </row>
    <row r="511" spans="2:6" x14ac:dyDescent="0.3">
      <c r="B511" s="705"/>
      <c r="E511" s="705"/>
      <c r="F511" s="705"/>
    </row>
    <row r="512" spans="2:6" x14ac:dyDescent="0.3">
      <c r="B512" s="705"/>
      <c r="E512" s="705"/>
      <c r="F512" s="705"/>
    </row>
    <row r="513" spans="2:6" x14ac:dyDescent="0.3">
      <c r="B513" s="705"/>
      <c r="E513" s="705"/>
      <c r="F513" s="705"/>
    </row>
    <row r="514" spans="2:6" x14ac:dyDescent="0.3">
      <c r="B514" s="705"/>
      <c r="E514" s="705"/>
      <c r="F514" s="705"/>
    </row>
    <row r="515" spans="2:6" x14ac:dyDescent="0.3">
      <c r="B515" s="705"/>
      <c r="E515" s="705"/>
      <c r="F515" s="705"/>
    </row>
    <row r="516" spans="2:6" x14ac:dyDescent="0.3">
      <c r="B516" s="705"/>
      <c r="E516" s="705"/>
      <c r="F516" s="705"/>
    </row>
    <row r="517" spans="2:6" x14ac:dyDescent="0.3">
      <c r="B517" s="705"/>
      <c r="E517" s="705"/>
      <c r="F517" s="705"/>
    </row>
    <row r="518" spans="2:6" x14ac:dyDescent="0.3">
      <c r="B518" s="705"/>
      <c r="E518" s="705"/>
      <c r="F518" s="705"/>
    </row>
    <row r="519" spans="2:6" x14ac:dyDescent="0.3">
      <c r="B519" s="705"/>
      <c r="E519" s="705"/>
      <c r="F519" s="705"/>
    </row>
    <row r="520" spans="2:6" x14ac:dyDescent="0.3">
      <c r="B520" s="705"/>
      <c r="E520" s="705"/>
      <c r="F520" s="705"/>
    </row>
    <row r="521" spans="2:6" x14ac:dyDescent="0.3">
      <c r="B521" s="705"/>
      <c r="E521" s="705"/>
      <c r="F521" s="705"/>
    </row>
    <row r="522" spans="2:6" x14ac:dyDescent="0.3">
      <c r="B522" s="705"/>
      <c r="E522" s="705"/>
      <c r="F522" s="705"/>
    </row>
    <row r="523" spans="2:6" x14ac:dyDescent="0.3">
      <c r="B523" s="705"/>
      <c r="E523" s="705"/>
      <c r="F523" s="705"/>
    </row>
    <row r="524" spans="2:6" x14ac:dyDescent="0.3">
      <c r="B524" s="705"/>
      <c r="E524" s="705"/>
      <c r="F524" s="705"/>
    </row>
    <row r="525" spans="2:6" x14ac:dyDescent="0.3">
      <c r="B525" s="705"/>
      <c r="E525" s="705"/>
      <c r="F525" s="705"/>
    </row>
    <row r="526" spans="2:6" x14ac:dyDescent="0.3">
      <c r="B526" s="705"/>
      <c r="E526" s="705"/>
      <c r="F526" s="705"/>
    </row>
    <row r="527" spans="2:6" x14ac:dyDescent="0.3">
      <c r="B527" s="705"/>
      <c r="E527" s="705"/>
      <c r="F527" s="705"/>
    </row>
    <row r="528" spans="2:6" x14ac:dyDescent="0.3">
      <c r="B528" s="705"/>
      <c r="E528" s="705"/>
      <c r="F528" s="705"/>
    </row>
    <row r="529" spans="2:6" x14ac:dyDescent="0.3">
      <c r="B529" s="705"/>
      <c r="E529" s="705"/>
      <c r="F529" s="705"/>
    </row>
    <row r="530" spans="2:6" x14ac:dyDescent="0.3">
      <c r="B530" s="705"/>
      <c r="E530" s="705"/>
      <c r="F530" s="705"/>
    </row>
    <row r="531" spans="2:6" x14ac:dyDescent="0.3">
      <c r="B531" s="705"/>
      <c r="E531" s="705"/>
      <c r="F531" s="705"/>
    </row>
    <row r="532" spans="2:6" x14ac:dyDescent="0.3">
      <c r="B532" s="705"/>
      <c r="E532" s="705"/>
      <c r="F532" s="705"/>
    </row>
    <row r="533" spans="2:6" x14ac:dyDescent="0.3">
      <c r="B533" s="705"/>
      <c r="E533" s="705"/>
      <c r="F533" s="705"/>
    </row>
    <row r="534" spans="2:6" x14ac:dyDescent="0.3">
      <c r="B534" s="705"/>
      <c r="E534" s="705"/>
      <c r="F534" s="705"/>
    </row>
    <row r="535" spans="2:6" x14ac:dyDescent="0.3">
      <c r="B535" s="705"/>
      <c r="E535" s="705"/>
      <c r="F535" s="705"/>
    </row>
    <row r="536" spans="2:6" x14ac:dyDescent="0.3">
      <c r="B536" s="705"/>
      <c r="E536" s="705"/>
      <c r="F536" s="705"/>
    </row>
    <row r="537" spans="2:6" x14ac:dyDescent="0.3">
      <c r="B537" s="705"/>
      <c r="E537" s="705"/>
      <c r="F537" s="705"/>
    </row>
    <row r="538" spans="2:6" x14ac:dyDescent="0.3">
      <c r="B538" s="705"/>
      <c r="E538" s="705"/>
      <c r="F538" s="705"/>
    </row>
    <row r="539" spans="2:6" x14ac:dyDescent="0.3">
      <c r="B539" s="705"/>
      <c r="E539" s="705"/>
      <c r="F539" s="705"/>
    </row>
    <row r="540" spans="2:6" x14ac:dyDescent="0.3">
      <c r="B540" s="705"/>
      <c r="E540" s="705"/>
      <c r="F540" s="705"/>
    </row>
    <row r="541" spans="2:6" x14ac:dyDescent="0.3">
      <c r="B541" s="705"/>
      <c r="E541" s="705"/>
      <c r="F541" s="705"/>
    </row>
    <row r="542" spans="2:6" x14ac:dyDescent="0.3">
      <c r="B542" s="705"/>
      <c r="E542" s="705"/>
      <c r="F542" s="705"/>
    </row>
    <row r="543" spans="2:6" x14ac:dyDescent="0.3">
      <c r="B543" s="705"/>
      <c r="E543" s="705"/>
      <c r="F543" s="705"/>
    </row>
    <row r="544" spans="2:6" x14ac:dyDescent="0.3">
      <c r="B544" s="705"/>
      <c r="E544" s="705"/>
      <c r="F544" s="705"/>
    </row>
    <row r="545" spans="2:6" x14ac:dyDescent="0.3">
      <c r="B545" s="705"/>
      <c r="E545" s="705"/>
      <c r="F545" s="705"/>
    </row>
    <row r="546" spans="2:6" x14ac:dyDescent="0.3">
      <c r="B546" s="705"/>
      <c r="E546" s="705"/>
      <c r="F546" s="705"/>
    </row>
    <row r="547" spans="2:6" x14ac:dyDescent="0.3">
      <c r="B547" s="705"/>
      <c r="E547" s="705"/>
      <c r="F547" s="705"/>
    </row>
    <row r="548" spans="2:6" x14ac:dyDescent="0.3">
      <c r="B548" s="705"/>
      <c r="E548" s="705"/>
      <c r="F548" s="705"/>
    </row>
    <row r="549" spans="2:6" x14ac:dyDescent="0.3">
      <c r="B549" s="705"/>
      <c r="E549" s="705"/>
      <c r="F549" s="705"/>
    </row>
    <row r="550" spans="2:6" x14ac:dyDescent="0.3">
      <c r="B550" s="705"/>
      <c r="E550" s="705"/>
      <c r="F550" s="705"/>
    </row>
    <row r="551" spans="2:6" x14ac:dyDescent="0.3">
      <c r="B551" s="705"/>
      <c r="E551" s="705"/>
      <c r="F551" s="705"/>
    </row>
    <row r="552" spans="2:6" x14ac:dyDescent="0.3">
      <c r="B552" s="705"/>
      <c r="E552" s="705"/>
      <c r="F552" s="705"/>
    </row>
    <row r="553" spans="2:6" x14ac:dyDescent="0.3">
      <c r="B553" s="705"/>
      <c r="E553" s="705"/>
      <c r="F553" s="705"/>
    </row>
    <row r="554" spans="2:6" x14ac:dyDescent="0.3">
      <c r="B554" s="705"/>
      <c r="E554" s="705"/>
      <c r="F554" s="705"/>
    </row>
    <row r="555" spans="2:6" x14ac:dyDescent="0.3">
      <c r="B555" s="705"/>
      <c r="E555" s="705"/>
      <c r="F555" s="705"/>
    </row>
    <row r="556" spans="2:6" x14ac:dyDescent="0.3">
      <c r="B556" s="705"/>
      <c r="E556" s="705"/>
      <c r="F556" s="705"/>
    </row>
    <row r="557" spans="2:6" x14ac:dyDescent="0.3">
      <c r="B557" s="705"/>
      <c r="E557" s="705"/>
      <c r="F557" s="705"/>
    </row>
    <row r="558" spans="2:6" x14ac:dyDescent="0.3">
      <c r="B558" s="705"/>
      <c r="E558" s="705"/>
      <c r="F558" s="705"/>
    </row>
    <row r="559" spans="2:6" x14ac:dyDescent="0.3">
      <c r="B559" s="705"/>
      <c r="E559" s="705"/>
      <c r="F559" s="705"/>
    </row>
    <row r="560" spans="2:6" x14ac:dyDescent="0.3">
      <c r="B560" s="705"/>
      <c r="E560" s="705"/>
      <c r="F560" s="705"/>
    </row>
    <row r="561" spans="2:6" x14ac:dyDescent="0.3">
      <c r="B561" s="705"/>
      <c r="E561" s="705"/>
      <c r="F561" s="705"/>
    </row>
    <row r="562" spans="2:6" x14ac:dyDescent="0.3">
      <c r="B562" s="705"/>
      <c r="E562" s="705"/>
      <c r="F562" s="705"/>
    </row>
    <row r="563" spans="2:6" x14ac:dyDescent="0.3">
      <c r="B563" s="705"/>
      <c r="E563" s="705"/>
      <c r="F563" s="705"/>
    </row>
    <row r="564" spans="2:6" x14ac:dyDescent="0.3">
      <c r="B564" s="705"/>
      <c r="E564" s="705"/>
      <c r="F564" s="705"/>
    </row>
    <row r="565" spans="2:6" x14ac:dyDescent="0.3">
      <c r="B565" s="705"/>
      <c r="E565" s="705"/>
      <c r="F565" s="705"/>
    </row>
    <row r="566" spans="2:6" x14ac:dyDescent="0.3">
      <c r="B566" s="705"/>
      <c r="E566" s="705"/>
      <c r="F566" s="705"/>
    </row>
    <row r="567" spans="2:6" x14ac:dyDescent="0.3">
      <c r="B567" s="705"/>
      <c r="E567" s="705"/>
      <c r="F567" s="705"/>
    </row>
    <row r="568" spans="2:6" x14ac:dyDescent="0.3">
      <c r="B568" s="705"/>
      <c r="E568" s="705"/>
      <c r="F568" s="705"/>
    </row>
    <row r="569" spans="2:6" x14ac:dyDescent="0.3">
      <c r="B569" s="705"/>
      <c r="E569" s="705"/>
      <c r="F569" s="705"/>
    </row>
    <row r="570" spans="2:6" x14ac:dyDescent="0.3">
      <c r="B570" s="705"/>
      <c r="E570" s="705"/>
      <c r="F570" s="705"/>
    </row>
    <row r="571" spans="2:6" x14ac:dyDescent="0.3">
      <c r="B571" s="705"/>
      <c r="E571" s="705"/>
      <c r="F571" s="705"/>
    </row>
    <row r="572" spans="2:6" x14ac:dyDescent="0.3">
      <c r="B572" s="705"/>
      <c r="E572" s="705"/>
      <c r="F572" s="705"/>
    </row>
    <row r="573" spans="2:6" x14ac:dyDescent="0.3">
      <c r="B573" s="705"/>
      <c r="E573" s="705"/>
      <c r="F573" s="705"/>
    </row>
    <row r="574" spans="2:6" x14ac:dyDescent="0.3">
      <c r="B574" s="705"/>
      <c r="E574" s="705"/>
      <c r="F574" s="705"/>
    </row>
    <row r="575" spans="2:6" x14ac:dyDescent="0.3">
      <c r="B575" s="705"/>
      <c r="E575" s="705"/>
      <c r="F575" s="705"/>
    </row>
    <row r="576" spans="2:6" x14ac:dyDescent="0.3">
      <c r="B576" s="705"/>
      <c r="E576" s="705"/>
      <c r="F576" s="705"/>
    </row>
    <row r="577" spans="2:6" x14ac:dyDescent="0.3">
      <c r="B577" s="705"/>
      <c r="E577" s="705"/>
      <c r="F577" s="705"/>
    </row>
    <row r="578" spans="2:6" x14ac:dyDescent="0.3">
      <c r="B578" s="705"/>
      <c r="E578" s="705"/>
      <c r="F578" s="705"/>
    </row>
    <row r="579" spans="2:6" x14ac:dyDescent="0.3">
      <c r="B579" s="705"/>
      <c r="E579" s="705"/>
      <c r="F579" s="705"/>
    </row>
    <row r="580" spans="2:6" x14ac:dyDescent="0.3">
      <c r="B580" s="705"/>
      <c r="E580" s="705"/>
      <c r="F580" s="705"/>
    </row>
    <row r="581" spans="2:6" x14ac:dyDescent="0.3">
      <c r="B581" s="705"/>
      <c r="E581" s="705"/>
      <c r="F581" s="705"/>
    </row>
    <row r="582" spans="2:6" x14ac:dyDescent="0.3">
      <c r="B582" s="705"/>
      <c r="E582" s="705"/>
      <c r="F582" s="705"/>
    </row>
    <row r="583" spans="2:6" x14ac:dyDescent="0.3">
      <c r="B583" s="705"/>
      <c r="E583" s="705"/>
      <c r="F583" s="705"/>
    </row>
    <row r="584" spans="2:6" x14ac:dyDescent="0.3">
      <c r="B584" s="705"/>
      <c r="E584" s="705"/>
      <c r="F584" s="705"/>
    </row>
    <row r="585" spans="2:6" x14ac:dyDescent="0.3">
      <c r="B585" s="705"/>
      <c r="E585" s="705"/>
      <c r="F585" s="705"/>
    </row>
    <row r="586" spans="2:6" x14ac:dyDescent="0.3">
      <c r="B586" s="705"/>
      <c r="E586" s="705"/>
      <c r="F586" s="705"/>
    </row>
    <row r="587" spans="2:6" x14ac:dyDescent="0.3">
      <c r="B587" s="705"/>
      <c r="E587" s="705"/>
      <c r="F587" s="705"/>
    </row>
    <row r="588" spans="2:6" x14ac:dyDescent="0.3">
      <c r="B588" s="705"/>
      <c r="E588" s="705"/>
      <c r="F588" s="705"/>
    </row>
    <row r="589" spans="2:6" x14ac:dyDescent="0.3">
      <c r="B589" s="705"/>
      <c r="E589" s="705"/>
      <c r="F589" s="705"/>
    </row>
    <row r="590" spans="2:6" x14ac:dyDescent="0.3">
      <c r="B590" s="705"/>
      <c r="E590" s="705"/>
      <c r="F590" s="705"/>
    </row>
    <row r="591" spans="2:6" x14ac:dyDescent="0.3">
      <c r="B591" s="705"/>
      <c r="E591" s="705"/>
      <c r="F591" s="705"/>
    </row>
    <row r="592" spans="2:6" x14ac:dyDescent="0.3">
      <c r="B592" s="705"/>
      <c r="E592" s="705"/>
      <c r="F592" s="705"/>
    </row>
    <row r="593" spans="2:6" x14ac:dyDescent="0.3">
      <c r="B593" s="705"/>
      <c r="E593" s="705"/>
      <c r="F593" s="705"/>
    </row>
    <row r="594" spans="2:6" x14ac:dyDescent="0.3">
      <c r="B594" s="705"/>
      <c r="E594" s="705"/>
      <c r="F594" s="705"/>
    </row>
    <row r="595" spans="2:6" x14ac:dyDescent="0.3">
      <c r="B595" s="705"/>
      <c r="E595" s="705"/>
      <c r="F595" s="705"/>
    </row>
    <row r="596" spans="2:6" x14ac:dyDescent="0.3">
      <c r="B596" s="705"/>
      <c r="E596" s="705"/>
      <c r="F596" s="705"/>
    </row>
    <row r="597" spans="2:6" x14ac:dyDescent="0.3">
      <c r="B597" s="705"/>
      <c r="E597" s="705"/>
      <c r="F597" s="705"/>
    </row>
    <row r="598" spans="2:6" x14ac:dyDescent="0.3">
      <c r="B598" s="705"/>
      <c r="E598" s="705"/>
      <c r="F598" s="705"/>
    </row>
    <row r="599" spans="2:6" x14ac:dyDescent="0.3">
      <c r="B599" s="705"/>
      <c r="E599" s="705"/>
      <c r="F599" s="705"/>
    </row>
    <row r="600" spans="2:6" x14ac:dyDescent="0.3">
      <c r="B600" s="705"/>
      <c r="E600" s="705"/>
      <c r="F600" s="705"/>
    </row>
    <row r="601" spans="2:6" x14ac:dyDescent="0.3">
      <c r="B601" s="705"/>
      <c r="E601" s="705"/>
      <c r="F601" s="705"/>
    </row>
    <row r="602" spans="2:6" x14ac:dyDescent="0.3">
      <c r="B602" s="705"/>
      <c r="E602" s="705"/>
      <c r="F602" s="705"/>
    </row>
    <row r="603" spans="2:6" x14ac:dyDescent="0.3">
      <c r="B603" s="705"/>
      <c r="E603" s="705"/>
      <c r="F603" s="705"/>
    </row>
    <row r="604" spans="2:6" x14ac:dyDescent="0.3">
      <c r="B604" s="705"/>
      <c r="E604" s="705"/>
      <c r="F604" s="705"/>
    </row>
    <row r="605" spans="2:6" x14ac:dyDescent="0.3">
      <c r="B605" s="705"/>
      <c r="E605" s="705"/>
      <c r="F605" s="705"/>
    </row>
    <row r="606" spans="2:6" x14ac:dyDescent="0.3">
      <c r="B606" s="705"/>
      <c r="E606" s="705"/>
      <c r="F606" s="705"/>
    </row>
    <row r="607" spans="2:6" x14ac:dyDescent="0.3">
      <c r="B607" s="705"/>
      <c r="E607" s="705"/>
      <c r="F607" s="705"/>
    </row>
    <row r="608" spans="2:6" x14ac:dyDescent="0.3">
      <c r="B608" s="705"/>
      <c r="E608" s="705"/>
      <c r="F608" s="705"/>
    </row>
    <row r="609" spans="2:6" x14ac:dyDescent="0.3">
      <c r="B609" s="705"/>
      <c r="E609" s="705"/>
      <c r="F609" s="705"/>
    </row>
    <row r="610" spans="2:6" x14ac:dyDescent="0.3">
      <c r="B610" s="705"/>
      <c r="E610" s="705"/>
      <c r="F610" s="705"/>
    </row>
    <row r="611" spans="2:6" x14ac:dyDescent="0.3">
      <c r="B611" s="705"/>
      <c r="E611" s="705"/>
      <c r="F611" s="705"/>
    </row>
    <row r="612" spans="2:6" x14ac:dyDescent="0.3">
      <c r="B612" s="705"/>
      <c r="E612" s="705"/>
      <c r="F612" s="705"/>
    </row>
    <row r="613" spans="2:6" x14ac:dyDescent="0.3">
      <c r="B613" s="705"/>
      <c r="E613" s="705"/>
      <c r="F613" s="705"/>
    </row>
    <row r="614" spans="2:6" x14ac:dyDescent="0.3">
      <c r="B614" s="705"/>
      <c r="E614" s="705"/>
      <c r="F614" s="705"/>
    </row>
    <row r="615" spans="2:6" x14ac:dyDescent="0.3">
      <c r="B615" s="705"/>
      <c r="E615" s="705"/>
      <c r="F615" s="705"/>
    </row>
    <row r="616" spans="2:6" x14ac:dyDescent="0.3">
      <c r="B616" s="705"/>
      <c r="E616" s="705"/>
      <c r="F616" s="705"/>
    </row>
    <row r="617" spans="2:6" x14ac:dyDescent="0.3">
      <c r="B617" s="705"/>
      <c r="E617" s="705"/>
      <c r="F617" s="705"/>
    </row>
    <row r="618" spans="2:6" x14ac:dyDescent="0.3">
      <c r="B618" s="705"/>
      <c r="E618" s="705"/>
      <c r="F618" s="705"/>
    </row>
    <row r="619" spans="2:6" x14ac:dyDescent="0.3">
      <c r="B619" s="705"/>
      <c r="E619" s="705"/>
      <c r="F619" s="705"/>
    </row>
    <row r="620" spans="2:6" x14ac:dyDescent="0.3">
      <c r="B620" s="705"/>
      <c r="E620" s="705"/>
      <c r="F620" s="705"/>
    </row>
    <row r="621" spans="2:6" x14ac:dyDescent="0.3">
      <c r="B621" s="705"/>
      <c r="E621" s="705"/>
      <c r="F621" s="705"/>
    </row>
    <row r="622" spans="2:6" x14ac:dyDescent="0.3">
      <c r="B622" s="705"/>
      <c r="E622" s="705"/>
      <c r="F622" s="705"/>
    </row>
    <row r="623" spans="2:6" x14ac:dyDescent="0.3">
      <c r="B623" s="705"/>
      <c r="E623" s="705"/>
      <c r="F623" s="705"/>
    </row>
    <row r="624" spans="2:6" x14ac:dyDescent="0.3">
      <c r="B624" s="705"/>
      <c r="E624" s="705"/>
      <c r="F624" s="705"/>
    </row>
    <row r="625" spans="2:6" x14ac:dyDescent="0.3">
      <c r="B625" s="705"/>
      <c r="E625" s="705"/>
      <c r="F625" s="705"/>
    </row>
    <row r="626" spans="2:6" x14ac:dyDescent="0.3">
      <c r="B626" s="705"/>
      <c r="E626" s="705"/>
      <c r="F626" s="705"/>
    </row>
    <row r="627" spans="2:6" x14ac:dyDescent="0.3">
      <c r="B627" s="705"/>
      <c r="E627" s="705"/>
      <c r="F627" s="705"/>
    </row>
    <row r="628" spans="2:6" x14ac:dyDescent="0.3">
      <c r="B628" s="705"/>
      <c r="E628" s="705"/>
      <c r="F628" s="705"/>
    </row>
    <row r="629" spans="2:6" x14ac:dyDescent="0.3">
      <c r="B629" s="705"/>
      <c r="E629" s="705"/>
      <c r="F629" s="705"/>
    </row>
    <row r="630" spans="2:6" x14ac:dyDescent="0.3">
      <c r="B630" s="705"/>
      <c r="E630" s="705"/>
      <c r="F630" s="705"/>
    </row>
    <row r="631" spans="2:6" x14ac:dyDescent="0.3">
      <c r="B631" s="705"/>
      <c r="E631" s="705"/>
      <c r="F631" s="705"/>
    </row>
    <row r="632" spans="2:6" x14ac:dyDescent="0.3">
      <c r="B632" s="705"/>
      <c r="E632" s="705"/>
      <c r="F632" s="705"/>
    </row>
    <row r="633" spans="2:6" x14ac:dyDescent="0.3">
      <c r="B633" s="705"/>
      <c r="E633" s="705"/>
      <c r="F633" s="705"/>
    </row>
    <row r="634" spans="2:6" x14ac:dyDescent="0.3">
      <c r="B634" s="705"/>
      <c r="E634" s="705"/>
      <c r="F634" s="705"/>
    </row>
    <row r="635" spans="2:6" x14ac:dyDescent="0.3">
      <c r="B635" s="705"/>
      <c r="E635" s="705"/>
      <c r="F635" s="705"/>
    </row>
    <row r="636" spans="2:6" x14ac:dyDescent="0.3">
      <c r="B636" s="705"/>
      <c r="E636" s="705"/>
      <c r="F636" s="705"/>
    </row>
    <row r="637" spans="2:6" x14ac:dyDescent="0.3">
      <c r="B637" s="705"/>
      <c r="E637" s="705"/>
      <c r="F637" s="705"/>
    </row>
    <row r="638" spans="2:6" x14ac:dyDescent="0.3">
      <c r="B638" s="705"/>
      <c r="E638" s="705"/>
      <c r="F638" s="705"/>
    </row>
    <row r="639" spans="2:6" x14ac:dyDescent="0.3">
      <c r="B639" s="705"/>
      <c r="E639" s="705"/>
      <c r="F639" s="705"/>
    </row>
    <row r="640" spans="2:6" x14ac:dyDescent="0.3">
      <c r="B640" s="705"/>
      <c r="E640" s="705"/>
      <c r="F640" s="705"/>
    </row>
    <row r="641" spans="2:6" x14ac:dyDescent="0.3">
      <c r="B641" s="705"/>
      <c r="E641" s="705"/>
      <c r="F641" s="705"/>
    </row>
    <row r="642" spans="2:6" x14ac:dyDescent="0.3">
      <c r="B642" s="705"/>
      <c r="E642" s="705"/>
      <c r="F642" s="705"/>
    </row>
    <row r="643" spans="2:6" x14ac:dyDescent="0.3">
      <c r="B643" s="705"/>
      <c r="E643" s="705"/>
      <c r="F643" s="705"/>
    </row>
    <row r="644" spans="2:6" x14ac:dyDescent="0.3">
      <c r="B644" s="705"/>
      <c r="E644" s="705"/>
      <c r="F644" s="705"/>
    </row>
    <row r="645" spans="2:6" x14ac:dyDescent="0.3">
      <c r="B645" s="705"/>
      <c r="E645" s="705"/>
      <c r="F645" s="705"/>
    </row>
    <row r="646" spans="2:6" x14ac:dyDescent="0.3">
      <c r="B646" s="705"/>
      <c r="E646" s="705"/>
      <c r="F646" s="705"/>
    </row>
    <row r="647" spans="2:6" x14ac:dyDescent="0.3">
      <c r="B647" s="705"/>
      <c r="E647" s="705"/>
      <c r="F647" s="705"/>
    </row>
    <row r="648" spans="2:6" x14ac:dyDescent="0.3">
      <c r="B648" s="705"/>
      <c r="E648" s="705"/>
      <c r="F648" s="705"/>
    </row>
    <row r="649" spans="2:6" x14ac:dyDescent="0.3">
      <c r="B649" s="705"/>
      <c r="E649" s="705"/>
      <c r="F649" s="705"/>
    </row>
    <row r="650" spans="2:6" x14ac:dyDescent="0.3">
      <c r="B650" s="705"/>
      <c r="E650" s="705"/>
      <c r="F650" s="705"/>
    </row>
    <row r="651" spans="2:6" x14ac:dyDescent="0.3">
      <c r="B651" s="705"/>
      <c r="E651" s="705"/>
      <c r="F651" s="705"/>
    </row>
    <row r="652" spans="2:6" x14ac:dyDescent="0.3">
      <c r="B652" s="705"/>
      <c r="E652" s="705"/>
      <c r="F652" s="705"/>
    </row>
    <row r="653" spans="2:6" x14ac:dyDescent="0.3">
      <c r="B653" s="705"/>
      <c r="E653" s="705"/>
      <c r="F653" s="705"/>
    </row>
    <row r="654" spans="2:6" x14ac:dyDescent="0.3">
      <c r="B654" s="705"/>
      <c r="E654" s="705"/>
      <c r="F654" s="705"/>
    </row>
    <row r="655" spans="2:6" x14ac:dyDescent="0.3">
      <c r="B655" s="705"/>
      <c r="E655" s="705"/>
      <c r="F655" s="705"/>
    </row>
    <row r="656" spans="2:6" x14ac:dyDescent="0.3">
      <c r="B656" s="705"/>
      <c r="E656" s="705"/>
      <c r="F656" s="705"/>
    </row>
    <row r="657" spans="2:6" x14ac:dyDescent="0.3">
      <c r="B657" s="705"/>
      <c r="E657" s="705"/>
      <c r="F657" s="705"/>
    </row>
    <row r="658" spans="2:6" x14ac:dyDescent="0.3">
      <c r="B658" s="705"/>
      <c r="E658" s="705"/>
      <c r="F658" s="705"/>
    </row>
    <row r="659" spans="2:6" x14ac:dyDescent="0.3">
      <c r="B659" s="705"/>
      <c r="E659" s="705"/>
      <c r="F659" s="705"/>
    </row>
    <row r="660" spans="2:6" x14ac:dyDescent="0.3">
      <c r="B660" s="705"/>
      <c r="E660" s="705"/>
      <c r="F660" s="705"/>
    </row>
    <row r="661" spans="2:6" x14ac:dyDescent="0.3">
      <c r="B661" s="705"/>
      <c r="E661" s="705"/>
      <c r="F661" s="705"/>
    </row>
    <row r="662" spans="2:6" x14ac:dyDescent="0.3">
      <c r="B662" s="705"/>
      <c r="E662" s="705"/>
      <c r="F662" s="705"/>
    </row>
    <row r="663" spans="2:6" x14ac:dyDescent="0.3">
      <c r="B663" s="705"/>
      <c r="E663" s="705"/>
      <c r="F663" s="705"/>
    </row>
    <row r="664" spans="2:6" x14ac:dyDescent="0.3">
      <c r="B664" s="705"/>
      <c r="E664" s="705"/>
      <c r="F664" s="705"/>
    </row>
    <row r="665" spans="2:6" x14ac:dyDescent="0.3">
      <c r="B665" s="705"/>
      <c r="E665" s="705"/>
      <c r="F665" s="705"/>
    </row>
    <row r="666" spans="2:6" x14ac:dyDescent="0.3">
      <c r="B666" s="705"/>
      <c r="E666" s="705"/>
      <c r="F666" s="705"/>
    </row>
    <row r="667" spans="2:6" x14ac:dyDescent="0.3">
      <c r="B667" s="705"/>
      <c r="E667" s="705"/>
      <c r="F667" s="705"/>
    </row>
    <row r="668" spans="2:6" x14ac:dyDescent="0.3">
      <c r="B668" s="705"/>
      <c r="E668" s="705"/>
      <c r="F668" s="705"/>
    </row>
    <row r="669" spans="2:6" x14ac:dyDescent="0.3">
      <c r="B669" s="705"/>
      <c r="E669" s="705"/>
      <c r="F669" s="705"/>
    </row>
    <row r="670" spans="2:6" x14ac:dyDescent="0.3">
      <c r="B670" s="705"/>
      <c r="E670" s="705"/>
      <c r="F670" s="705"/>
    </row>
    <row r="671" spans="2:6" x14ac:dyDescent="0.3">
      <c r="B671" s="705"/>
      <c r="E671" s="705"/>
      <c r="F671" s="705"/>
    </row>
    <row r="672" spans="2:6" x14ac:dyDescent="0.3">
      <c r="B672" s="705"/>
      <c r="E672" s="705"/>
      <c r="F672" s="705"/>
    </row>
    <row r="673" spans="2:6" x14ac:dyDescent="0.3">
      <c r="B673" s="705"/>
      <c r="E673" s="705"/>
      <c r="F673" s="705"/>
    </row>
    <row r="674" spans="2:6" x14ac:dyDescent="0.3">
      <c r="B674" s="705"/>
      <c r="E674" s="705"/>
      <c r="F674" s="705"/>
    </row>
    <row r="675" spans="2:6" x14ac:dyDescent="0.3">
      <c r="B675" s="705"/>
      <c r="E675" s="705"/>
      <c r="F675" s="705"/>
    </row>
    <row r="676" spans="2:6" x14ac:dyDescent="0.3">
      <c r="B676" s="705"/>
      <c r="E676" s="705"/>
      <c r="F676" s="705"/>
    </row>
    <row r="677" spans="2:6" x14ac:dyDescent="0.3">
      <c r="B677" s="705"/>
      <c r="E677" s="705"/>
      <c r="F677" s="705"/>
    </row>
    <row r="678" spans="2:6" x14ac:dyDescent="0.3">
      <c r="B678" s="705"/>
      <c r="E678" s="705"/>
      <c r="F678" s="705"/>
    </row>
    <row r="679" spans="2:6" x14ac:dyDescent="0.3">
      <c r="B679" s="705"/>
      <c r="E679" s="705"/>
      <c r="F679" s="705"/>
    </row>
    <row r="680" spans="2:6" x14ac:dyDescent="0.3">
      <c r="B680" s="705"/>
      <c r="E680" s="705"/>
      <c r="F680" s="705"/>
    </row>
    <row r="681" spans="2:6" x14ac:dyDescent="0.3">
      <c r="B681" s="705"/>
      <c r="E681" s="705"/>
      <c r="F681" s="705"/>
    </row>
    <row r="682" spans="2:6" x14ac:dyDescent="0.3">
      <c r="B682" s="705"/>
      <c r="E682" s="705"/>
      <c r="F682" s="705"/>
    </row>
    <row r="683" spans="2:6" x14ac:dyDescent="0.3">
      <c r="B683" s="705"/>
      <c r="E683" s="705"/>
      <c r="F683" s="705"/>
    </row>
    <row r="684" spans="2:6" x14ac:dyDescent="0.3">
      <c r="B684" s="705"/>
      <c r="E684" s="705"/>
      <c r="F684" s="705"/>
    </row>
    <row r="685" spans="2:6" x14ac:dyDescent="0.3">
      <c r="B685" s="705"/>
      <c r="E685" s="705"/>
      <c r="F685" s="705"/>
    </row>
    <row r="686" spans="2:6" x14ac:dyDescent="0.3">
      <c r="B686" s="705"/>
      <c r="E686" s="705"/>
      <c r="F686" s="705"/>
    </row>
    <row r="687" spans="2:6" x14ac:dyDescent="0.3">
      <c r="B687" s="705"/>
      <c r="E687" s="705"/>
      <c r="F687" s="705"/>
    </row>
    <row r="688" spans="2:6" x14ac:dyDescent="0.3">
      <c r="B688" s="705"/>
      <c r="E688" s="705"/>
      <c r="F688" s="705"/>
    </row>
    <row r="689" spans="2:6" x14ac:dyDescent="0.3">
      <c r="B689" s="705"/>
      <c r="E689" s="705"/>
      <c r="F689" s="705"/>
    </row>
    <row r="690" spans="2:6" x14ac:dyDescent="0.3">
      <c r="B690" s="705"/>
      <c r="E690" s="705"/>
      <c r="F690" s="705"/>
    </row>
    <row r="691" spans="2:6" x14ac:dyDescent="0.3">
      <c r="B691" s="705"/>
      <c r="E691" s="705"/>
      <c r="F691" s="705"/>
    </row>
    <row r="692" spans="2:6" x14ac:dyDescent="0.3">
      <c r="B692" s="705"/>
      <c r="E692" s="705"/>
      <c r="F692" s="705"/>
    </row>
    <row r="693" spans="2:6" x14ac:dyDescent="0.3">
      <c r="B693" s="705"/>
      <c r="E693" s="705"/>
      <c r="F693" s="705"/>
    </row>
    <row r="694" spans="2:6" x14ac:dyDescent="0.3">
      <c r="B694" s="705"/>
      <c r="E694" s="705"/>
      <c r="F694" s="705"/>
    </row>
    <row r="695" spans="2:6" x14ac:dyDescent="0.3">
      <c r="B695" s="705"/>
      <c r="E695" s="705"/>
      <c r="F695" s="705"/>
    </row>
    <row r="696" spans="2:6" x14ac:dyDescent="0.3">
      <c r="B696" s="705"/>
      <c r="E696" s="705"/>
      <c r="F696" s="705"/>
    </row>
    <row r="697" spans="2:6" x14ac:dyDescent="0.3">
      <c r="B697" s="705"/>
      <c r="E697" s="705"/>
      <c r="F697" s="705"/>
    </row>
    <row r="698" spans="2:6" x14ac:dyDescent="0.3">
      <c r="B698" s="705"/>
      <c r="E698" s="705"/>
      <c r="F698" s="705"/>
    </row>
    <row r="699" spans="2:6" x14ac:dyDescent="0.3">
      <c r="B699" s="705"/>
      <c r="E699" s="705"/>
      <c r="F699" s="705"/>
    </row>
    <row r="700" spans="2:6" x14ac:dyDescent="0.3">
      <c r="B700" s="705"/>
      <c r="E700" s="705"/>
      <c r="F700" s="705"/>
    </row>
    <row r="701" spans="2:6" x14ac:dyDescent="0.3">
      <c r="B701" s="705"/>
      <c r="E701" s="705"/>
      <c r="F701" s="705"/>
    </row>
    <row r="702" spans="2:6" x14ac:dyDescent="0.3">
      <c r="B702" s="705"/>
      <c r="E702" s="705"/>
      <c r="F702" s="705"/>
    </row>
    <row r="703" spans="2:6" x14ac:dyDescent="0.3">
      <c r="B703" s="705"/>
      <c r="E703" s="705"/>
      <c r="F703" s="705"/>
    </row>
    <row r="704" spans="2:6" x14ac:dyDescent="0.3">
      <c r="B704" s="705"/>
      <c r="E704" s="705"/>
      <c r="F704" s="705"/>
    </row>
    <row r="705" spans="2:6" x14ac:dyDescent="0.3">
      <c r="B705" s="705"/>
      <c r="E705" s="705"/>
      <c r="F705" s="705"/>
    </row>
    <row r="706" spans="2:6" x14ac:dyDescent="0.3">
      <c r="B706" s="705"/>
      <c r="E706" s="705"/>
      <c r="F706" s="705"/>
    </row>
    <row r="707" spans="2:6" x14ac:dyDescent="0.3">
      <c r="B707" s="705"/>
      <c r="E707" s="705"/>
      <c r="F707" s="705"/>
    </row>
    <row r="708" spans="2:6" x14ac:dyDescent="0.3">
      <c r="B708" s="705"/>
      <c r="E708" s="705"/>
      <c r="F708" s="705"/>
    </row>
    <row r="709" spans="2:6" x14ac:dyDescent="0.3">
      <c r="B709" s="705"/>
      <c r="E709" s="705"/>
      <c r="F709" s="705"/>
    </row>
    <row r="710" spans="2:6" x14ac:dyDescent="0.3">
      <c r="B710" s="705"/>
      <c r="E710" s="705"/>
      <c r="F710" s="705"/>
    </row>
    <row r="711" spans="2:6" x14ac:dyDescent="0.3">
      <c r="B711" s="705"/>
      <c r="E711" s="705"/>
      <c r="F711" s="705"/>
    </row>
    <row r="712" spans="2:6" x14ac:dyDescent="0.3">
      <c r="B712" s="705"/>
      <c r="E712" s="705"/>
      <c r="F712" s="705"/>
    </row>
    <row r="713" spans="2:6" x14ac:dyDescent="0.3">
      <c r="B713" s="705"/>
      <c r="E713" s="705"/>
      <c r="F713" s="705"/>
    </row>
    <row r="714" spans="2:6" x14ac:dyDescent="0.3">
      <c r="B714" s="705"/>
      <c r="E714" s="705"/>
      <c r="F714" s="705"/>
    </row>
    <row r="715" spans="2:6" x14ac:dyDescent="0.3">
      <c r="B715" s="705"/>
      <c r="E715" s="705"/>
      <c r="F715" s="705"/>
    </row>
    <row r="716" spans="2:6" x14ac:dyDescent="0.3">
      <c r="B716" s="705"/>
      <c r="E716" s="705"/>
      <c r="F716" s="705"/>
    </row>
    <row r="717" spans="2:6" x14ac:dyDescent="0.3">
      <c r="B717" s="705"/>
      <c r="E717" s="705"/>
      <c r="F717" s="705"/>
    </row>
    <row r="718" spans="2:6" x14ac:dyDescent="0.3">
      <c r="B718" s="705"/>
      <c r="E718" s="705"/>
      <c r="F718" s="705"/>
    </row>
    <row r="719" spans="2:6" x14ac:dyDescent="0.3">
      <c r="B719" s="705"/>
      <c r="E719" s="705"/>
      <c r="F719" s="705"/>
    </row>
    <row r="720" spans="2:6" x14ac:dyDescent="0.3">
      <c r="B720" s="705"/>
      <c r="E720" s="705"/>
      <c r="F720" s="705"/>
    </row>
    <row r="721" spans="2:6" x14ac:dyDescent="0.3">
      <c r="B721" s="705"/>
      <c r="E721" s="705"/>
      <c r="F721" s="705"/>
    </row>
    <row r="722" spans="2:6" x14ac:dyDescent="0.3">
      <c r="B722" s="705"/>
      <c r="E722" s="705"/>
      <c r="F722" s="705"/>
    </row>
    <row r="723" spans="2:6" x14ac:dyDescent="0.3">
      <c r="B723" s="705"/>
      <c r="E723" s="705"/>
      <c r="F723" s="705"/>
    </row>
    <row r="724" spans="2:6" x14ac:dyDescent="0.3">
      <c r="B724" s="705"/>
      <c r="E724" s="705"/>
      <c r="F724" s="705"/>
    </row>
    <row r="725" spans="2:6" x14ac:dyDescent="0.3">
      <c r="B725" s="705"/>
      <c r="E725" s="705"/>
      <c r="F725" s="705"/>
    </row>
    <row r="726" spans="2:6" x14ac:dyDescent="0.3">
      <c r="B726" s="705"/>
      <c r="E726" s="705"/>
      <c r="F726" s="705"/>
    </row>
    <row r="727" spans="2:6" x14ac:dyDescent="0.3">
      <c r="B727" s="705"/>
      <c r="E727" s="705"/>
      <c r="F727" s="705"/>
    </row>
    <row r="728" spans="2:6" x14ac:dyDescent="0.3">
      <c r="B728" s="705"/>
      <c r="E728" s="705"/>
      <c r="F728" s="705"/>
    </row>
    <row r="729" spans="2:6" x14ac:dyDescent="0.3">
      <c r="B729" s="705"/>
      <c r="E729" s="705"/>
      <c r="F729" s="705"/>
    </row>
    <row r="730" spans="2:6" x14ac:dyDescent="0.3">
      <c r="B730" s="705"/>
      <c r="E730" s="705"/>
      <c r="F730" s="705"/>
    </row>
    <row r="731" spans="2:6" x14ac:dyDescent="0.3">
      <c r="B731" s="705"/>
      <c r="E731" s="705"/>
      <c r="F731" s="705"/>
    </row>
    <row r="732" spans="2:6" x14ac:dyDescent="0.3">
      <c r="B732" s="705"/>
      <c r="E732" s="705"/>
      <c r="F732" s="705"/>
    </row>
    <row r="733" spans="2:6" x14ac:dyDescent="0.3">
      <c r="B733" s="705"/>
      <c r="E733" s="705"/>
      <c r="F733" s="705"/>
    </row>
    <row r="734" spans="2:6" x14ac:dyDescent="0.3">
      <c r="B734" s="705"/>
      <c r="E734" s="705"/>
      <c r="F734" s="705"/>
    </row>
    <row r="735" spans="2:6" x14ac:dyDescent="0.3">
      <c r="B735" s="705"/>
      <c r="E735" s="705"/>
      <c r="F735" s="705"/>
    </row>
    <row r="736" spans="2:6" x14ac:dyDescent="0.3">
      <c r="B736" s="705"/>
      <c r="E736" s="705"/>
      <c r="F736" s="705"/>
    </row>
    <row r="737" spans="2:6" x14ac:dyDescent="0.3">
      <c r="B737" s="705"/>
      <c r="E737" s="705"/>
      <c r="F737" s="705"/>
    </row>
    <row r="738" spans="2:6" x14ac:dyDescent="0.3">
      <c r="B738" s="705"/>
      <c r="E738" s="705"/>
      <c r="F738" s="705"/>
    </row>
    <row r="739" spans="2:6" x14ac:dyDescent="0.3">
      <c r="B739" s="705"/>
      <c r="E739" s="705"/>
      <c r="F739" s="705"/>
    </row>
    <row r="740" spans="2:6" x14ac:dyDescent="0.3">
      <c r="B740" s="705"/>
      <c r="E740" s="705"/>
      <c r="F740" s="705"/>
    </row>
    <row r="741" spans="2:6" x14ac:dyDescent="0.3">
      <c r="B741" s="705"/>
      <c r="E741" s="705"/>
      <c r="F741" s="705"/>
    </row>
    <row r="742" spans="2:6" x14ac:dyDescent="0.3">
      <c r="B742" s="705"/>
      <c r="E742" s="705"/>
      <c r="F742" s="705"/>
    </row>
    <row r="743" spans="2:6" x14ac:dyDescent="0.3">
      <c r="B743" s="705"/>
      <c r="E743" s="705"/>
      <c r="F743" s="705"/>
    </row>
    <row r="744" spans="2:6" x14ac:dyDescent="0.3">
      <c r="B744" s="705"/>
      <c r="E744" s="705"/>
      <c r="F744" s="705"/>
    </row>
    <row r="745" spans="2:6" x14ac:dyDescent="0.3">
      <c r="B745" s="705"/>
      <c r="E745" s="705"/>
      <c r="F745" s="705"/>
    </row>
    <row r="746" spans="2:6" x14ac:dyDescent="0.3">
      <c r="B746" s="705"/>
      <c r="E746" s="705"/>
      <c r="F746" s="705"/>
    </row>
    <row r="747" spans="2:6" x14ac:dyDescent="0.3">
      <c r="B747" s="705"/>
      <c r="E747" s="705"/>
      <c r="F747" s="705"/>
    </row>
    <row r="748" spans="2:6" x14ac:dyDescent="0.3">
      <c r="B748" s="705"/>
      <c r="E748" s="705"/>
      <c r="F748" s="705"/>
    </row>
    <row r="749" spans="2:6" x14ac:dyDescent="0.3">
      <c r="B749" s="705"/>
      <c r="E749" s="705"/>
      <c r="F749" s="705"/>
    </row>
    <row r="750" spans="2:6" x14ac:dyDescent="0.3">
      <c r="B750" s="705"/>
      <c r="E750" s="705"/>
      <c r="F750" s="705"/>
    </row>
    <row r="751" spans="2:6" x14ac:dyDescent="0.3">
      <c r="B751" s="705"/>
      <c r="E751" s="705"/>
      <c r="F751" s="705"/>
    </row>
    <row r="752" spans="2:6" x14ac:dyDescent="0.3">
      <c r="B752" s="705"/>
      <c r="E752" s="705"/>
      <c r="F752" s="705"/>
    </row>
    <row r="753" spans="2:6" x14ac:dyDescent="0.3">
      <c r="B753" s="705"/>
      <c r="E753" s="705"/>
      <c r="F753" s="705"/>
    </row>
    <row r="754" spans="2:6" x14ac:dyDescent="0.3">
      <c r="B754" s="705"/>
      <c r="E754" s="705"/>
      <c r="F754" s="705"/>
    </row>
    <row r="755" spans="2:6" x14ac:dyDescent="0.3">
      <c r="B755" s="705"/>
      <c r="E755" s="705"/>
      <c r="F755" s="705"/>
    </row>
    <row r="756" spans="2:6" x14ac:dyDescent="0.3">
      <c r="B756" s="705"/>
      <c r="E756" s="705"/>
      <c r="F756" s="705"/>
    </row>
    <row r="757" spans="2:6" x14ac:dyDescent="0.3">
      <c r="B757" s="705"/>
      <c r="E757" s="705"/>
      <c r="F757" s="705"/>
    </row>
    <row r="758" spans="2:6" x14ac:dyDescent="0.3">
      <c r="B758" s="705"/>
      <c r="E758" s="705"/>
      <c r="F758" s="705"/>
    </row>
    <row r="759" spans="2:6" x14ac:dyDescent="0.3">
      <c r="B759" s="705"/>
      <c r="E759" s="705"/>
      <c r="F759" s="705"/>
    </row>
    <row r="760" spans="2:6" x14ac:dyDescent="0.3">
      <c r="B760" s="705"/>
      <c r="E760" s="705"/>
      <c r="F760" s="705"/>
    </row>
    <row r="761" spans="2:6" x14ac:dyDescent="0.3">
      <c r="B761" s="705"/>
      <c r="E761" s="705"/>
      <c r="F761" s="705"/>
    </row>
    <row r="762" spans="2:6" x14ac:dyDescent="0.3">
      <c r="B762" s="705"/>
      <c r="E762" s="705"/>
      <c r="F762" s="705"/>
    </row>
    <row r="763" spans="2:6" x14ac:dyDescent="0.3">
      <c r="B763" s="705"/>
      <c r="E763" s="705"/>
      <c r="F763" s="705"/>
    </row>
    <row r="764" spans="2:6" x14ac:dyDescent="0.3">
      <c r="B764" s="705"/>
      <c r="E764" s="705"/>
      <c r="F764" s="705"/>
    </row>
    <row r="765" spans="2:6" x14ac:dyDescent="0.3">
      <c r="B765" s="705"/>
      <c r="E765" s="705"/>
      <c r="F765" s="705"/>
    </row>
    <row r="766" spans="2:6" x14ac:dyDescent="0.3">
      <c r="B766" s="705"/>
      <c r="E766" s="705"/>
      <c r="F766" s="705"/>
    </row>
    <row r="767" spans="2:6" x14ac:dyDescent="0.3">
      <c r="B767" s="705"/>
      <c r="E767" s="705"/>
      <c r="F767" s="705"/>
    </row>
    <row r="768" spans="2:6" x14ac:dyDescent="0.3">
      <c r="B768" s="705"/>
      <c r="E768" s="705"/>
      <c r="F768" s="705"/>
    </row>
    <row r="769" spans="2:6" x14ac:dyDescent="0.3">
      <c r="B769" s="705"/>
      <c r="E769" s="705"/>
      <c r="F769" s="705"/>
    </row>
    <row r="770" spans="2:6" x14ac:dyDescent="0.3">
      <c r="B770" s="705"/>
      <c r="E770" s="705"/>
      <c r="F770" s="705"/>
    </row>
    <row r="771" spans="2:6" x14ac:dyDescent="0.3">
      <c r="B771" s="705"/>
      <c r="E771" s="705"/>
      <c r="F771" s="705"/>
    </row>
    <row r="772" spans="2:6" x14ac:dyDescent="0.3">
      <c r="B772" s="705"/>
      <c r="E772" s="705"/>
      <c r="F772" s="705"/>
    </row>
    <row r="773" spans="2:6" x14ac:dyDescent="0.3">
      <c r="B773" s="705"/>
      <c r="E773" s="705"/>
      <c r="F773" s="705"/>
    </row>
    <row r="774" spans="2:6" x14ac:dyDescent="0.3">
      <c r="B774" s="705"/>
      <c r="E774" s="705"/>
      <c r="F774" s="705"/>
    </row>
    <row r="775" spans="2:6" x14ac:dyDescent="0.3">
      <c r="B775" s="705"/>
      <c r="E775" s="705"/>
      <c r="F775" s="705"/>
    </row>
    <row r="776" spans="2:6" x14ac:dyDescent="0.3">
      <c r="B776" s="705"/>
      <c r="E776" s="705"/>
      <c r="F776" s="705"/>
    </row>
    <row r="777" spans="2:6" x14ac:dyDescent="0.3">
      <c r="B777" s="705"/>
      <c r="E777" s="705"/>
      <c r="F777" s="705"/>
    </row>
    <row r="778" spans="2:6" x14ac:dyDescent="0.3">
      <c r="B778" s="705"/>
      <c r="E778" s="705"/>
      <c r="F778" s="705"/>
    </row>
    <row r="779" spans="2:6" x14ac:dyDescent="0.3">
      <c r="B779" s="705"/>
      <c r="E779" s="705"/>
      <c r="F779" s="705"/>
    </row>
    <row r="780" spans="2:6" x14ac:dyDescent="0.3">
      <c r="B780" s="705"/>
      <c r="E780" s="705"/>
      <c r="F780" s="705"/>
    </row>
    <row r="781" spans="2:6" x14ac:dyDescent="0.3">
      <c r="B781" s="705"/>
      <c r="E781" s="705"/>
      <c r="F781" s="705"/>
    </row>
    <row r="782" spans="2:6" x14ac:dyDescent="0.3">
      <c r="B782" s="705"/>
      <c r="E782" s="705"/>
      <c r="F782" s="705"/>
    </row>
    <row r="783" spans="2:6" x14ac:dyDescent="0.3">
      <c r="B783" s="705"/>
      <c r="E783" s="705"/>
      <c r="F783" s="705"/>
    </row>
    <row r="784" spans="2:6" x14ac:dyDescent="0.3">
      <c r="B784" s="705"/>
      <c r="E784" s="705"/>
      <c r="F784" s="705"/>
    </row>
    <row r="785" spans="2:6" x14ac:dyDescent="0.3">
      <c r="B785" s="705"/>
      <c r="E785" s="705"/>
      <c r="F785" s="705"/>
    </row>
    <row r="786" spans="2:6" x14ac:dyDescent="0.3">
      <c r="B786" s="705"/>
      <c r="E786" s="705"/>
      <c r="F786" s="705"/>
    </row>
    <row r="787" spans="2:6" x14ac:dyDescent="0.3">
      <c r="B787" s="705"/>
      <c r="E787" s="705"/>
      <c r="F787" s="705"/>
    </row>
    <row r="788" spans="2:6" x14ac:dyDescent="0.3">
      <c r="B788" s="705"/>
      <c r="E788" s="705"/>
      <c r="F788" s="705"/>
    </row>
    <row r="789" spans="2:6" x14ac:dyDescent="0.3">
      <c r="B789" s="705"/>
      <c r="E789" s="705"/>
      <c r="F789" s="705"/>
    </row>
    <row r="790" spans="2:6" x14ac:dyDescent="0.3">
      <c r="B790" s="705"/>
      <c r="E790" s="705"/>
      <c r="F790" s="705"/>
    </row>
    <row r="791" spans="2:6" x14ac:dyDescent="0.3">
      <c r="B791" s="705"/>
      <c r="E791" s="705"/>
      <c r="F791" s="705"/>
    </row>
    <row r="792" spans="2:6" x14ac:dyDescent="0.3">
      <c r="B792" s="705"/>
      <c r="E792" s="705"/>
      <c r="F792" s="705"/>
    </row>
    <row r="793" spans="2:6" x14ac:dyDescent="0.3">
      <c r="B793" s="705"/>
      <c r="E793" s="705"/>
      <c r="F793" s="705"/>
    </row>
    <row r="794" spans="2:6" x14ac:dyDescent="0.3">
      <c r="B794" s="705"/>
      <c r="E794" s="705"/>
      <c r="F794" s="705"/>
    </row>
    <row r="795" spans="2:6" x14ac:dyDescent="0.3">
      <c r="B795" s="705"/>
      <c r="E795" s="705"/>
      <c r="F795" s="705"/>
    </row>
    <row r="796" spans="2:6" x14ac:dyDescent="0.3">
      <c r="B796" s="705"/>
      <c r="E796" s="705"/>
      <c r="F796" s="705"/>
    </row>
    <row r="797" spans="2:6" x14ac:dyDescent="0.3">
      <c r="B797" s="705"/>
      <c r="E797" s="705"/>
      <c r="F797" s="705"/>
    </row>
    <row r="798" spans="2:6" x14ac:dyDescent="0.3">
      <c r="B798" s="705"/>
      <c r="E798" s="705"/>
      <c r="F798" s="705"/>
    </row>
    <row r="799" spans="2:6" x14ac:dyDescent="0.3">
      <c r="B799" s="705"/>
      <c r="E799" s="705"/>
      <c r="F799" s="705"/>
    </row>
    <row r="800" spans="2:6" x14ac:dyDescent="0.3">
      <c r="B800" s="705"/>
      <c r="E800" s="705"/>
      <c r="F800" s="705"/>
    </row>
    <row r="801" spans="2:6" x14ac:dyDescent="0.3">
      <c r="B801" s="705"/>
      <c r="E801" s="705"/>
      <c r="F801" s="705"/>
    </row>
    <row r="802" spans="2:6" x14ac:dyDescent="0.3">
      <c r="B802" s="705"/>
      <c r="E802" s="705"/>
      <c r="F802" s="705"/>
    </row>
    <row r="803" spans="2:6" x14ac:dyDescent="0.3">
      <c r="B803" s="705"/>
      <c r="E803" s="705"/>
      <c r="F803" s="705"/>
    </row>
    <row r="804" spans="2:6" x14ac:dyDescent="0.3">
      <c r="B804" s="705"/>
      <c r="E804" s="705"/>
      <c r="F804" s="705"/>
    </row>
    <row r="805" spans="2:6" x14ac:dyDescent="0.3">
      <c r="B805" s="705"/>
      <c r="E805" s="705"/>
      <c r="F805" s="705"/>
    </row>
    <row r="806" spans="2:6" x14ac:dyDescent="0.3">
      <c r="B806" s="705"/>
      <c r="E806" s="705"/>
      <c r="F806" s="705"/>
    </row>
    <row r="807" spans="2:6" x14ac:dyDescent="0.3">
      <c r="B807" s="705"/>
      <c r="E807" s="705"/>
      <c r="F807" s="705"/>
    </row>
    <row r="808" spans="2:6" x14ac:dyDescent="0.3">
      <c r="B808" s="705"/>
      <c r="E808" s="705"/>
      <c r="F808" s="705"/>
    </row>
    <row r="809" spans="2:6" x14ac:dyDescent="0.3">
      <c r="B809" s="705"/>
      <c r="E809" s="705"/>
      <c r="F809" s="705"/>
    </row>
    <row r="810" spans="2:6" x14ac:dyDescent="0.3">
      <c r="B810" s="705"/>
      <c r="E810" s="705"/>
      <c r="F810" s="705"/>
    </row>
    <row r="811" spans="2:6" x14ac:dyDescent="0.3">
      <c r="B811" s="705"/>
      <c r="E811" s="705"/>
      <c r="F811" s="705"/>
    </row>
    <row r="812" spans="2:6" x14ac:dyDescent="0.3">
      <c r="B812" s="705"/>
      <c r="E812" s="705"/>
      <c r="F812" s="705"/>
    </row>
    <row r="813" spans="2:6" x14ac:dyDescent="0.3">
      <c r="B813" s="705"/>
      <c r="E813" s="705"/>
      <c r="F813" s="705"/>
    </row>
    <row r="814" spans="2:6" x14ac:dyDescent="0.3">
      <c r="B814" s="705"/>
      <c r="E814" s="705"/>
      <c r="F814" s="705"/>
    </row>
    <row r="815" spans="2:6" x14ac:dyDescent="0.3">
      <c r="B815" s="705"/>
      <c r="E815" s="705"/>
      <c r="F815" s="705"/>
    </row>
    <row r="816" spans="2:6" x14ac:dyDescent="0.3">
      <c r="B816" s="705"/>
      <c r="E816" s="705"/>
      <c r="F816" s="705"/>
    </row>
    <row r="817" spans="2:6" x14ac:dyDescent="0.3">
      <c r="B817" s="705"/>
      <c r="E817" s="705"/>
      <c r="F817" s="705"/>
    </row>
    <row r="818" spans="2:6" x14ac:dyDescent="0.3">
      <c r="B818" s="705"/>
      <c r="E818" s="705"/>
      <c r="F818" s="705"/>
    </row>
    <row r="819" spans="2:6" x14ac:dyDescent="0.3">
      <c r="B819" s="705"/>
      <c r="E819" s="705"/>
      <c r="F819" s="705"/>
    </row>
    <row r="820" spans="2:6" x14ac:dyDescent="0.3">
      <c r="B820" s="705"/>
      <c r="E820" s="705"/>
      <c r="F820" s="705"/>
    </row>
    <row r="821" spans="2:6" x14ac:dyDescent="0.3">
      <c r="B821" s="705"/>
      <c r="E821" s="705"/>
      <c r="F821" s="705"/>
    </row>
    <row r="822" spans="2:6" x14ac:dyDescent="0.3">
      <c r="B822" s="705"/>
      <c r="E822" s="705"/>
      <c r="F822" s="705"/>
    </row>
    <row r="823" spans="2:6" x14ac:dyDescent="0.3">
      <c r="B823" s="705"/>
      <c r="E823" s="705"/>
      <c r="F823" s="705"/>
    </row>
    <row r="824" spans="2:6" x14ac:dyDescent="0.3">
      <c r="B824" s="705"/>
      <c r="E824" s="705"/>
      <c r="F824" s="705"/>
    </row>
    <row r="825" spans="2:6" x14ac:dyDescent="0.3">
      <c r="B825" s="705"/>
      <c r="E825" s="705"/>
      <c r="F825" s="705"/>
    </row>
    <row r="826" spans="2:6" x14ac:dyDescent="0.3">
      <c r="B826" s="705"/>
      <c r="E826" s="705"/>
      <c r="F826" s="705"/>
    </row>
    <row r="827" spans="2:6" x14ac:dyDescent="0.3">
      <c r="B827" s="705"/>
      <c r="E827" s="705"/>
      <c r="F827" s="705"/>
    </row>
    <row r="828" spans="2:6" x14ac:dyDescent="0.3">
      <c r="B828" s="705"/>
      <c r="E828" s="705"/>
      <c r="F828" s="705"/>
    </row>
    <row r="829" spans="2:6" x14ac:dyDescent="0.3">
      <c r="B829" s="705"/>
      <c r="E829" s="705"/>
      <c r="F829" s="705"/>
    </row>
    <row r="830" spans="2:6" x14ac:dyDescent="0.3">
      <c r="B830" s="705"/>
      <c r="E830" s="705"/>
      <c r="F830" s="705"/>
    </row>
    <row r="831" spans="2:6" x14ac:dyDescent="0.3">
      <c r="B831" s="705"/>
      <c r="E831" s="705"/>
      <c r="F831" s="705"/>
    </row>
    <row r="832" spans="2:6" x14ac:dyDescent="0.3">
      <c r="B832" s="705"/>
      <c r="E832" s="705"/>
      <c r="F832" s="705"/>
    </row>
    <row r="833" spans="2:6" x14ac:dyDescent="0.3">
      <c r="B833" s="705"/>
      <c r="E833" s="705"/>
      <c r="F833" s="705"/>
    </row>
    <row r="834" spans="2:6" x14ac:dyDescent="0.3">
      <c r="B834" s="705"/>
      <c r="E834" s="705"/>
      <c r="F834" s="705"/>
    </row>
    <row r="835" spans="2:6" x14ac:dyDescent="0.3">
      <c r="B835" s="705"/>
      <c r="E835" s="705"/>
      <c r="F835" s="705"/>
    </row>
    <row r="836" spans="2:6" x14ac:dyDescent="0.3">
      <c r="B836" s="705"/>
      <c r="E836" s="705"/>
      <c r="F836" s="705"/>
    </row>
    <row r="837" spans="2:6" x14ac:dyDescent="0.3">
      <c r="B837" s="705"/>
      <c r="E837" s="705"/>
      <c r="F837" s="705"/>
    </row>
    <row r="838" spans="2:6" x14ac:dyDescent="0.3">
      <c r="B838" s="705"/>
      <c r="E838" s="705"/>
      <c r="F838" s="705"/>
    </row>
    <row r="839" spans="2:6" x14ac:dyDescent="0.3">
      <c r="B839" s="705"/>
      <c r="E839" s="705"/>
      <c r="F839" s="705"/>
    </row>
    <row r="840" spans="2:6" x14ac:dyDescent="0.3">
      <c r="B840" s="705"/>
      <c r="E840" s="705"/>
      <c r="F840" s="705"/>
    </row>
    <row r="841" spans="2:6" x14ac:dyDescent="0.3">
      <c r="B841" s="705"/>
      <c r="E841" s="705"/>
      <c r="F841" s="705"/>
    </row>
    <row r="842" spans="2:6" x14ac:dyDescent="0.3">
      <c r="B842" s="705"/>
      <c r="E842" s="705"/>
      <c r="F842" s="705"/>
    </row>
    <row r="843" spans="2:6" x14ac:dyDescent="0.3">
      <c r="B843" s="705"/>
      <c r="E843" s="705"/>
      <c r="F843" s="705"/>
    </row>
    <row r="844" spans="2:6" x14ac:dyDescent="0.3">
      <c r="B844" s="705"/>
      <c r="E844" s="705"/>
      <c r="F844" s="705"/>
    </row>
    <row r="845" spans="2:6" x14ac:dyDescent="0.3">
      <c r="B845" s="705"/>
      <c r="E845" s="705"/>
      <c r="F845" s="705"/>
    </row>
    <row r="846" spans="2:6" x14ac:dyDescent="0.3">
      <c r="B846" s="705"/>
      <c r="E846" s="705"/>
      <c r="F846" s="705"/>
    </row>
    <row r="847" spans="2:6" x14ac:dyDescent="0.3">
      <c r="B847" s="705"/>
      <c r="E847" s="705"/>
      <c r="F847" s="705"/>
    </row>
    <row r="848" spans="2:6" x14ac:dyDescent="0.3">
      <c r="B848" s="705"/>
      <c r="E848" s="705"/>
      <c r="F848" s="705"/>
    </row>
    <row r="849" spans="2:6" x14ac:dyDescent="0.3">
      <c r="B849" s="705"/>
      <c r="E849" s="705"/>
      <c r="F849" s="705"/>
    </row>
    <row r="850" spans="2:6" x14ac:dyDescent="0.3">
      <c r="B850" s="705"/>
      <c r="E850" s="705"/>
      <c r="F850" s="705"/>
    </row>
    <row r="851" spans="2:6" x14ac:dyDescent="0.3">
      <c r="B851" s="705"/>
      <c r="E851" s="705"/>
      <c r="F851" s="705"/>
    </row>
    <row r="852" spans="2:6" x14ac:dyDescent="0.3">
      <c r="B852" s="705"/>
      <c r="E852" s="705"/>
      <c r="F852" s="705"/>
    </row>
    <row r="853" spans="2:6" x14ac:dyDescent="0.3">
      <c r="B853" s="705"/>
      <c r="E853" s="705"/>
      <c r="F853" s="705"/>
    </row>
    <row r="854" spans="2:6" x14ac:dyDescent="0.3">
      <c r="B854" s="705"/>
      <c r="E854" s="705"/>
      <c r="F854" s="705"/>
    </row>
    <row r="855" spans="2:6" x14ac:dyDescent="0.3">
      <c r="B855" s="705"/>
      <c r="E855" s="705"/>
      <c r="F855" s="705"/>
    </row>
    <row r="856" spans="2:6" x14ac:dyDescent="0.3">
      <c r="B856" s="705"/>
      <c r="E856" s="705"/>
      <c r="F856" s="705"/>
    </row>
    <row r="857" spans="2:6" x14ac:dyDescent="0.3">
      <c r="B857" s="705"/>
      <c r="E857" s="705"/>
      <c r="F857" s="705"/>
    </row>
    <row r="858" spans="2:6" x14ac:dyDescent="0.3">
      <c r="B858" s="705"/>
      <c r="E858" s="705"/>
      <c r="F858" s="705"/>
    </row>
    <row r="859" spans="2:6" x14ac:dyDescent="0.3">
      <c r="B859" s="705"/>
      <c r="E859" s="705"/>
      <c r="F859" s="705"/>
    </row>
    <row r="860" spans="2:6" x14ac:dyDescent="0.3">
      <c r="B860" s="705"/>
      <c r="E860" s="705"/>
      <c r="F860" s="705"/>
    </row>
    <row r="861" spans="2:6" x14ac:dyDescent="0.3">
      <c r="B861" s="705"/>
      <c r="E861" s="705"/>
      <c r="F861" s="705"/>
    </row>
    <row r="862" spans="2:6" x14ac:dyDescent="0.3">
      <c r="B862" s="705"/>
      <c r="E862" s="705"/>
      <c r="F862" s="705"/>
    </row>
    <row r="863" spans="2:6" x14ac:dyDescent="0.3">
      <c r="B863" s="705"/>
      <c r="E863" s="705"/>
      <c r="F863" s="705"/>
    </row>
    <row r="864" spans="2:6" x14ac:dyDescent="0.3">
      <c r="B864" s="705"/>
      <c r="E864" s="705"/>
      <c r="F864" s="705"/>
    </row>
    <row r="865" spans="2:6" x14ac:dyDescent="0.3">
      <c r="B865" s="705"/>
      <c r="E865" s="705"/>
      <c r="F865" s="705"/>
    </row>
    <row r="866" spans="2:6" x14ac:dyDescent="0.3">
      <c r="B866" s="705"/>
      <c r="E866" s="705"/>
      <c r="F866" s="705"/>
    </row>
    <row r="867" spans="2:6" x14ac:dyDescent="0.3">
      <c r="B867" s="705"/>
      <c r="E867" s="705"/>
      <c r="F867" s="705"/>
    </row>
    <row r="868" spans="2:6" x14ac:dyDescent="0.3">
      <c r="B868" s="705"/>
      <c r="E868" s="705"/>
      <c r="F868" s="705"/>
    </row>
    <row r="869" spans="2:6" x14ac:dyDescent="0.3">
      <c r="B869" s="705"/>
      <c r="E869" s="705"/>
      <c r="F869" s="705"/>
    </row>
    <row r="870" spans="2:6" x14ac:dyDescent="0.3">
      <c r="B870" s="705"/>
      <c r="E870" s="705"/>
      <c r="F870" s="705"/>
    </row>
    <row r="871" spans="2:6" x14ac:dyDescent="0.3">
      <c r="B871" s="705"/>
      <c r="E871" s="705"/>
      <c r="F871" s="705"/>
    </row>
    <row r="872" spans="2:6" x14ac:dyDescent="0.3">
      <c r="B872" s="705"/>
      <c r="E872" s="705"/>
      <c r="F872" s="705"/>
    </row>
    <row r="873" spans="2:6" x14ac:dyDescent="0.3">
      <c r="B873" s="705"/>
      <c r="E873" s="705"/>
      <c r="F873" s="705"/>
    </row>
    <row r="874" spans="2:6" x14ac:dyDescent="0.3">
      <c r="B874" s="705"/>
      <c r="E874" s="705"/>
      <c r="F874" s="705"/>
    </row>
    <row r="875" spans="2:6" x14ac:dyDescent="0.3">
      <c r="B875" s="705"/>
      <c r="E875" s="705"/>
      <c r="F875" s="705"/>
    </row>
    <row r="876" spans="2:6" x14ac:dyDescent="0.3">
      <c r="B876" s="705"/>
      <c r="E876" s="705"/>
      <c r="F876" s="705"/>
    </row>
    <row r="877" spans="2:6" x14ac:dyDescent="0.3">
      <c r="B877" s="705"/>
      <c r="E877" s="705"/>
      <c r="F877" s="705"/>
    </row>
    <row r="878" spans="2:6" x14ac:dyDescent="0.3">
      <c r="B878" s="705"/>
      <c r="E878" s="705"/>
      <c r="F878" s="705"/>
    </row>
    <row r="879" spans="2:6" x14ac:dyDescent="0.3">
      <c r="B879" s="705"/>
      <c r="E879" s="705"/>
      <c r="F879" s="705"/>
    </row>
    <row r="880" spans="2:6" x14ac:dyDescent="0.3">
      <c r="B880" s="705"/>
      <c r="E880" s="705"/>
      <c r="F880" s="705"/>
    </row>
    <row r="881" spans="2:6" x14ac:dyDescent="0.3">
      <c r="B881" s="705"/>
      <c r="E881" s="705"/>
      <c r="F881" s="705"/>
    </row>
    <row r="882" spans="2:6" x14ac:dyDescent="0.3">
      <c r="B882" s="705"/>
      <c r="E882" s="705"/>
      <c r="F882" s="705"/>
    </row>
    <row r="883" spans="2:6" x14ac:dyDescent="0.3">
      <c r="B883" s="705"/>
      <c r="E883" s="705"/>
      <c r="F883" s="705"/>
    </row>
    <row r="884" spans="2:6" x14ac:dyDescent="0.3">
      <c r="B884" s="705"/>
      <c r="E884" s="705"/>
      <c r="F884" s="705"/>
    </row>
    <row r="885" spans="2:6" x14ac:dyDescent="0.3">
      <c r="B885" s="705"/>
      <c r="E885" s="705"/>
      <c r="F885" s="705"/>
    </row>
    <row r="886" spans="2:6" x14ac:dyDescent="0.3">
      <c r="B886" s="705"/>
      <c r="E886" s="705"/>
      <c r="F886" s="705"/>
    </row>
    <row r="887" spans="2:6" x14ac:dyDescent="0.3">
      <c r="B887" s="705"/>
      <c r="E887" s="705"/>
      <c r="F887" s="705"/>
    </row>
    <row r="888" spans="2:6" x14ac:dyDescent="0.3">
      <c r="B888" s="705"/>
      <c r="E888" s="705"/>
      <c r="F888" s="705"/>
    </row>
    <row r="889" spans="2:6" x14ac:dyDescent="0.3">
      <c r="B889" s="705"/>
      <c r="E889" s="705"/>
      <c r="F889" s="705"/>
    </row>
    <row r="890" spans="2:6" x14ac:dyDescent="0.3">
      <c r="B890" s="705"/>
      <c r="E890" s="705"/>
      <c r="F890" s="705"/>
    </row>
    <row r="891" spans="2:6" x14ac:dyDescent="0.3">
      <c r="B891" s="705"/>
      <c r="E891" s="705"/>
      <c r="F891" s="705"/>
    </row>
    <row r="892" spans="2:6" x14ac:dyDescent="0.3">
      <c r="B892" s="705"/>
      <c r="E892" s="705"/>
      <c r="F892" s="705"/>
    </row>
    <row r="893" spans="2:6" x14ac:dyDescent="0.3">
      <c r="B893" s="705"/>
      <c r="E893" s="705"/>
      <c r="F893" s="705"/>
    </row>
    <row r="894" spans="2:6" x14ac:dyDescent="0.3">
      <c r="B894" s="705"/>
      <c r="E894" s="705"/>
      <c r="F894" s="705"/>
    </row>
    <row r="895" spans="2:6" x14ac:dyDescent="0.3">
      <c r="B895" s="705"/>
      <c r="E895" s="705"/>
      <c r="F895" s="705"/>
    </row>
    <row r="896" spans="2:6" x14ac:dyDescent="0.3">
      <c r="B896" s="705"/>
      <c r="E896" s="705"/>
      <c r="F896" s="705"/>
    </row>
    <row r="897" spans="2:6" x14ac:dyDescent="0.3">
      <c r="B897" s="705"/>
      <c r="E897" s="705"/>
      <c r="F897" s="705"/>
    </row>
    <row r="898" spans="2:6" x14ac:dyDescent="0.3">
      <c r="B898" s="705"/>
      <c r="E898" s="705"/>
      <c r="F898" s="705"/>
    </row>
    <row r="899" spans="2:6" x14ac:dyDescent="0.3">
      <c r="B899" s="705"/>
      <c r="E899" s="705"/>
      <c r="F899" s="705"/>
    </row>
    <row r="900" spans="2:6" x14ac:dyDescent="0.3">
      <c r="B900" s="705"/>
      <c r="E900" s="705"/>
      <c r="F900" s="705"/>
    </row>
    <row r="901" spans="2:6" x14ac:dyDescent="0.3">
      <c r="B901" s="705"/>
      <c r="E901" s="705"/>
      <c r="F901" s="705"/>
    </row>
    <row r="902" spans="2:6" x14ac:dyDescent="0.3">
      <c r="B902" s="705"/>
      <c r="E902" s="705"/>
      <c r="F902" s="705"/>
    </row>
    <row r="903" spans="2:6" x14ac:dyDescent="0.3">
      <c r="B903" s="705"/>
      <c r="E903" s="705"/>
      <c r="F903" s="705"/>
    </row>
    <row r="904" spans="2:6" x14ac:dyDescent="0.3">
      <c r="B904" s="705"/>
      <c r="E904" s="705"/>
      <c r="F904" s="705"/>
    </row>
    <row r="905" spans="2:6" x14ac:dyDescent="0.3">
      <c r="B905" s="705"/>
      <c r="E905" s="705"/>
      <c r="F905" s="705"/>
    </row>
    <row r="906" spans="2:6" x14ac:dyDescent="0.3">
      <c r="B906" s="705"/>
      <c r="E906" s="705"/>
      <c r="F906" s="705"/>
    </row>
    <row r="907" spans="2:6" x14ac:dyDescent="0.3">
      <c r="B907" s="705"/>
      <c r="E907" s="705"/>
      <c r="F907" s="705"/>
    </row>
    <row r="908" spans="2:6" x14ac:dyDescent="0.3">
      <c r="B908" s="705"/>
      <c r="E908" s="705"/>
      <c r="F908" s="705"/>
    </row>
    <row r="909" spans="2:6" x14ac:dyDescent="0.3">
      <c r="B909" s="705"/>
      <c r="E909" s="705"/>
      <c r="F909" s="705"/>
    </row>
    <row r="910" spans="2:6" x14ac:dyDescent="0.3">
      <c r="B910" s="705"/>
      <c r="E910" s="705"/>
      <c r="F910" s="705"/>
    </row>
    <row r="911" spans="2:6" x14ac:dyDescent="0.3">
      <c r="B911" s="705"/>
      <c r="E911" s="705"/>
      <c r="F911" s="705"/>
    </row>
    <row r="912" spans="2:6" x14ac:dyDescent="0.3">
      <c r="B912" s="705"/>
      <c r="E912" s="705"/>
      <c r="F912" s="705"/>
    </row>
    <row r="913" spans="2:6" x14ac:dyDescent="0.3">
      <c r="B913" s="705"/>
      <c r="E913" s="705"/>
      <c r="F913" s="705"/>
    </row>
    <row r="914" spans="2:6" x14ac:dyDescent="0.3">
      <c r="B914" s="705"/>
      <c r="E914" s="705"/>
      <c r="F914" s="705"/>
    </row>
    <row r="915" spans="2:6" x14ac:dyDescent="0.3">
      <c r="B915" s="705"/>
      <c r="E915" s="705"/>
      <c r="F915" s="705"/>
    </row>
    <row r="916" spans="2:6" x14ac:dyDescent="0.3">
      <c r="B916" s="705"/>
      <c r="E916" s="705"/>
      <c r="F916" s="705"/>
    </row>
    <row r="917" spans="2:6" x14ac:dyDescent="0.3">
      <c r="B917" s="705"/>
      <c r="E917" s="705"/>
      <c r="F917" s="705"/>
    </row>
    <row r="918" spans="2:6" x14ac:dyDescent="0.3">
      <c r="B918" s="705"/>
      <c r="E918" s="705"/>
      <c r="F918" s="705"/>
    </row>
    <row r="919" spans="2:6" x14ac:dyDescent="0.3">
      <c r="B919" s="705"/>
      <c r="E919" s="705"/>
      <c r="F919" s="705"/>
    </row>
    <row r="920" spans="2:6" x14ac:dyDescent="0.3">
      <c r="B920" s="705"/>
      <c r="E920" s="705"/>
      <c r="F920" s="705"/>
    </row>
    <row r="921" spans="2:6" x14ac:dyDescent="0.3">
      <c r="B921" s="705"/>
      <c r="E921" s="705"/>
      <c r="F921" s="705"/>
    </row>
    <row r="922" spans="2:6" x14ac:dyDescent="0.3">
      <c r="B922" s="705"/>
      <c r="E922" s="705"/>
      <c r="F922" s="705"/>
    </row>
    <row r="923" spans="2:6" x14ac:dyDescent="0.3">
      <c r="B923" s="705"/>
      <c r="E923" s="705"/>
      <c r="F923" s="705"/>
    </row>
    <row r="924" spans="2:6" x14ac:dyDescent="0.3">
      <c r="B924" s="705"/>
      <c r="E924" s="705"/>
      <c r="F924" s="705"/>
    </row>
    <row r="925" spans="2:6" x14ac:dyDescent="0.3">
      <c r="B925" s="705"/>
      <c r="E925" s="705"/>
      <c r="F925" s="705"/>
    </row>
    <row r="926" spans="2:6" x14ac:dyDescent="0.3">
      <c r="B926" s="705"/>
      <c r="E926" s="705"/>
      <c r="F926" s="705"/>
    </row>
    <row r="927" spans="2:6" x14ac:dyDescent="0.3">
      <c r="B927" s="705"/>
      <c r="E927" s="705"/>
      <c r="F927" s="705"/>
    </row>
    <row r="928" spans="2:6" x14ac:dyDescent="0.3">
      <c r="B928" s="705"/>
      <c r="E928" s="705"/>
      <c r="F928" s="705"/>
    </row>
    <row r="929" spans="2:6" x14ac:dyDescent="0.3">
      <c r="B929" s="705"/>
      <c r="E929" s="705"/>
      <c r="F929" s="705"/>
    </row>
    <row r="930" spans="2:6" x14ac:dyDescent="0.3">
      <c r="B930" s="705"/>
      <c r="E930" s="705"/>
      <c r="F930" s="705"/>
    </row>
    <row r="931" spans="2:6" x14ac:dyDescent="0.3">
      <c r="B931" s="705"/>
      <c r="E931" s="705"/>
      <c r="F931" s="705"/>
    </row>
    <row r="932" spans="2:6" x14ac:dyDescent="0.3">
      <c r="B932" s="705"/>
      <c r="E932" s="705"/>
      <c r="F932" s="705"/>
    </row>
    <row r="933" spans="2:6" x14ac:dyDescent="0.3">
      <c r="B933" s="705"/>
      <c r="E933" s="705"/>
      <c r="F933" s="705"/>
    </row>
    <row r="934" spans="2:6" x14ac:dyDescent="0.3">
      <c r="B934" s="705"/>
      <c r="E934" s="705"/>
      <c r="F934" s="705"/>
    </row>
    <row r="935" spans="2:6" x14ac:dyDescent="0.3">
      <c r="B935" s="705"/>
      <c r="E935" s="705"/>
      <c r="F935" s="705"/>
    </row>
    <row r="936" spans="2:6" x14ac:dyDescent="0.3">
      <c r="B936" s="705"/>
      <c r="E936" s="705"/>
      <c r="F936" s="705"/>
    </row>
    <row r="937" spans="2:6" x14ac:dyDescent="0.3">
      <c r="B937" s="705"/>
      <c r="E937" s="705"/>
      <c r="F937" s="705"/>
    </row>
    <row r="938" spans="2:6" x14ac:dyDescent="0.3">
      <c r="B938" s="705"/>
      <c r="E938" s="705"/>
      <c r="F938" s="705"/>
    </row>
    <row r="939" spans="2:6" x14ac:dyDescent="0.3">
      <c r="B939" s="705"/>
      <c r="E939" s="705"/>
      <c r="F939" s="705"/>
    </row>
    <row r="940" spans="2:6" x14ac:dyDescent="0.3">
      <c r="B940" s="705"/>
      <c r="E940" s="705"/>
      <c r="F940" s="705"/>
    </row>
    <row r="941" spans="2:6" x14ac:dyDescent="0.3">
      <c r="B941" s="705"/>
      <c r="E941" s="705"/>
      <c r="F941" s="705"/>
    </row>
    <row r="942" spans="2:6" x14ac:dyDescent="0.3">
      <c r="B942" s="705"/>
      <c r="E942" s="705"/>
      <c r="F942" s="705"/>
    </row>
    <row r="943" spans="2:6" x14ac:dyDescent="0.3">
      <c r="B943" s="705"/>
      <c r="E943" s="705"/>
      <c r="F943" s="705"/>
    </row>
    <row r="944" spans="2:6" x14ac:dyDescent="0.3">
      <c r="B944" s="705"/>
      <c r="E944" s="705"/>
      <c r="F944" s="705"/>
    </row>
    <row r="945" spans="2:6" x14ac:dyDescent="0.3">
      <c r="B945" s="705"/>
      <c r="E945" s="705"/>
      <c r="F945" s="705"/>
    </row>
    <row r="946" spans="2:6" x14ac:dyDescent="0.3">
      <c r="B946" s="705"/>
      <c r="E946" s="705"/>
      <c r="F946" s="705"/>
    </row>
    <row r="947" spans="2:6" x14ac:dyDescent="0.3">
      <c r="B947" s="705"/>
      <c r="E947" s="705"/>
      <c r="F947" s="705"/>
    </row>
    <row r="948" spans="2:6" x14ac:dyDescent="0.3">
      <c r="B948" s="705"/>
      <c r="E948" s="705"/>
      <c r="F948" s="705"/>
    </row>
    <row r="949" spans="2:6" x14ac:dyDescent="0.3">
      <c r="B949" s="705"/>
      <c r="E949" s="705"/>
      <c r="F949" s="705"/>
    </row>
    <row r="950" spans="2:6" x14ac:dyDescent="0.3">
      <c r="B950" s="705"/>
      <c r="E950" s="705"/>
      <c r="F950" s="705"/>
    </row>
    <row r="951" spans="2:6" x14ac:dyDescent="0.3">
      <c r="B951" s="705"/>
      <c r="E951" s="705"/>
      <c r="F951" s="705"/>
    </row>
    <row r="952" spans="2:6" x14ac:dyDescent="0.3">
      <c r="B952" s="705"/>
      <c r="E952" s="705"/>
      <c r="F952" s="705"/>
    </row>
    <row r="953" spans="2:6" x14ac:dyDescent="0.3">
      <c r="B953" s="705"/>
      <c r="E953" s="705"/>
      <c r="F953" s="705"/>
    </row>
    <row r="954" spans="2:6" x14ac:dyDescent="0.3">
      <c r="B954" s="705"/>
      <c r="E954" s="705"/>
      <c r="F954" s="705"/>
    </row>
    <row r="955" spans="2:6" x14ac:dyDescent="0.3">
      <c r="B955" s="705"/>
      <c r="E955" s="705"/>
      <c r="F955" s="705"/>
    </row>
    <row r="956" spans="2:6" x14ac:dyDescent="0.3">
      <c r="B956" s="705"/>
      <c r="E956" s="705"/>
      <c r="F956" s="705"/>
    </row>
    <row r="957" spans="2:6" x14ac:dyDescent="0.3">
      <c r="B957" s="705"/>
      <c r="E957" s="705"/>
      <c r="F957" s="705"/>
    </row>
    <row r="958" spans="2:6" x14ac:dyDescent="0.3">
      <c r="B958" s="705"/>
      <c r="E958" s="705"/>
      <c r="F958" s="705"/>
    </row>
    <row r="959" spans="2:6" x14ac:dyDescent="0.3">
      <c r="B959" s="705"/>
      <c r="E959" s="705"/>
      <c r="F959" s="705"/>
    </row>
    <row r="960" spans="2:6" x14ac:dyDescent="0.3">
      <c r="B960" s="705"/>
      <c r="E960" s="705"/>
      <c r="F960" s="705"/>
    </row>
    <row r="961" spans="2:6" x14ac:dyDescent="0.3">
      <c r="B961" s="705"/>
      <c r="E961" s="705"/>
      <c r="F961" s="705"/>
    </row>
    <row r="962" spans="2:6" x14ac:dyDescent="0.3">
      <c r="B962" s="705"/>
      <c r="E962" s="705"/>
      <c r="F962" s="705"/>
    </row>
    <row r="963" spans="2:6" x14ac:dyDescent="0.3">
      <c r="B963" s="705"/>
      <c r="E963" s="705"/>
      <c r="F963" s="705"/>
    </row>
    <row r="964" spans="2:6" x14ac:dyDescent="0.3">
      <c r="B964" s="705"/>
      <c r="E964" s="705"/>
      <c r="F964" s="705"/>
    </row>
    <row r="965" spans="2:6" x14ac:dyDescent="0.3">
      <c r="B965" s="705"/>
      <c r="E965" s="705"/>
      <c r="F965" s="705"/>
    </row>
    <row r="966" spans="2:6" x14ac:dyDescent="0.3">
      <c r="B966" s="705"/>
      <c r="E966" s="705"/>
      <c r="F966" s="705"/>
    </row>
    <row r="967" spans="2:6" x14ac:dyDescent="0.3">
      <c r="B967" s="705"/>
      <c r="E967" s="705"/>
      <c r="F967" s="705"/>
    </row>
    <row r="968" spans="2:6" x14ac:dyDescent="0.3">
      <c r="B968" s="705"/>
      <c r="E968" s="705"/>
      <c r="F968" s="705"/>
    </row>
    <row r="969" spans="2:6" x14ac:dyDescent="0.3">
      <c r="B969" s="705"/>
      <c r="E969" s="705"/>
      <c r="F969" s="705"/>
    </row>
    <row r="970" spans="2:6" x14ac:dyDescent="0.3">
      <c r="B970" s="705"/>
      <c r="E970" s="705"/>
      <c r="F970" s="705"/>
    </row>
  </sheetData>
  <mergeCells count="9">
    <mergeCell ref="B84:H84"/>
    <mergeCell ref="R26:U26"/>
    <mergeCell ref="A2:A3"/>
    <mergeCell ref="B2:H2"/>
    <mergeCell ref="R25:U25"/>
    <mergeCell ref="N28:O28"/>
    <mergeCell ref="B62:H62"/>
    <mergeCell ref="B63:H63"/>
    <mergeCell ref="B83:H83"/>
  </mergeCells>
  <printOptions horizontalCentered="1"/>
  <pageMargins left="0.5" right="0.5" top="1" bottom="0.5" header="0.3" footer="0.511811023622047"/>
  <pageSetup paperSize="9" scale="18"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rgb="FFBF9000"/>
    <pageSetUpPr fitToPage="1"/>
  </sheetPr>
  <dimension ref="A1:AG95"/>
  <sheetViews>
    <sheetView topLeftCell="E17" zoomScale="70" zoomScaleNormal="70" workbookViewId="0">
      <selection activeCell="T28" sqref="S28:T30"/>
    </sheetView>
  </sheetViews>
  <sheetFormatPr defaultColWidth="12.5" defaultRowHeight="14" x14ac:dyDescent="0.3"/>
  <cols>
    <col min="1" max="1" width="16.33203125" style="1" customWidth="1"/>
    <col min="2" max="2" width="30.9140625" customWidth="1"/>
    <col min="3" max="3" width="16.9140625" customWidth="1"/>
    <col min="4" max="4" width="19" customWidth="1"/>
    <col min="5" max="5" width="16.1640625" customWidth="1"/>
    <col min="6" max="6" width="23.08203125" customWidth="1"/>
    <col min="7" max="7" width="25.1640625" customWidth="1"/>
    <col min="8" max="8" width="36.1640625" customWidth="1"/>
    <col min="9" max="9" width="18" customWidth="1"/>
    <col min="12" max="12" width="8.33203125" customWidth="1"/>
    <col min="13" max="16" width="4.6640625" customWidth="1"/>
    <col min="18" max="18" width="32" customWidth="1"/>
    <col min="23" max="23" width="29.4140625" customWidth="1"/>
    <col min="24" max="24" width="31.6640625" customWidth="1"/>
    <col min="28" max="28" width="6.75" customWidth="1"/>
  </cols>
  <sheetData>
    <row r="1" spans="1:33" ht="24" customHeight="1" x14ac:dyDescent="0.3">
      <c r="A1" s="80" t="s">
        <v>243</v>
      </c>
      <c r="B1" s="81">
        <v>1000</v>
      </c>
      <c r="C1" s="89" t="s">
        <v>325</v>
      </c>
      <c r="D1" s="90">
        <f>$S$30/J1</f>
        <v>29137.426900584793</v>
      </c>
      <c r="E1" s="91" t="s">
        <v>248</v>
      </c>
      <c r="F1" s="92" t="s">
        <v>326</v>
      </c>
      <c r="G1" s="91" t="s">
        <v>327</v>
      </c>
      <c r="H1" s="305">
        <f>H52</f>
        <v>19.930000000000003</v>
      </c>
      <c r="I1" s="93" t="s">
        <v>250</v>
      </c>
      <c r="J1" s="306">
        <v>0.68400000000000005</v>
      </c>
      <c r="K1" s="100"/>
      <c r="Y1" s="91" t="s">
        <v>479</v>
      </c>
      <c r="Z1" s="847">
        <v>18930</v>
      </c>
      <c r="AA1" s="91" t="s">
        <v>600</v>
      </c>
      <c r="AB1" s="847">
        <v>1000</v>
      </c>
      <c r="AC1" s="91" t="s">
        <v>587</v>
      </c>
      <c r="AD1" s="847">
        <v>128</v>
      </c>
    </row>
    <row r="2" spans="1:33" ht="12.75" customHeight="1" x14ac:dyDescent="0.3">
      <c r="A2" s="265"/>
      <c r="B2" s="1387" t="s">
        <v>328</v>
      </c>
      <c r="C2" s="1422"/>
      <c r="D2" s="1422"/>
      <c r="E2" s="1422"/>
      <c r="F2" s="1422"/>
      <c r="G2" s="1422"/>
      <c r="H2" s="1422"/>
      <c r="I2" s="1422"/>
      <c r="J2" s="1422"/>
      <c r="K2" s="1422"/>
      <c r="L2" s="293"/>
      <c r="M2" s="100"/>
      <c r="N2" s="100"/>
      <c r="AE2" s="1396"/>
      <c r="AF2" s="1422"/>
      <c r="AG2" s="1422"/>
    </row>
    <row r="3" spans="1:33" ht="12.75" customHeight="1" x14ac:dyDescent="0.3">
      <c r="A3" s="265"/>
      <c r="B3" s="1388"/>
      <c r="C3" s="1388"/>
      <c r="D3" s="1388"/>
      <c r="E3" s="1388"/>
      <c r="F3" s="1388"/>
      <c r="G3" s="1388"/>
      <c r="H3" s="1388"/>
      <c r="I3" s="1388"/>
      <c r="J3" s="1388"/>
      <c r="K3" s="1388"/>
      <c r="L3" s="293"/>
      <c r="M3" s="100"/>
      <c r="N3" s="100"/>
      <c r="AE3" s="1422"/>
      <c r="AF3" s="1422"/>
      <c r="AG3" s="1422"/>
    </row>
    <row r="4" spans="1:33" ht="46.5" customHeight="1" x14ac:dyDescent="0.3">
      <c r="A4" s="91" t="s">
        <v>1</v>
      </c>
      <c r="B4" s="91" t="s">
        <v>253</v>
      </c>
      <c r="C4" s="307" t="s">
        <v>329</v>
      </c>
      <c r="D4" s="91" t="s">
        <v>330</v>
      </c>
      <c r="E4" s="108" t="s">
        <v>331</v>
      </c>
      <c r="F4" s="108" t="s">
        <v>332</v>
      </c>
      <c r="G4" s="308" t="s">
        <v>333</v>
      </c>
      <c r="H4" s="109" t="s">
        <v>334</v>
      </c>
      <c r="I4" s="91" t="s">
        <v>258</v>
      </c>
      <c r="J4" s="91" t="s">
        <v>259</v>
      </c>
      <c r="K4" s="91" t="s">
        <v>260</v>
      </c>
      <c r="L4" s="91" t="s">
        <v>261</v>
      </c>
    </row>
    <row r="5" spans="1:33" ht="14.25" customHeight="1" x14ac:dyDescent="0.3">
      <c r="A5" s="158" t="s">
        <v>230</v>
      </c>
      <c r="B5" s="309" t="s">
        <v>229</v>
      </c>
      <c r="C5" s="124" t="s">
        <v>14</v>
      </c>
      <c r="D5" s="116">
        <f>I51/H51</f>
        <v>1461.988304093567</v>
      </c>
      <c r="E5" s="116">
        <f>I52/D5</f>
        <v>19.930000000000003</v>
      </c>
      <c r="F5" s="127">
        <v>1</v>
      </c>
      <c r="G5" s="119">
        <f>D5*E5</f>
        <v>29137.426900584793</v>
      </c>
      <c r="H5" s="119">
        <f>D1</f>
        <v>29137.426900584793</v>
      </c>
      <c r="I5" s="81">
        <f>VLOOKUP(B5,All_Ingredients!$A$1:$F$151,6,FALSE())</f>
        <v>0.86</v>
      </c>
      <c r="J5" s="119">
        <f>VLOOKUP(B5,All_Ingredients!$A$1:$J$151,10,FALSE())</f>
        <v>17.100000000000001</v>
      </c>
      <c r="K5" s="122">
        <f>(H5/I5)/1000</f>
        <v>33.880728954168362</v>
      </c>
      <c r="L5" s="122">
        <f>K5*J5</f>
        <v>579.36046511627899</v>
      </c>
    </row>
    <row r="6" spans="1:33" ht="14.25" customHeight="1" x14ac:dyDescent="0.3">
      <c r="A6" s="270" t="s">
        <v>97</v>
      </c>
      <c r="B6" s="22" t="s">
        <v>96</v>
      </c>
      <c r="C6" s="124" t="s">
        <v>14</v>
      </c>
      <c r="D6" s="125">
        <v>50</v>
      </c>
      <c r="E6" s="116">
        <f>$H$52</f>
        <v>19.930000000000003</v>
      </c>
      <c r="F6" s="127">
        <v>0.75</v>
      </c>
      <c r="G6" s="119">
        <f>D6*E6</f>
        <v>996.50000000000011</v>
      </c>
      <c r="H6" s="120">
        <f>G6*F6</f>
        <v>747.37500000000011</v>
      </c>
      <c r="I6" s="81">
        <f>VLOOKUP(B6,All_Ingredients!$A$1:$F$151,6,FALSE())</f>
        <v>1</v>
      </c>
      <c r="J6" s="119">
        <f>VLOOKUP(B6,All_Ingredients!$A$1:$J$151,10,FALSE())</f>
        <v>0.74</v>
      </c>
      <c r="K6" s="122">
        <f t="shared" ref="K6:K9" si="0">(H6/I6)/1000</f>
        <v>0.74737500000000012</v>
      </c>
      <c r="L6" s="122">
        <f t="shared" ref="L6:L9" si="1">K6*J6</f>
        <v>0.55305750000000009</v>
      </c>
    </row>
    <row r="7" spans="1:33" ht="14.25" customHeight="1" x14ac:dyDescent="0.3">
      <c r="A7" s="270" t="s">
        <v>220</v>
      </c>
      <c r="B7" s="22" t="s">
        <v>815</v>
      </c>
      <c r="C7" s="124" t="s">
        <v>14</v>
      </c>
      <c r="D7" s="125">
        <v>3</v>
      </c>
      <c r="E7" s="116">
        <f>$H$52</f>
        <v>19.930000000000003</v>
      </c>
      <c r="F7" s="127">
        <v>0.75</v>
      </c>
      <c r="G7" s="119">
        <f>D7*E7</f>
        <v>59.790000000000006</v>
      </c>
      <c r="H7" s="120">
        <f>G7*F7</f>
        <v>44.842500000000001</v>
      </c>
      <c r="I7" s="81">
        <f>VLOOKUP(B7,All_Ingredients!$A$1:$F$151,6,FALSE())</f>
        <v>1</v>
      </c>
      <c r="J7" s="119">
        <f>VLOOKUP(B7,All_Ingredients!$A$1:$J$151,10,FALSE())</f>
        <v>22.5</v>
      </c>
      <c r="K7" s="122">
        <f t="shared" si="0"/>
        <v>4.48425E-2</v>
      </c>
      <c r="L7" s="122">
        <f t="shared" si="1"/>
        <v>1.00895625</v>
      </c>
    </row>
    <row r="8" spans="1:33" ht="14.25" customHeight="1" x14ac:dyDescent="0.3">
      <c r="A8" s="270" t="s">
        <v>220</v>
      </c>
      <c r="B8" s="22" t="s">
        <v>221</v>
      </c>
      <c r="C8" s="124" t="s">
        <v>14</v>
      </c>
      <c r="D8" s="125">
        <v>3</v>
      </c>
      <c r="E8" s="116">
        <f>$H$52</f>
        <v>19.930000000000003</v>
      </c>
      <c r="F8" s="127">
        <v>0.9</v>
      </c>
      <c r="G8" s="119">
        <f>D8*E8</f>
        <v>59.790000000000006</v>
      </c>
      <c r="H8" s="120">
        <f>G8*F8</f>
        <v>53.811000000000007</v>
      </c>
      <c r="I8" s="81">
        <f>VLOOKUP(B8,All_Ingredients!$A$1:$F$151,6,FALSE())</f>
        <v>1</v>
      </c>
      <c r="J8" s="119">
        <f>VLOOKUP(B8,All_Ingredients!$A$1:$J$151,10,FALSE())</f>
        <v>35</v>
      </c>
      <c r="K8" s="122">
        <f t="shared" si="0"/>
        <v>5.3811000000000005E-2</v>
      </c>
      <c r="L8" s="122">
        <f t="shared" si="1"/>
        <v>1.8833850000000001</v>
      </c>
    </row>
    <row r="9" spans="1:33" ht="14.25" customHeight="1" x14ac:dyDescent="0.3">
      <c r="A9" s="270" t="s">
        <v>97</v>
      </c>
      <c r="B9" s="22" t="s">
        <v>108</v>
      </c>
      <c r="C9" s="124" t="s">
        <v>14</v>
      </c>
      <c r="D9" s="125">
        <v>5</v>
      </c>
      <c r="E9" s="116">
        <f>$H$52</f>
        <v>19.930000000000003</v>
      </c>
      <c r="F9" s="127">
        <v>0.8</v>
      </c>
      <c r="G9" s="119">
        <f>D9*E9</f>
        <v>99.65000000000002</v>
      </c>
      <c r="H9" s="120">
        <f>G9*F9</f>
        <v>79.720000000000027</v>
      </c>
      <c r="I9" s="81">
        <f>VLOOKUP(B9,All_Ingredients!$A$1:$F$151,6,FALSE())</f>
        <v>1</v>
      </c>
      <c r="J9" s="119">
        <f>VLOOKUP(B9,All_Ingredients!$A$1:$J$151,10,FALSE())</f>
        <v>15</v>
      </c>
      <c r="K9" s="122">
        <f t="shared" si="0"/>
        <v>7.9720000000000027E-2</v>
      </c>
      <c r="L9" s="122">
        <f t="shared" si="1"/>
        <v>1.1958000000000004</v>
      </c>
    </row>
    <row r="10" spans="1:33" ht="14.25" customHeight="1" x14ac:dyDescent="0.3">
      <c r="A10" s="100"/>
      <c r="B10" s="100"/>
      <c r="C10" s="100"/>
      <c r="D10" s="100"/>
      <c r="E10" s="100"/>
      <c r="F10" s="100"/>
      <c r="L10" s="209"/>
    </row>
    <row r="11" spans="1:33" ht="14.25" customHeight="1" x14ac:dyDescent="0.3">
      <c r="A11" s="100"/>
      <c r="B11" s="100"/>
      <c r="C11" s="100"/>
      <c r="D11" s="100"/>
      <c r="E11" s="100"/>
      <c r="F11" s="100"/>
      <c r="L11" s="209"/>
    </row>
    <row r="12" spans="1:33" ht="14.25" customHeight="1" x14ac:dyDescent="0.3">
      <c r="A12" s="100"/>
      <c r="B12" s="100"/>
      <c r="C12" s="100"/>
      <c r="D12" s="100"/>
      <c r="E12" s="100"/>
      <c r="F12" s="100"/>
      <c r="L12" s="209"/>
    </row>
    <row r="13" spans="1:33" ht="14.25" customHeight="1" x14ac:dyDescent="0.3">
      <c r="A13" s="100"/>
      <c r="F13" s="100"/>
      <c r="L13" s="209"/>
    </row>
    <row r="14" spans="1:33" ht="14.25" customHeight="1" x14ac:dyDescent="0.3">
      <c r="A14" s="100"/>
      <c r="F14" s="100"/>
      <c r="L14" s="209"/>
    </row>
    <row r="15" spans="1:33" ht="15" customHeight="1" x14ac:dyDescent="0.3">
      <c r="A15" s="100"/>
      <c r="F15" s="100"/>
    </row>
    <row r="16" spans="1:33" ht="14.25" customHeight="1" x14ac:dyDescent="0.3">
      <c r="A16" s="100"/>
      <c r="F16" s="100"/>
    </row>
    <row r="17" spans="1:29" ht="14.25" customHeight="1" x14ac:dyDescent="0.3">
      <c r="A17" s="100"/>
      <c r="F17" s="100"/>
    </row>
    <row r="18" spans="1:29" ht="14.25" customHeight="1" x14ac:dyDescent="0.3">
      <c r="A18" s="100"/>
      <c r="F18" s="100"/>
    </row>
    <row r="19" spans="1:29" ht="14.25" customHeight="1" x14ac:dyDescent="0.3">
      <c r="B19" s="100"/>
      <c r="E19" s="100"/>
      <c r="F19" s="100"/>
    </row>
    <row r="20" spans="1:29" ht="14.25" customHeight="1" x14ac:dyDescent="0.3">
      <c r="B20" s="100"/>
      <c r="E20" s="100"/>
      <c r="F20" s="100"/>
    </row>
    <row r="21" spans="1:29" ht="14.25" customHeight="1" x14ac:dyDescent="0.3"/>
    <row r="22" spans="1:29" ht="31.25" customHeight="1" x14ac:dyDescent="0.3"/>
    <row r="23" spans="1:29" ht="14.25" customHeight="1" x14ac:dyDescent="0.3"/>
    <row r="24" spans="1:29" ht="14.25" customHeight="1" x14ac:dyDescent="0.3"/>
    <row r="25" spans="1:29" ht="15.75" customHeight="1" x14ac:dyDescent="0.35">
      <c r="B25" s="100"/>
      <c r="D25" s="643"/>
      <c r="E25" s="100"/>
      <c r="F25" s="100"/>
      <c r="R25" s="1411" t="str">
        <f>B2</f>
        <v>Chicken Mandi - مندي دجاج</v>
      </c>
      <c r="S25" s="1388"/>
      <c r="T25" s="1388"/>
      <c r="Z25" s="141" t="s">
        <v>264</v>
      </c>
      <c r="AA25" s="142">
        <v>150</v>
      </c>
      <c r="AB25" s="141" t="s">
        <v>261</v>
      </c>
      <c r="AC25" s="143">
        <f>AC30*AA25</f>
        <v>4.5908119264364418</v>
      </c>
    </row>
    <row r="26" spans="1:29" ht="14.25" customHeight="1" x14ac:dyDescent="0.3">
      <c r="B26" s="100"/>
      <c r="E26" s="100"/>
      <c r="F26" s="100"/>
      <c r="R26" s="1409" t="s">
        <v>336</v>
      </c>
      <c r="S26" s="1410"/>
      <c r="T26" s="1410"/>
      <c r="AB26" s="14"/>
      <c r="AC26" s="14"/>
    </row>
    <row r="27" spans="1:29" ht="14.25" customHeight="1" thickBot="1" x14ac:dyDescent="0.35">
      <c r="B27" s="100"/>
      <c r="E27" s="100"/>
      <c r="F27" s="100"/>
      <c r="R27" s="145" t="s">
        <v>266</v>
      </c>
      <c r="S27" s="146" t="s">
        <v>267</v>
      </c>
      <c r="T27" s="146" t="s">
        <v>269</v>
      </c>
      <c r="Z27" s="141" t="s">
        <v>270</v>
      </c>
      <c r="AA27" s="147" t="s">
        <v>271</v>
      </c>
      <c r="AB27" s="147" t="s">
        <v>324</v>
      </c>
      <c r="AC27" s="147" t="s">
        <v>274</v>
      </c>
    </row>
    <row r="28" spans="1:29" ht="14.25" customHeight="1" thickBot="1" x14ac:dyDescent="0.35">
      <c r="B28" s="100"/>
      <c r="E28" s="100"/>
      <c r="F28" s="100"/>
      <c r="R28" s="148" t="s">
        <v>337</v>
      </c>
      <c r="S28" s="766">
        <f>$Z$1</f>
        <v>18930</v>
      </c>
      <c r="T28" s="760">
        <f>S28</f>
        <v>18930</v>
      </c>
      <c r="Z28" s="151"/>
      <c r="AA28" s="152">
        <f>AA25</f>
        <v>150</v>
      </c>
      <c r="AB28" s="152">
        <f>AA25-AA28</f>
        <v>0</v>
      </c>
      <c r="AC28" s="154">
        <f>SUM(AA28:AB28)</f>
        <v>150</v>
      </c>
    </row>
    <row r="29" spans="1:29" ht="14.25" customHeight="1" thickBot="1" x14ac:dyDescent="0.35">
      <c r="B29" s="100"/>
      <c r="E29" s="100"/>
      <c r="F29" s="100"/>
      <c r="R29" s="148" t="s">
        <v>338</v>
      </c>
      <c r="S29" s="788">
        <f>$AB$1</f>
        <v>1000</v>
      </c>
      <c r="T29" s="762">
        <f>S29</f>
        <v>1000</v>
      </c>
      <c r="Z29" s="151"/>
      <c r="AA29" s="156">
        <v>1</v>
      </c>
      <c r="AB29" s="320">
        <f>AB28/$AC$28</f>
        <v>0</v>
      </c>
      <c r="AC29" s="156">
        <f>AC28/$AC$28</f>
        <v>1</v>
      </c>
    </row>
    <row r="30" spans="1:29" ht="17.75" customHeight="1" thickBot="1" x14ac:dyDescent="0.35">
      <c r="B30" s="262"/>
      <c r="C30" s="262"/>
      <c r="D30" s="262"/>
      <c r="E30" s="262"/>
      <c r="F30" s="262"/>
      <c r="G30" s="262"/>
      <c r="H30" s="262"/>
      <c r="R30" s="160" t="s">
        <v>339</v>
      </c>
      <c r="S30" s="149">
        <f>S28+S29</f>
        <v>19930</v>
      </c>
      <c r="T30" s="149">
        <f>T28+T29</f>
        <v>19930</v>
      </c>
      <c r="Z30" s="141" t="s">
        <v>278</v>
      </c>
      <c r="AA30" s="157">
        <f>S33/(S28)</f>
        <v>3.0605412842909612E-2</v>
      </c>
      <c r="AB30" s="158">
        <f>SUM(L6:L9)/SUM(K6:K9)</f>
        <v>5.0134553283100107</v>
      </c>
      <c r="AC30" s="159">
        <f>SUMPRODUCT(AA30:AB30,AA29:AB29)</f>
        <v>3.0605412842909612E-2</v>
      </c>
    </row>
    <row r="31" spans="1:29" ht="17.75" customHeight="1" thickBot="1" x14ac:dyDescent="0.35">
      <c r="B31" s="262"/>
      <c r="C31" s="262"/>
      <c r="D31" s="262"/>
      <c r="E31" s="262"/>
      <c r="F31" s="262"/>
      <c r="G31" s="262"/>
      <c r="H31" s="262"/>
      <c r="R31" s="161" t="s">
        <v>280</v>
      </c>
      <c r="S31" s="155"/>
      <c r="T31" s="155"/>
    </row>
    <row r="32" spans="1:29" ht="14.25" customHeight="1" x14ac:dyDescent="0.3">
      <c r="R32" s="162" t="s">
        <v>281</v>
      </c>
      <c r="S32" s="155"/>
      <c r="T32" s="155"/>
    </row>
    <row r="33" spans="2:23" ht="14.25" customHeight="1" x14ac:dyDescent="0.3">
      <c r="R33" s="163" t="s">
        <v>261</v>
      </c>
      <c r="S33" s="164">
        <f>$L$5</f>
        <v>579.36046511627899</v>
      </c>
      <c r="T33" s="164">
        <f>S33</f>
        <v>579.36046511627899</v>
      </c>
    </row>
    <row r="35" spans="2:23" ht="15.5" x14ac:dyDescent="0.3">
      <c r="B35" s="1394" t="s">
        <v>712</v>
      </c>
      <c r="C35" s="1394"/>
      <c r="D35" s="1394"/>
      <c r="E35" s="1394"/>
      <c r="F35" s="1394"/>
      <c r="G35" s="882"/>
      <c r="H35" s="882"/>
      <c r="I35" s="889"/>
      <c r="J35" s="889"/>
      <c r="K35" s="889"/>
      <c r="L35" s="889"/>
    </row>
    <row r="36" spans="2:23" ht="46.5" x14ac:dyDescent="0.3">
      <c r="B36" s="860" t="s">
        <v>253</v>
      </c>
      <c r="C36" s="860" t="s">
        <v>329</v>
      </c>
      <c r="D36" s="862" t="s">
        <v>671</v>
      </c>
      <c r="E36" s="859" t="s">
        <v>672</v>
      </c>
      <c r="F36" s="862" t="s">
        <v>673</v>
      </c>
      <c r="G36" s="882"/>
      <c r="H36" s="862" t="s">
        <v>673</v>
      </c>
      <c r="I36" s="862" t="s">
        <v>258</v>
      </c>
      <c r="J36" s="862" t="s">
        <v>259</v>
      </c>
      <c r="K36" s="862" t="s">
        <v>260</v>
      </c>
      <c r="L36" s="862" t="s">
        <v>261</v>
      </c>
    </row>
    <row r="37" spans="2:23" x14ac:dyDescent="0.3">
      <c r="B37" s="855" t="s">
        <v>746</v>
      </c>
      <c r="C37" s="856" t="s">
        <v>14</v>
      </c>
      <c r="D37" s="857">
        <v>1</v>
      </c>
      <c r="E37" s="855">
        <f>$AD$1</f>
        <v>128</v>
      </c>
      <c r="F37" s="855">
        <f>D37*E37</f>
        <v>128</v>
      </c>
      <c r="G37" s="881"/>
      <c r="H37" s="855">
        <f>F37</f>
        <v>128</v>
      </c>
      <c r="I37" s="855">
        <f>VLOOKUP(B37,All_Ingredients!$A$1:$F$151,6,FALSE())</f>
        <v>0.65</v>
      </c>
      <c r="J37" s="855">
        <f>VLOOKUP(B37,All_Ingredients!$A$1:$J$151,10,FALSE())</f>
        <v>45</v>
      </c>
      <c r="K37" s="855">
        <f>(H37/I37)/1000</f>
        <v>0.1969230769230769</v>
      </c>
      <c r="L37" s="855">
        <f>K37*J37</f>
        <v>8.8615384615384603</v>
      </c>
    </row>
    <row r="38" spans="2:23" x14ac:dyDescent="0.3">
      <c r="B38" s="100"/>
      <c r="E38" s="100"/>
      <c r="F38" s="100"/>
    </row>
    <row r="40" spans="2:23" ht="14.25" customHeight="1" x14ac:dyDescent="0.3">
      <c r="Q40" s="14"/>
      <c r="R40" s="165" t="s">
        <v>340</v>
      </c>
      <c r="S40" s="239">
        <v>1</v>
      </c>
    </row>
    <row r="41" spans="2:23" ht="14.25" customHeight="1" x14ac:dyDescent="0.3">
      <c r="Q41" s="14"/>
      <c r="R41" s="14"/>
      <c r="S41" s="14"/>
      <c r="T41" s="14"/>
      <c r="U41" s="169"/>
      <c r="V41" s="14"/>
      <c r="W41" s="14"/>
    </row>
    <row r="42" spans="2:23" ht="14.25" customHeight="1" x14ac:dyDescent="0.3">
      <c r="Q42" s="14"/>
      <c r="R42" s="14"/>
      <c r="S42" s="14"/>
      <c r="T42" s="14"/>
      <c r="U42" s="14"/>
      <c r="V42" s="14"/>
      <c r="W42" s="14"/>
    </row>
    <row r="43" spans="2:23" ht="14.25" customHeight="1" x14ac:dyDescent="0.3">
      <c r="Q43" s="170" t="s">
        <v>284</v>
      </c>
      <c r="R43" s="170" t="s">
        <v>285</v>
      </c>
      <c r="S43" s="170" t="s">
        <v>286</v>
      </c>
      <c r="T43" s="170" t="s">
        <v>287</v>
      </c>
      <c r="U43" s="170" t="s">
        <v>288</v>
      </c>
      <c r="V43" s="170" t="s">
        <v>289</v>
      </c>
      <c r="W43" s="258" t="s">
        <v>341</v>
      </c>
    </row>
    <row r="44" spans="2:23" ht="14.25" customHeight="1" x14ac:dyDescent="0.3">
      <c r="Q44" s="172">
        <v>10000</v>
      </c>
      <c r="R44" s="173">
        <v>0</v>
      </c>
      <c r="S44" s="241">
        <v>0</v>
      </c>
      <c r="T44" s="241">
        <v>0</v>
      </c>
      <c r="U44" s="242">
        <f>R44*S44</f>
        <v>0</v>
      </c>
      <c r="V44" s="176">
        <f>R44*T44</f>
        <v>0</v>
      </c>
      <c r="W44" s="260">
        <f>Q44-U44</f>
        <v>10000</v>
      </c>
    </row>
    <row r="50" spans="1:10" ht="14.5" thickBot="1" x14ac:dyDescent="0.35">
      <c r="G50" s="146" t="s">
        <v>292</v>
      </c>
      <c r="H50" s="146" t="s">
        <v>245</v>
      </c>
      <c r="I50" s="146" t="s">
        <v>293</v>
      </c>
      <c r="J50" s="146" t="s">
        <v>294</v>
      </c>
    </row>
    <row r="51" spans="1:10" ht="14.5" thickBot="1" x14ac:dyDescent="0.35">
      <c r="G51" s="310" t="s">
        <v>335</v>
      </c>
      <c r="H51" s="311">
        <v>10</v>
      </c>
      <c r="I51" s="311">
        <f>J51/J1</f>
        <v>14619.883040935671</v>
      </c>
      <c r="J51" s="312">
        <f>$W$44</f>
        <v>10000</v>
      </c>
    </row>
    <row r="52" spans="1:10" x14ac:dyDescent="0.3">
      <c r="G52" s="162" t="s">
        <v>274</v>
      </c>
      <c r="H52" s="461">
        <f>E5</f>
        <v>19.930000000000003</v>
      </c>
      <c r="I52" s="462">
        <f>J52/$J$1</f>
        <v>29137.426900584793</v>
      </c>
      <c r="J52" s="315">
        <f>$S$30</f>
        <v>19930</v>
      </c>
    </row>
    <row r="53" spans="1:10" x14ac:dyDescent="0.3">
      <c r="D53" s="492"/>
      <c r="G53" s="148" t="s">
        <v>296</v>
      </c>
      <c r="H53" s="463">
        <f>MIN($H$52, H51)</f>
        <v>10</v>
      </c>
      <c r="I53" s="176">
        <f>J53/$J$1</f>
        <v>14619.883040935671</v>
      </c>
      <c r="J53" s="317">
        <f>MIN(MAX($J$52,0),$J$51)</f>
        <v>10000</v>
      </c>
    </row>
    <row r="54" spans="1:10" x14ac:dyDescent="0.3">
      <c r="D54" s="492"/>
      <c r="G54" s="148" t="s">
        <v>297</v>
      </c>
      <c r="H54" s="464">
        <f>MIN(MAX($H$52-H53,0),H51)</f>
        <v>9.9300000000000033</v>
      </c>
      <c r="I54" s="176">
        <f>J54/$J$1</f>
        <v>14517.543859649122</v>
      </c>
      <c r="J54" s="184">
        <f>MIN(MAX($J$52-J53,0),$J$51)</f>
        <v>9930</v>
      </c>
    </row>
    <row r="55" spans="1:10" x14ac:dyDescent="0.3">
      <c r="D55" s="492"/>
      <c r="G55" s="145" t="s">
        <v>298</v>
      </c>
      <c r="H55" s="464">
        <f>MIN(MAX($H$52-H53-H54,0),H51)</f>
        <v>0</v>
      </c>
      <c r="I55" s="176">
        <f>J55/$J$1</f>
        <v>0</v>
      </c>
      <c r="J55" s="317">
        <f>MIN(MAX($J$52-J53-J54,0),$J$51)</f>
        <v>0</v>
      </c>
    </row>
    <row r="62" spans="1:10" ht="17.75" customHeight="1" x14ac:dyDescent="0.3">
      <c r="A62" s="322"/>
      <c r="B62" s="1413" t="str">
        <f>"دجاج مندى 1 / " &amp; COUNTIF($H$53:$H$55, "&gt;0")</f>
        <v>دجاج مندى 1 / 2</v>
      </c>
      <c r="C62" s="1421"/>
      <c r="D62" s="1421"/>
      <c r="E62" s="1421"/>
      <c r="F62" s="1421"/>
      <c r="G62" s="1421"/>
      <c r="H62" s="1421"/>
    </row>
    <row r="63" spans="1:10" ht="17.75" customHeight="1" x14ac:dyDescent="0.3">
      <c r="A63" s="322"/>
      <c r="B63" s="1413" t="str">
        <f>"Mandi Chicken 1 / " &amp; COUNTIF($H$53:$H$55, "&gt;0")</f>
        <v>Mandi Chicken 1 / 2</v>
      </c>
      <c r="C63" s="1421"/>
      <c r="D63" s="1421"/>
      <c r="E63" s="1421"/>
      <c r="F63" s="1421"/>
      <c r="G63" s="1421"/>
      <c r="H63" s="1421"/>
    </row>
    <row r="64" spans="1:10" ht="46.5" customHeight="1" x14ac:dyDescent="0.3">
      <c r="A64" s="91"/>
      <c r="B64" s="91" t="s">
        <v>253</v>
      </c>
      <c r="C64" s="307" t="s">
        <v>329</v>
      </c>
      <c r="D64" s="91" t="s">
        <v>330</v>
      </c>
      <c r="E64" s="108" t="s">
        <v>331</v>
      </c>
      <c r="F64" s="108" t="s">
        <v>332</v>
      </c>
      <c r="G64" s="308" t="s">
        <v>333</v>
      </c>
      <c r="H64" s="109" t="s">
        <v>334</v>
      </c>
    </row>
    <row r="65" spans="1:8" ht="14.25" customHeight="1" x14ac:dyDescent="0.3">
      <c r="A65" s="219" t="s">
        <v>230</v>
      </c>
      <c r="B65" s="323" t="str">
        <f t="shared" ref="B65:D69" si="2">B5</f>
        <v>Chicken - دجاج</v>
      </c>
      <c r="C65" s="323" t="str">
        <f t="shared" si="2"/>
        <v>gm</v>
      </c>
      <c r="D65" s="324">
        <f t="shared" si="2"/>
        <v>1461.988304093567</v>
      </c>
      <c r="E65" s="197">
        <f>$H$53</f>
        <v>10</v>
      </c>
      <c r="F65" s="127">
        <f>F5</f>
        <v>1</v>
      </c>
      <c r="G65" s="119">
        <f>D65*E65</f>
        <v>14619.883040935671</v>
      </c>
      <c r="H65" s="120">
        <f>G65*F65</f>
        <v>14619.883040935671</v>
      </c>
    </row>
    <row r="66" spans="1:8" ht="14.25" customHeight="1" x14ac:dyDescent="0.3">
      <c r="A66" s="270" t="s">
        <v>97</v>
      </c>
      <c r="B66" s="323" t="str">
        <f t="shared" si="2"/>
        <v>Salt - ملح</v>
      </c>
      <c r="C66" s="323" t="str">
        <f t="shared" si="2"/>
        <v>gm</v>
      </c>
      <c r="D66" s="323">
        <f t="shared" si="2"/>
        <v>50</v>
      </c>
      <c r="E66" s="197">
        <f>$H$53</f>
        <v>10</v>
      </c>
      <c r="F66" s="127">
        <f>F6</f>
        <v>0.75</v>
      </c>
      <c r="G66" s="81">
        <f>D66*E66</f>
        <v>500</v>
      </c>
      <c r="H66" s="120">
        <f>G66*F66</f>
        <v>375</v>
      </c>
    </row>
    <row r="67" spans="1:8" ht="14.25" customHeight="1" x14ac:dyDescent="0.3">
      <c r="A67" s="270" t="s">
        <v>220</v>
      </c>
      <c r="B67" s="323" t="str">
        <f t="shared" si="2"/>
        <v>لون صفار زعفران بودر - Saffron yellow color powder</v>
      </c>
      <c r="C67" s="323" t="str">
        <f t="shared" si="2"/>
        <v>gm</v>
      </c>
      <c r="D67" s="323">
        <f t="shared" si="2"/>
        <v>3</v>
      </c>
      <c r="E67" s="197">
        <f>$H$53</f>
        <v>10</v>
      </c>
      <c r="F67" s="127">
        <f>F7</f>
        <v>0.75</v>
      </c>
      <c r="G67" s="81">
        <f>D67*E67</f>
        <v>30</v>
      </c>
      <c r="H67" s="120">
        <f>G67*F67</f>
        <v>22.5</v>
      </c>
    </row>
    <row r="68" spans="1:8" ht="14.25" customHeight="1" x14ac:dyDescent="0.3">
      <c r="A68" s="270" t="s">
        <v>220</v>
      </c>
      <c r="B68" s="323" t="str">
        <f t="shared" si="2"/>
        <v>Orange Color - لون برتقالي</v>
      </c>
      <c r="C68" s="323" t="str">
        <f t="shared" si="2"/>
        <v>gm</v>
      </c>
      <c r="D68" s="323">
        <f t="shared" si="2"/>
        <v>3</v>
      </c>
      <c r="E68" s="197">
        <f>$H$53</f>
        <v>10</v>
      </c>
      <c r="F68" s="127">
        <f>F8</f>
        <v>0.9</v>
      </c>
      <c r="G68" s="81">
        <f>D68*E68</f>
        <v>30</v>
      </c>
      <c r="H68" s="120">
        <f>G68*F68</f>
        <v>27</v>
      </c>
    </row>
    <row r="69" spans="1:8" ht="14.25" customHeight="1" x14ac:dyDescent="0.3">
      <c r="A69" s="270" t="s">
        <v>97</v>
      </c>
      <c r="B69" s="323" t="str">
        <f t="shared" si="2"/>
        <v>Cumin Powder - كمون مطحون</v>
      </c>
      <c r="C69" s="323" t="str">
        <f t="shared" si="2"/>
        <v>gm</v>
      </c>
      <c r="D69" s="323">
        <f t="shared" si="2"/>
        <v>5</v>
      </c>
      <c r="E69" s="197">
        <f>$H$53</f>
        <v>10</v>
      </c>
      <c r="F69" s="127">
        <f>F9</f>
        <v>0.8</v>
      </c>
      <c r="G69" s="81">
        <f>D69*E69</f>
        <v>50</v>
      </c>
      <c r="H69" s="120">
        <f>G69*F69</f>
        <v>40</v>
      </c>
    </row>
    <row r="70" spans="1:8" ht="20.25" customHeight="1" x14ac:dyDescent="0.3">
      <c r="A70" s="211"/>
      <c r="B70" s="198" t="s">
        <v>299</v>
      </c>
      <c r="C70" s="200" t="s">
        <v>285</v>
      </c>
      <c r="D70" s="14"/>
      <c r="E70" s="200" t="s">
        <v>300</v>
      </c>
      <c r="F70" s="14"/>
      <c r="G70" s="890" t="s">
        <v>276</v>
      </c>
      <c r="H70" s="890" t="s">
        <v>733</v>
      </c>
    </row>
    <row r="71" spans="1:8" ht="28.25" customHeight="1" x14ac:dyDescent="0.4">
      <c r="A71" s="211"/>
      <c r="B71" s="199">
        <f>$J$53</f>
        <v>10000</v>
      </c>
      <c r="C71" s="201">
        <f>E71+G71</f>
        <v>0</v>
      </c>
      <c r="D71" s="209"/>
      <c r="E71" s="201">
        <f>$C$53*$S$44</f>
        <v>0</v>
      </c>
      <c r="F71" s="100"/>
      <c r="G71" s="202">
        <f>$C$53*$T$44</f>
        <v>0</v>
      </c>
      <c r="H71" s="202">
        <f>B71+E71</f>
        <v>10000</v>
      </c>
    </row>
    <row r="72" spans="1:8" ht="14.25" customHeight="1" x14ac:dyDescent="0.3">
      <c r="B72" s="100"/>
      <c r="E72" s="100"/>
      <c r="F72" s="100"/>
    </row>
    <row r="73" spans="1:8" ht="17.75" customHeight="1" x14ac:dyDescent="0.3">
      <c r="A73" s="322"/>
      <c r="B73" s="1413" t="str">
        <f>"دجاج مندى 2 / " &amp; COUNTIF($H$53:$H$55, "&gt;0")</f>
        <v>دجاج مندى 2 / 2</v>
      </c>
      <c r="C73" s="1421"/>
      <c r="D73" s="1421"/>
      <c r="E73" s="1421"/>
      <c r="F73" s="1421"/>
      <c r="G73" s="1421"/>
      <c r="H73" s="1421"/>
    </row>
    <row r="74" spans="1:8" ht="17.75" customHeight="1" x14ac:dyDescent="0.3">
      <c r="A74" s="322"/>
      <c r="B74" s="1413" t="str">
        <f>"Mandi Chicken 2 / " &amp; COUNTIF($H$53:$H$55, "&gt;0")</f>
        <v>Mandi Chicken 2 / 2</v>
      </c>
      <c r="C74" s="1421"/>
      <c r="D74" s="1421"/>
      <c r="E74" s="1421"/>
      <c r="F74" s="1421"/>
      <c r="G74" s="1421"/>
      <c r="H74" s="1421"/>
    </row>
    <row r="75" spans="1:8" ht="46.5" customHeight="1" x14ac:dyDescent="0.3">
      <c r="A75" s="91"/>
      <c r="B75" s="91" t="s">
        <v>253</v>
      </c>
      <c r="C75" s="307" t="s">
        <v>329</v>
      </c>
      <c r="D75" s="91" t="s">
        <v>330</v>
      </c>
      <c r="E75" s="108" t="s">
        <v>331</v>
      </c>
      <c r="F75" s="108" t="s">
        <v>332</v>
      </c>
      <c r="G75" s="308" t="s">
        <v>333</v>
      </c>
      <c r="H75" s="109" t="s">
        <v>334</v>
      </c>
    </row>
    <row r="76" spans="1:8" ht="14.25" customHeight="1" x14ac:dyDescent="0.3">
      <c r="A76" s="219" t="s">
        <v>230</v>
      </c>
      <c r="B76" s="323" t="str">
        <f t="shared" ref="B76:D79" si="3">B5</f>
        <v>Chicken - دجاج</v>
      </c>
      <c r="C76" s="323" t="str">
        <f t="shared" si="3"/>
        <v>gm</v>
      </c>
      <c r="D76" s="119">
        <f t="shared" si="3"/>
        <v>1461.988304093567</v>
      </c>
      <c r="E76" s="197">
        <f>$H$54</f>
        <v>9.9300000000000033</v>
      </c>
      <c r="F76" s="127">
        <f>F5</f>
        <v>1</v>
      </c>
      <c r="G76" s="119">
        <f>D76*E76</f>
        <v>14517.543859649124</v>
      </c>
      <c r="H76" s="120">
        <f>G76*F76</f>
        <v>14517.543859649124</v>
      </c>
    </row>
    <row r="77" spans="1:8" ht="14.25" customHeight="1" x14ac:dyDescent="0.3">
      <c r="A77" s="270" t="s">
        <v>97</v>
      </c>
      <c r="B77" s="323" t="str">
        <f t="shared" si="3"/>
        <v>Salt - ملح</v>
      </c>
      <c r="C77" s="323" t="str">
        <f t="shared" si="3"/>
        <v>gm</v>
      </c>
      <c r="D77" s="323">
        <f t="shared" si="3"/>
        <v>50</v>
      </c>
      <c r="E77" s="197">
        <f>$H$54</f>
        <v>9.9300000000000033</v>
      </c>
      <c r="F77" s="127">
        <f>F6</f>
        <v>0.75</v>
      </c>
      <c r="G77" s="119">
        <f>D77*E77</f>
        <v>496.50000000000017</v>
      </c>
      <c r="H77" s="120">
        <f>G77*F77</f>
        <v>372.37500000000011</v>
      </c>
    </row>
    <row r="78" spans="1:8" ht="14.25" customHeight="1" x14ac:dyDescent="0.3">
      <c r="A78" s="270" t="s">
        <v>220</v>
      </c>
      <c r="B78" s="323" t="str">
        <f t="shared" si="3"/>
        <v>لون صفار زعفران بودر - Saffron yellow color powder</v>
      </c>
      <c r="C78" s="323" t="str">
        <f t="shared" si="3"/>
        <v>gm</v>
      </c>
      <c r="D78" s="323">
        <f t="shared" si="3"/>
        <v>3</v>
      </c>
      <c r="E78" s="197">
        <f>$H$54</f>
        <v>9.9300000000000033</v>
      </c>
      <c r="F78" s="127">
        <f>F7</f>
        <v>0.75</v>
      </c>
      <c r="G78" s="119">
        <f>D78*E78</f>
        <v>29.79000000000001</v>
      </c>
      <c r="H78" s="120">
        <f>G78*F78</f>
        <v>22.342500000000008</v>
      </c>
    </row>
    <row r="79" spans="1:8" ht="14.25" customHeight="1" x14ac:dyDescent="0.3">
      <c r="A79" s="270" t="s">
        <v>220</v>
      </c>
      <c r="B79" s="323" t="str">
        <f t="shared" si="3"/>
        <v>Orange Color - لون برتقالي</v>
      </c>
      <c r="C79" s="323" t="str">
        <f t="shared" si="3"/>
        <v>gm</v>
      </c>
      <c r="D79" s="323">
        <f t="shared" si="3"/>
        <v>3</v>
      </c>
      <c r="E79" s="197">
        <f>$H$54</f>
        <v>9.9300000000000033</v>
      </c>
      <c r="F79" s="127">
        <f>F8</f>
        <v>0.9</v>
      </c>
      <c r="G79" s="119">
        <f>D79*E79</f>
        <v>29.79000000000001</v>
      </c>
      <c r="H79" s="120">
        <f>G79*F79</f>
        <v>26.811000000000011</v>
      </c>
    </row>
    <row r="80" spans="1:8" ht="14.25" customHeight="1" x14ac:dyDescent="0.3">
      <c r="A80" s="211"/>
      <c r="B80" s="198" t="s">
        <v>299</v>
      </c>
      <c r="C80" s="200" t="s">
        <v>285</v>
      </c>
      <c r="D80" s="14"/>
      <c r="E80" s="200" t="s">
        <v>300</v>
      </c>
      <c r="F80" s="14"/>
      <c r="G80" s="890" t="s">
        <v>276</v>
      </c>
      <c r="H80" s="890" t="s">
        <v>733</v>
      </c>
    </row>
    <row r="81" spans="1:8" ht="28.5" customHeight="1" x14ac:dyDescent="0.4">
      <c r="A81" s="211"/>
      <c r="B81" s="199">
        <f>$J$54</f>
        <v>9930</v>
      </c>
      <c r="C81" s="201">
        <f>E81+G81</f>
        <v>0</v>
      </c>
      <c r="D81" s="209"/>
      <c r="E81" s="201">
        <f>$C$54*$S$44</f>
        <v>0</v>
      </c>
      <c r="F81" s="100"/>
      <c r="G81" s="202">
        <f>$C$54*$T$44</f>
        <v>0</v>
      </c>
      <c r="H81" s="202">
        <f>B81+E81</f>
        <v>9930</v>
      </c>
    </row>
    <row r="82" spans="1:8" ht="14" customHeight="1" x14ac:dyDescent="0.3">
      <c r="B82" s="100"/>
      <c r="E82" s="100"/>
      <c r="F82" s="100"/>
    </row>
    <row r="83" spans="1:8" ht="14" customHeight="1" x14ac:dyDescent="0.3">
      <c r="B83" s="100"/>
      <c r="E83" s="100"/>
      <c r="F83" s="100"/>
    </row>
    <row r="84" spans="1:8" ht="14.25" customHeight="1" x14ac:dyDescent="0.3">
      <c r="B84" s="100"/>
      <c r="E84" s="100"/>
      <c r="F84" s="100"/>
    </row>
    <row r="85" spans="1:8" ht="14.25" customHeight="1" x14ac:dyDescent="0.3">
      <c r="B85" s="100"/>
      <c r="E85" s="100"/>
      <c r="F85" s="100"/>
    </row>
    <row r="86" spans="1:8" ht="17.75" customHeight="1" x14ac:dyDescent="0.3">
      <c r="A86" s="322"/>
      <c r="B86" s="1413" t="str">
        <f>"دجاج مندى 3 / " &amp; COUNTIF($H$53:$H$55, "&gt;0")</f>
        <v>دجاج مندى 3 / 2</v>
      </c>
      <c r="C86" s="1421"/>
      <c r="D86" s="1421"/>
      <c r="E86" s="1421"/>
      <c r="F86" s="1421"/>
      <c r="G86" s="1421"/>
      <c r="H86" s="1421"/>
    </row>
    <row r="87" spans="1:8" ht="17.75" customHeight="1" x14ac:dyDescent="0.3">
      <c r="A87" s="407"/>
      <c r="B87" s="1413" t="str">
        <f>"Mandi Chicken 3 / " &amp; COUNTIF($H$53:$H$55, "&gt;0")</f>
        <v>Mandi Chicken 3 / 2</v>
      </c>
      <c r="C87" s="1421"/>
      <c r="D87" s="1421"/>
      <c r="E87" s="1421"/>
      <c r="F87" s="1421"/>
      <c r="G87" s="1421"/>
      <c r="H87" s="1421"/>
    </row>
    <row r="88" spans="1:8" ht="46.5" customHeight="1" x14ac:dyDescent="0.3">
      <c r="A88" s="91"/>
      <c r="B88" s="91" t="s">
        <v>253</v>
      </c>
      <c r="C88" s="307" t="s">
        <v>329</v>
      </c>
      <c r="D88" s="91" t="s">
        <v>330</v>
      </c>
      <c r="E88" s="108" t="s">
        <v>331</v>
      </c>
      <c r="F88" s="108" t="s">
        <v>332</v>
      </c>
      <c r="G88" s="308" t="s">
        <v>333</v>
      </c>
      <c r="H88" s="109" t="s">
        <v>334</v>
      </c>
    </row>
    <row r="89" spans="1:8" ht="14.25" customHeight="1" x14ac:dyDescent="0.3">
      <c r="A89" s="219" t="s">
        <v>230</v>
      </c>
      <c r="B89" s="219" t="str">
        <f t="shared" ref="B89:D93" si="4">B5</f>
        <v>Chicken - دجاج</v>
      </c>
      <c r="C89" s="219" t="str">
        <f t="shared" si="4"/>
        <v>gm</v>
      </c>
      <c r="D89" s="119">
        <f t="shared" si="4"/>
        <v>1461.988304093567</v>
      </c>
      <c r="E89" s="197">
        <f>$H$55</f>
        <v>0</v>
      </c>
      <c r="F89" s="325">
        <f>F5</f>
        <v>1</v>
      </c>
      <c r="G89" s="119">
        <f>D89*E89</f>
        <v>0</v>
      </c>
      <c r="H89" s="120">
        <f>G89*F89</f>
        <v>0</v>
      </c>
    </row>
    <row r="90" spans="1:8" ht="14.25" customHeight="1" x14ac:dyDescent="0.3">
      <c r="A90" s="219" t="s">
        <v>97</v>
      </c>
      <c r="B90" s="219" t="str">
        <f t="shared" si="4"/>
        <v>Salt - ملح</v>
      </c>
      <c r="C90" s="219" t="str">
        <f t="shared" si="4"/>
        <v>gm</v>
      </c>
      <c r="D90" s="219">
        <f t="shared" si="4"/>
        <v>50</v>
      </c>
      <c r="E90" s="197">
        <f>$H$55</f>
        <v>0</v>
      </c>
      <c r="F90" s="325">
        <f>F6</f>
        <v>0.75</v>
      </c>
      <c r="G90" s="119">
        <f>D90*E90</f>
        <v>0</v>
      </c>
      <c r="H90" s="120">
        <f>G90*F90</f>
        <v>0</v>
      </c>
    </row>
    <row r="91" spans="1:8" ht="14.25" customHeight="1" x14ac:dyDescent="0.3">
      <c r="A91" s="219" t="s">
        <v>220</v>
      </c>
      <c r="B91" s="219" t="str">
        <f t="shared" si="4"/>
        <v>لون صفار زعفران بودر - Saffron yellow color powder</v>
      </c>
      <c r="C91" s="219" t="str">
        <f t="shared" si="4"/>
        <v>gm</v>
      </c>
      <c r="D91" s="219">
        <f t="shared" si="4"/>
        <v>3</v>
      </c>
      <c r="E91" s="197">
        <f>$H$55</f>
        <v>0</v>
      </c>
      <c r="F91" s="325">
        <f>F7</f>
        <v>0.75</v>
      </c>
      <c r="G91" s="119">
        <f>D91*E91</f>
        <v>0</v>
      </c>
      <c r="H91" s="120">
        <f>G91*F91</f>
        <v>0</v>
      </c>
    </row>
    <row r="92" spans="1:8" ht="14.25" customHeight="1" x14ac:dyDescent="0.3">
      <c r="A92" s="219" t="s">
        <v>220</v>
      </c>
      <c r="B92" s="219" t="str">
        <f t="shared" si="4"/>
        <v>Orange Color - لون برتقالي</v>
      </c>
      <c r="C92" s="219" t="str">
        <f t="shared" si="4"/>
        <v>gm</v>
      </c>
      <c r="D92" s="219">
        <f t="shared" si="4"/>
        <v>3</v>
      </c>
      <c r="E92" s="197">
        <f>$H$55</f>
        <v>0</v>
      </c>
      <c r="F92" s="325">
        <f>F8</f>
        <v>0.9</v>
      </c>
      <c r="G92" s="119">
        <f>D92*E92</f>
        <v>0</v>
      </c>
      <c r="H92" s="120">
        <f>G92*F92</f>
        <v>0</v>
      </c>
    </row>
    <row r="93" spans="1:8" ht="14.25" customHeight="1" x14ac:dyDescent="0.3">
      <c r="A93" s="219" t="s">
        <v>97</v>
      </c>
      <c r="B93" s="219" t="str">
        <f t="shared" si="4"/>
        <v>Cumin Powder - كمون مطحون</v>
      </c>
      <c r="C93" s="219" t="str">
        <f t="shared" si="4"/>
        <v>gm</v>
      </c>
      <c r="D93" s="219">
        <f t="shared" si="4"/>
        <v>5</v>
      </c>
      <c r="E93" s="197">
        <f>$H$55</f>
        <v>0</v>
      </c>
      <c r="F93" s="325">
        <f>F9</f>
        <v>0.8</v>
      </c>
      <c r="G93" s="119">
        <f>D93*E93</f>
        <v>0</v>
      </c>
      <c r="H93" s="120">
        <f>G93*F93</f>
        <v>0</v>
      </c>
    </row>
    <row r="94" spans="1:8" ht="20.25" customHeight="1" x14ac:dyDescent="0.3">
      <c r="A94" s="211"/>
      <c r="B94" s="198" t="s">
        <v>299</v>
      </c>
      <c r="C94" s="200" t="s">
        <v>285</v>
      </c>
      <c r="D94" s="14"/>
      <c r="E94" s="200" t="s">
        <v>300</v>
      </c>
      <c r="F94" s="14"/>
      <c r="G94" s="890" t="s">
        <v>276</v>
      </c>
      <c r="H94" s="890" t="s">
        <v>733</v>
      </c>
    </row>
    <row r="95" spans="1:8" ht="28.25" customHeight="1" x14ac:dyDescent="0.4">
      <c r="A95" s="211"/>
      <c r="B95" s="199">
        <f>$J$55</f>
        <v>0</v>
      </c>
      <c r="C95" s="201">
        <f>E95+G95</f>
        <v>0</v>
      </c>
      <c r="D95" s="209"/>
      <c r="E95" s="201">
        <f>$C$55*$S$44</f>
        <v>0</v>
      </c>
      <c r="F95" s="100"/>
      <c r="G95" s="202">
        <f>$C$55*$T$44</f>
        <v>0</v>
      </c>
      <c r="H95" s="202">
        <f>B95+E95</f>
        <v>0</v>
      </c>
    </row>
  </sheetData>
  <mergeCells count="11">
    <mergeCell ref="AE2:AG3"/>
    <mergeCell ref="B74:H74"/>
    <mergeCell ref="B73:H73"/>
    <mergeCell ref="B87:H87"/>
    <mergeCell ref="B62:H62"/>
    <mergeCell ref="R26:T26"/>
    <mergeCell ref="B86:H86"/>
    <mergeCell ref="R25:T25"/>
    <mergeCell ref="B2:K3"/>
    <mergeCell ref="B63:H63"/>
    <mergeCell ref="B35:F35"/>
  </mergeCells>
  <printOptions horizontalCentered="1"/>
  <pageMargins left="0.5" right="0.5" top="1" bottom="0.5" header="0.3" footer="0.511811023622047"/>
  <pageSetup paperSize="9" scale="33" orientation="portrait" r:id="rId1"/>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rgb="FFBF9000"/>
    <pageSetUpPr fitToPage="1"/>
  </sheetPr>
  <dimension ref="A1:AT73"/>
  <sheetViews>
    <sheetView topLeftCell="L4" zoomScale="70" zoomScaleNormal="70" workbookViewId="0">
      <selection activeCell="T28" sqref="S28:T30"/>
    </sheetView>
  </sheetViews>
  <sheetFormatPr defaultColWidth="12.5" defaultRowHeight="12.5" x14ac:dyDescent="0.25"/>
  <cols>
    <col min="1" max="1" width="12.5" style="14" customWidth="1"/>
    <col min="2" max="2" width="31.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5.5" style="14" customWidth="1"/>
    <col min="15" max="15" width="16.58203125" style="14" customWidth="1"/>
    <col min="16" max="17" width="12.5" style="14" customWidth="1"/>
    <col min="18" max="18" width="32.08203125" style="14" customWidth="1"/>
    <col min="19" max="26" width="12.5" style="14" customWidth="1"/>
    <col min="27" max="27" width="11.08203125" style="14" bestFit="1" customWidth="1"/>
    <col min="28" max="28" width="10" style="14" bestFit="1" customWidth="1"/>
    <col min="29" max="30" width="12.5" style="14" customWidth="1"/>
    <col min="31" max="35" width="3.75" style="14" customWidth="1"/>
    <col min="36" max="36" width="36.4140625" style="14" customWidth="1"/>
    <col min="37" max="37" width="12.5" style="14" customWidth="1"/>
    <col min="38" max="41" width="12.5" style="14"/>
    <col min="42" max="42" width="15.33203125" style="14" customWidth="1"/>
    <col min="43" max="16384" width="12.5" style="14"/>
  </cols>
  <sheetData>
    <row r="1" spans="1:46" ht="28.5" customHeight="1" x14ac:dyDescent="0.3">
      <c r="B1" s="80" t="s">
        <v>343</v>
      </c>
      <c r="C1" s="81">
        <v>1</v>
      </c>
      <c r="D1" s="82" t="s">
        <v>244</v>
      </c>
      <c r="E1" s="117">
        <f>U32</f>
        <v>493</v>
      </c>
      <c r="F1" s="80" t="s">
        <v>245</v>
      </c>
      <c r="G1" s="117">
        <f>E1/C1</f>
        <v>493</v>
      </c>
      <c r="H1" s="80" t="s">
        <v>246</v>
      </c>
      <c r="I1" s="117"/>
      <c r="J1" s="326" t="s">
        <v>247</v>
      </c>
      <c r="K1" s="327"/>
      <c r="L1" s="100"/>
      <c r="M1" s="89"/>
      <c r="N1" s="90"/>
      <c r="O1" s="91" t="s">
        <v>248</v>
      </c>
      <c r="P1" s="465" t="s">
        <v>249</v>
      </c>
      <c r="Q1" s="93" t="s">
        <v>250</v>
      </c>
      <c r="R1" s="92">
        <v>0.51</v>
      </c>
      <c r="S1" s="93" t="s">
        <v>411</v>
      </c>
      <c r="T1" s="328">
        <v>20</v>
      </c>
      <c r="Y1" s="91" t="s">
        <v>479</v>
      </c>
      <c r="Z1" s="847">
        <v>488</v>
      </c>
      <c r="AA1" s="91" t="s">
        <v>600</v>
      </c>
      <c r="AB1" s="847">
        <v>5</v>
      </c>
      <c r="AC1" s="91" t="s">
        <v>587</v>
      </c>
      <c r="AD1" s="847">
        <v>488</v>
      </c>
      <c r="AE1" s="250"/>
      <c r="AF1" s="252"/>
      <c r="AG1" s="92"/>
      <c r="AJ1" s="94" t="s">
        <v>262</v>
      </c>
      <c r="AK1" s="94">
        <v>10000</v>
      </c>
      <c r="AL1" s="628" t="s">
        <v>520</v>
      </c>
      <c r="AM1" s="629">
        <f>$S$32</f>
        <v>493</v>
      </c>
      <c r="AN1" s="94" t="s">
        <v>251</v>
      </c>
      <c r="AO1" s="329">
        <f>((S32*T1)/$R$1)/$AK$1</f>
        <v>1.9333333333333331</v>
      </c>
      <c r="AP1" s="95"/>
    </row>
    <row r="2" spans="1:46" ht="12.75" customHeight="1" x14ac:dyDescent="0.25">
      <c r="A2" s="330"/>
      <c r="B2" s="1415" t="s">
        <v>412</v>
      </c>
      <c r="C2" s="1415"/>
      <c r="D2" s="1415"/>
      <c r="E2" s="1415"/>
      <c r="F2" s="1415"/>
      <c r="G2" s="1415"/>
      <c r="H2" s="1415"/>
      <c r="I2" s="648"/>
      <c r="J2" s="648"/>
      <c r="K2" s="648"/>
      <c r="L2" s="293"/>
      <c r="M2" s="100"/>
      <c r="N2" s="100"/>
      <c r="O2" s="100"/>
      <c r="P2" s="100"/>
      <c r="Q2" s="100"/>
      <c r="R2" s="100"/>
      <c r="AC2" s="99"/>
      <c r="AD2" s="99"/>
      <c r="AE2" s="1391"/>
      <c r="AF2" s="1389"/>
      <c r="AG2" s="1389"/>
      <c r="AJ2" s="101"/>
      <c r="AK2" s="1386" t="s">
        <v>413</v>
      </c>
      <c r="AL2" s="1386"/>
      <c r="AM2" s="1386"/>
      <c r="AN2" s="1386"/>
      <c r="AO2" s="101"/>
      <c r="AP2" s="101"/>
    </row>
    <row r="3" spans="1:46" ht="12.75" customHeight="1" x14ac:dyDescent="0.3">
      <c r="A3" s="330"/>
      <c r="B3" s="1387"/>
      <c r="C3" s="1387"/>
      <c r="D3" s="1387"/>
      <c r="E3" s="1387"/>
      <c r="F3" s="1387"/>
      <c r="G3" s="1387"/>
      <c r="H3" s="1387"/>
      <c r="I3" s="649"/>
      <c r="J3" s="649"/>
      <c r="K3" s="649"/>
      <c r="L3" s="293"/>
      <c r="M3" s="100"/>
      <c r="N3" s="100"/>
      <c r="O3" s="100"/>
      <c r="P3" s="100"/>
      <c r="Q3" s="100"/>
      <c r="R3" s="100"/>
      <c r="AC3" s="99"/>
      <c r="AD3" s="99"/>
      <c r="AE3" s="1389"/>
      <c r="AF3" s="1389"/>
      <c r="AG3" s="1389"/>
      <c r="AJ3" s="373"/>
      <c r="AK3" s="104"/>
      <c r="AL3" s="105"/>
      <c r="AM3" s="105"/>
      <c r="AN3" s="105"/>
      <c r="AO3" s="104"/>
      <c r="AP3" s="104"/>
    </row>
    <row r="4" spans="1:46" ht="68.75" customHeight="1" x14ac:dyDescent="0.25">
      <c r="A4" s="91" t="s">
        <v>1</v>
      </c>
      <c r="B4" s="91" t="s">
        <v>253</v>
      </c>
      <c r="C4" s="107" t="s">
        <v>254</v>
      </c>
      <c r="D4" s="91" t="s">
        <v>243</v>
      </c>
      <c r="E4" s="218" t="s">
        <v>246</v>
      </c>
      <c r="F4" s="108" t="s">
        <v>255</v>
      </c>
      <c r="G4" s="91" t="s">
        <v>256</v>
      </c>
      <c r="H4" s="109" t="s">
        <v>334</v>
      </c>
      <c r="I4" s="91" t="s">
        <v>258</v>
      </c>
      <c r="J4" s="91" t="s">
        <v>259</v>
      </c>
      <c r="K4" s="91" t="s">
        <v>260</v>
      </c>
      <c r="L4" s="91" t="s">
        <v>261</v>
      </c>
      <c r="M4" s="100"/>
      <c r="N4" s="100"/>
      <c r="O4" s="100"/>
      <c r="P4" s="100"/>
      <c r="AA4" s="251"/>
      <c r="AB4" s="253"/>
      <c r="AC4" s="251"/>
      <c r="AD4" s="251"/>
      <c r="AE4" s="251"/>
      <c r="AJ4" s="110" t="s">
        <v>253</v>
      </c>
      <c r="AK4" s="111" t="s">
        <v>254</v>
      </c>
      <c r="AL4" s="110" t="s">
        <v>262</v>
      </c>
      <c r="AM4" s="110" t="s">
        <v>246</v>
      </c>
      <c r="AN4" s="110" t="s">
        <v>255</v>
      </c>
      <c r="AO4" s="110" t="s">
        <v>256</v>
      </c>
      <c r="AP4" s="112" t="s">
        <v>257</v>
      </c>
      <c r="AQ4" s="91" t="s">
        <v>258</v>
      </c>
      <c r="AR4" s="91" t="s">
        <v>259</v>
      </c>
      <c r="AS4" s="91" t="s">
        <v>260</v>
      </c>
      <c r="AT4" s="91" t="s">
        <v>261</v>
      </c>
    </row>
    <row r="5" spans="1:46" ht="13.25" customHeight="1" x14ac:dyDescent="0.25">
      <c r="A5" s="113" t="s">
        <v>230</v>
      </c>
      <c r="B5" s="467" t="s">
        <v>229</v>
      </c>
      <c r="C5" s="419" t="s">
        <v>238</v>
      </c>
      <c r="D5" s="268">
        <f>T1/R1</f>
        <v>39.215686274509807</v>
      </c>
      <c r="E5" s="116">
        <f>G1</f>
        <v>493</v>
      </c>
      <c r="F5" s="447">
        <v>1</v>
      </c>
      <c r="G5" s="455">
        <f>D5*E5</f>
        <v>19333.333333333336</v>
      </c>
      <c r="H5" s="449">
        <f>G5*F5</f>
        <v>19333.333333333336</v>
      </c>
      <c r="I5" s="468">
        <f>VLOOKUP(B5,All_Ingredients!$A$1:$F$151,6,FALSE())</f>
        <v>0.86</v>
      </c>
      <c r="J5" s="455">
        <f>VLOOKUP(B5,All_Ingredients!$A$1:$J$151,10,FALSE())</f>
        <v>17.100000000000001</v>
      </c>
      <c r="K5" s="469">
        <f>(H5/I5)/1000</f>
        <v>22.480620155038764</v>
      </c>
      <c r="L5" s="469">
        <f>K5*J5</f>
        <v>384.41860465116292</v>
      </c>
      <c r="M5" s="100"/>
      <c r="N5" s="100"/>
      <c r="O5" s="100"/>
      <c r="P5" s="100"/>
      <c r="AA5" s="92"/>
      <c r="AB5" s="133"/>
      <c r="AC5" s="254"/>
      <c r="AD5" s="135"/>
      <c r="AE5" s="136"/>
      <c r="AJ5" s="374" t="s">
        <v>229</v>
      </c>
      <c r="AK5" s="124" t="s">
        <v>238</v>
      </c>
      <c r="AL5" s="375">
        <v>10</v>
      </c>
      <c r="AM5" s="376">
        <f t="shared" ref="AM5:AM13" si="0">$AO$1</f>
        <v>1.9333333333333331</v>
      </c>
      <c r="AN5" s="377">
        <v>1</v>
      </c>
      <c r="AO5" s="378">
        <f t="shared" ref="AO5:AO13" si="1">AL5*AM5</f>
        <v>19.333333333333332</v>
      </c>
      <c r="AP5" s="379">
        <f t="shared" ref="AP5:AP13" si="2">AO5*AN5</f>
        <v>19.333333333333332</v>
      </c>
      <c r="AQ5" s="295"/>
      <c r="AR5" s="1171"/>
      <c r="AS5" s="175"/>
      <c r="AT5" s="1172"/>
    </row>
    <row r="6" spans="1:46" ht="14.25" customHeight="1" x14ac:dyDescent="0.25">
      <c r="A6" s="404"/>
      <c r="B6" s="470"/>
      <c r="C6" s="471"/>
      <c r="D6" s="358"/>
      <c r="E6" s="359"/>
      <c r="F6" s="360"/>
      <c r="G6" s="472"/>
      <c r="H6" s="362"/>
      <c r="I6" s="422"/>
      <c r="J6" s="472"/>
      <c r="K6" s="473"/>
      <c r="L6" s="473"/>
      <c r="AJ6" s="374" t="s">
        <v>56</v>
      </c>
      <c r="AK6" s="124" t="s">
        <v>14</v>
      </c>
      <c r="AL6" s="375">
        <v>50</v>
      </c>
      <c r="AM6" s="376">
        <f t="shared" si="0"/>
        <v>1.9333333333333331</v>
      </c>
      <c r="AN6" s="377">
        <v>1</v>
      </c>
      <c r="AO6" s="378">
        <f t="shared" si="1"/>
        <v>96.666666666666657</v>
      </c>
      <c r="AP6" s="379">
        <f t="shared" si="2"/>
        <v>96.666666666666657</v>
      </c>
      <c r="AQ6" s="1172">
        <f>VLOOKUP(AJ6,Marination_Ordering!$A:$J,6,FALSE)</f>
        <v>0.87</v>
      </c>
      <c r="AR6" s="1172">
        <f>VLOOKUP(AJ6,Marination_Ordering!$A:$J,10,FALSE)</f>
        <v>3.2</v>
      </c>
      <c r="AS6" s="175">
        <f>AP6/AQ6</f>
        <v>111.1111111111111</v>
      </c>
      <c r="AT6" s="1172">
        <f>AR6*(AS6/1000)</f>
        <v>0.35555555555555557</v>
      </c>
    </row>
    <row r="7" spans="1:46" ht="14.25" customHeight="1" x14ac:dyDescent="0.25">
      <c r="B7" s="405"/>
      <c r="C7" s="332"/>
      <c r="D7" s="254"/>
      <c r="E7" s="333"/>
      <c r="F7" s="136"/>
      <c r="G7" s="137"/>
      <c r="H7" s="138"/>
      <c r="I7" s="92"/>
      <c r="J7" s="137"/>
      <c r="K7" s="131"/>
      <c r="L7" s="131"/>
      <c r="AJ7" s="374" t="s">
        <v>792</v>
      </c>
      <c r="AK7" s="124" t="s">
        <v>14</v>
      </c>
      <c r="AL7" s="375">
        <v>100</v>
      </c>
      <c r="AM7" s="376">
        <f t="shared" si="0"/>
        <v>1.9333333333333331</v>
      </c>
      <c r="AN7" s="377">
        <v>1</v>
      </c>
      <c r="AO7" s="378">
        <f t="shared" si="1"/>
        <v>193.33333333333331</v>
      </c>
      <c r="AP7" s="379">
        <f t="shared" si="2"/>
        <v>193.33333333333331</v>
      </c>
      <c r="AQ7" s="1172">
        <f>VLOOKUP(AJ7,Marination_Ordering!$A:$J,6,FALSE)</f>
        <v>1</v>
      </c>
      <c r="AR7" s="1172">
        <f>VLOOKUP(AJ7,Marination_Ordering!$A:$J,10,FALSE)</f>
        <v>10.5</v>
      </c>
      <c r="AS7" s="175">
        <f t="shared" ref="AS7:AS13" si="3">AP7/AQ7</f>
        <v>193.33333333333331</v>
      </c>
      <c r="AT7" s="1172">
        <f t="shared" ref="AT7:AT13" si="4">AR7*(AS7/1000)</f>
        <v>2.0299999999999998</v>
      </c>
    </row>
    <row r="8" spans="1:46" ht="14.25" customHeight="1" x14ac:dyDescent="0.25">
      <c r="B8" s="405"/>
      <c r="C8" s="332"/>
      <c r="D8" s="254"/>
      <c r="E8" s="333"/>
      <c r="F8" s="136"/>
      <c r="G8" s="137"/>
      <c r="H8" s="138"/>
      <c r="I8" s="92"/>
      <c r="J8" s="137"/>
      <c r="K8" s="131"/>
      <c r="L8" s="131"/>
      <c r="AJ8" s="374" t="s">
        <v>108</v>
      </c>
      <c r="AK8" s="124" t="s">
        <v>14</v>
      </c>
      <c r="AL8" s="375">
        <v>50</v>
      </c>
      <c r="AM8" s="376">
        <f t="shared" si="0"/>
        <v>1.9333333333333331</v>
      </c>
      <c r="AN8" s="377">
        <v>1</v>
      </c>
      <c r="AO8" s="378">
        <f t="shared" si="1"/>
        <v>96.666666666666657</v>
      </c>
      <c r="AP8" s="379">
        <f t="shared" si="2"/>
        <v>96.666666666666657</v>
      </c>
      <c r="AQ8" s="1172">
        <f>VLOOKUP(AJ8,Marination_Ordering!$A:$J,6,FALSE)</f>
        <v>1</v>
      </c>
      <c r="AR8" s="1172">
        <f>VLOOKUP(AJ8,Marination_Ordering!$A:$J,10,FALSE)</f>
        <v>15</v>
      </c>
      <c r="AS8" s="175">
        <f t="shared" si="3"/>
        <v>96.666666666666657</v>
      </c>
      <c r="AT8" s="1172">
        <f t="shared" si="4"/>
        <v>1.4499999999999997</v>
      </c>
    </row>
    <row r="9" spans="1:46" ht="14.25" customHeight="1" x14ac:dyDescent="0.25">
      <c r="B9" s="405"/>
      <c r="C9" s="332"/>
      <c r="D9" s="254"/>
      <c r="E9" s="333"/>
      <c r="F9" s="136"/>
      <c r="G9" s="137"/>
      <c r="H9" s="138"/>
      <c r="I9" s="92"/>
      <c r="J9" s="137"/>
      <c r="K9" s="131"/>
      <c r="L9" s="131"/>
      <c r="AJ9" s="374" t="s">
        <v>208</v>
      </c>
      <c r="AK9" s="124" t="s">
        <v>14</v>
      </c>
      <c r="AL9" s="375">
        <v>100</v>
      </c>
      <c r="AM9" s="376">
        <f t="shared" si="0"/>
        <v>1.9333333333333331</v>
      </c>
      <c r="AN9" s="377">
        <v>1</v>
      </c>
      <c r="AO9" s="378">
        <f t="shared" si="1"/>
        <v>193.33333333333331</v>
      </c>
      <c r="AP9" s="379">
        <f t="shared" si="2"/>
        <v>193.33333333333331</v>
      </c>
      <c r="AQ9" s="1172">
        <f>VLOOKUP(AJ9,Marination_Ordering!$A:$J,6,FALSE)</f>
        <v>1</v>
      </c>
      <c r="AR9" s="1172">
        <f>VLOOKUP(AJ9,Marination_Ordering!$A:$J,10,FALSE)</f>
        <v>11.243386243386244</v>
      </c>
      <c r="AS9" s="175">
        <f t="shared" si="3"/>
        <v>193.33333333333331</v>
      </c>
      <c r="AT9" s="1172">
        <f t="shared" si="4"/>
        <v>2.1737213403880067</v>
      </c>
    </row>
    <row r="10" spans="1:46" ht="14.25" customHeight="1" x14ac:dyDescent="0.25">
      <c r="B10" s="349"/>
      <c r="C10" s="332"/>
      <c r="D10" s="254"/>
      <c r="E10" s="333"/>
      <c r="F10" s="136"/>
      <c r="G10" s="137"/>
      <c r="H10" s="138"/>
      <c r="I10" s="92"/>
      <c r="J10" s="137"/>
      <c r="K10" s="131"/>
      <c r="L10" s="131"/>
      <c r="AJ10" s="374" t="s">
        <v>96</v>
      </c>
      <c r="AK10" s="124" t="s">
        <v>14</v>
      </c>
      <c r="AL10" s="375">
        <v>20</v>
      </c>
      <c r="AM10" s="376">
        <f t="shared" si="0"/>
        <v>1.9333333333333331</v>
      </c>
      <c r="AN10" s="377">
        <v>1</v>
      </c>
      <c r="AO10" s="378">
        <f t="shared" si="1"/>
        <v>38.666666666666664</v>
      </c>
      <c r="AP10" s="379">
        <f t="shared" si="2"/>
        <v>38.666666666666664</v>
      </c>
      <c r="AQ10" s="1172">
        <f>VLOOKUP(AJ10,Marination_Ordering!$A:$J,6,FALSE)</f>
        <v>1</v>
      </c>
      <c r="AR10" s="1172">
        <f>VLOOKUP(AJ10,Marination_Ordering!$A:$J,10,FALSE)</f>
        <v>0.74</v>
      </c>
      <c r="AS10" s="175">
        <f t="shared" si="3"/>
        <v>38.666666666666664</v>
      </c>
      <c r="AT10" s="1172">
        <f t="shared" si="4"/>
        <v>2.8613333333333331E-2</v>
      </c>
    </row>
    <row r="11" spans="1:46" ht="14.25" customHeight="1" x14ac:dyDescent="0.25">
      <c r="B11" s="405"/>
      <c r="C11" s="332"/>
      <c r="D11" s="254"/>
      <c r="E11" s="333"/>
      <c r="F11" s="136"/>
      <c r="G11" s="137"/>
      <c r="H11" s="138"/>
      <c r="I11" s="92"/>
      <c r="J11" s="137"/>
      <c r="K11" s="131"/>
      <c r="L11" s="131"/>
      <c r="AJ11" s="374" t="s">
        <v>102</v>
      </c>
      <c r="AK11" s="124" t="s">
        <v>14</v>
      </c>
      <c r="AL11" s="375">
        <v>25</v>
      </c>
      <c r="AM11" s="376">
        <f t="shared" si="0"/>
        <v>1.9333333333333331</v>
      </c>
      <c r="AN11" s="377">
        <v>1</v>
      </c>
      <c r="AO11" s="378">
        <f t="shared" si="1"/>
        <v>48.333333333333329</v>
      </c>
      <c r="AP11" s="379">
        <f t="shared" si="2"/>
        <v>48.333333333333329</v>
      </c>
      <c r="AQ11" s="1172">
        <f>VLOOKUP(AJ11,Marination_Ordering!$A:$J,6,FALSE)</f>
        <v>1</v>
      </c>
      <c r="AR11" s="1172">
        <f>VLOOKUP(AJ11,Marination_Ordering!$A:$J,10,FALSE)</f>
        <v>31</v>
      </c>
      <c r="AS11" s="175">
        <f t="shared" si="3"/>
        <v>48.333333333333329</v>
      </c>
      <c r="AT11" s="1172">
        <f t="shared" si="4"/>
        <v>1.4983333333333331</v>
      </c>
    </row>
    <row r="12" spans="1:46" ht="14.25" customHeight="1" x14ac:dyDescent="0.25">
      <c r="B12" s="405"/>
      <c r="C12" s="332"/>
      <c r="D12" s="254"/>
      <c r="E12" s="333"/>
      <c r="F12" s="136"/>
      <c r="G12" s="137"/>
      <c r="H12" s="138"/>
      <c r="I12" s="92"/>
      <c r="J12" s="137"/>
      <c r="K12" s="131"/>
      <c r="L12" s="131"/>
      <c r="AJ12" s="374" t="s">
        <v>114</v>
      </c>
      <c r="AK12" s="124" t="s">
        <v>14</v>
      </c>
      <c r="AL12" s="375">
        <v>50</v>
      </c>
      <c r="AM12" s="376">
        <f t="shared" si="0"/>
        <v>1.9333333333333331</v>
      </c>
      <c r="AN12" s="377">
        <v>1</v>
      </c>
      <c r="AO12" s="378">
        <f t="shared" si="1"/>
        <v>96.666666666666657</v>
      </c>
      <c r="AP12" s="379">
        <f t="shared" si="2"/>
        <v>96.666666666666657</v>
      </c>
      <c r="AQ12" s="1172">
        <f>VLOOKUP(AJ12,Marination_Ordering!$A:$J,6,FALSE)</f>
        <v>1</v>
      </c>
      <c r="AR12" s="1172">
        <f>VLOOKUP(AJ12,Marination_Ordering!$A:$J,10,FALSE)</f>
        <v>64.243759177679877</v>
      </c>
      <c r="AS12" s="175">
        <f t="shared" si="3"/>
        <v>96.666666666666657</v>
      </c>
      <c r="AT12" s="1172">
        <f t="shared" si="4"/>
        <v>6.2102300538423867</v>
      </c>
    </row>
    <row r="13" spans="1:46" ht="14.25" customHeight="1" x14ac:dyDescent="0.25">
      <c r="B13" s="349"/>
      <c r="C13" s="332"/>
      <c r="D13" s="254"/>
      <c r="E13" s="333"/>
      <c r="F13" s="136"/>
      <c r="G13" s="137"/>
      <c r="H13" s="138"/>
      <c r="I13" s="92"/>
      <c r="J13" s="137"/>
      <c r="K13" s="131"/>
      <c r="L13" s="131"/>
      <c r="AJ13" s="374" t="s">
        <v>219</v>
      </c>
      <c r="AK13" s="124" t="s">
        <v>165</v>
      </c>
      <c r="AL13" s="375">
        <v>200</v>
      </c>
      <c r="AM13" s="376">
        <f t="shared" si="0"/>
        <v>1.9333333333333331</v>
      </c>
      <c r="AN13" s="377">
        <v>1</v>
      </c>
      <c r="AO13" s="378">
        <f t="shared" si="1"/>
        <v>386.66666666666663</v>
      </c>
      <c r="AP13" s="379">
        <f t="shared" si="2"/>
        <v>386.66666666666663</v>
      </c>
      <c r="AQ13" s="1172">
        <f>VLOOKUP(AJ13,Marination_Ordering!$A:$J,6,FALSE)</f>
        <v>1</v>
      </c>
      <c r="AR13" s="1172">
        <f>VLOOKUP(AJ13,Marination_Ordering!$A:$J,10,FALSE)</f>
        <v>5</v>
      </c>
      <c r="AS13" s="175">
        <f t="shared" si="3"/>
        <v>386.66666666666663</v>
      </c>
      <c r="AT13" s="1172">
        <f t="shared" si="4"/>
        <v>1.9333333333333331</v>
      </c>
    </row>
    <row r="14" spans="1:46" ht="14.25" customHeight="1" x14ac:dyDescent="0.3">
      <c r="B14" s="349"/>
      <c r="C14" s="133"/>
      <c r="D14" s="254"/>
      <c r="E14" s="225"/>
      <c r="F14" s="136"/>
      <c r="G14" s="140"/>
      <c r="H14" s="138"/>
      <c r="I14"/>
      <c r="J14" s="139"/>
    </row>
    <row r="15" spans="1:46" ht="12.75" customHeight="1" x14ac:dyDescent="0.25">
      <c r="B15" s="251"/>
      <c r="C15" s="251"/>
      <c r="D15" s="250"/>
      <c r="E15" s="252"/>
      <c r="F15" s="251"/>
      <c r="G15" s="474"/>
      <c r="H15" s="252"/>
    </row>
    <row r="16" spans="1:46" ht="15.75" customHeight="1" x14ac:dyDescent="0.25">
      <c r="B16" s="99"/>
      <c r="C16" s="99"/>
      <c r="D16" s="352"/>
      <c r="E16" s="352"/>
      <c r="F16" s="352"/>
      <c r="G16" s="99"/>
      <c r="H16" s="99"/>
    </row>
    <row r="17" spans="2:29" ht="15.75" customHeight="1" x14ac:dyDescent="0.25">
      <c r="B17" s="99"/>
      <c r="C17" s="99"/>
      <c r="D17" s="352"/>
      <c r="E17" s="352"/>
      <c r="F17" s="352"/>
      <c r="G17" s="99"/>
      <c r="H17" s="99"/>
    </row>
    <row r="18" spans="2:29" ht="14" customHeight="1" x14ac:dyDescent="0.25">
      <c r="B18" s="251"/>
      <c r="C18" s="253"/>
      <c r="D18" s="251"/>
      <c r="E18" s="251"/>
      <c r="F18" s="251"/>
      <c r="G18" s="251"/>
      <c r="H18" s="251"/>
      <c r="N18" s="264"/>
    </row>
    <row r="19" spans="2:29" ht="14" customHeight="1" x14ac:dyDescent="0.25">
      <c r="B19" s="405"/>
      <c r="C19" s="133"/>
      <c r="D19" s="475"/>
      <c r="E19" s="476"/>
      <c r="F19" s="477"/>
      <c r="G19" s="478"/>
      <c r="H19" s="479"/>
    </row>
    <row r="20" spans="2:29" ht="14" customHeight="1" x14ac:dyDescent="0.25">
      <c r="B20" s="405"/>
      <c r="C20" s="133"/>
      <c r="D20" s="333"/>
      <c r="E20" s="476"/>
      <c r="F20" s="477"/>
      <c r="G20" s="478"/>
      <c r="H20" s="479"/>
    </row>
    <row r="21" spans="2:29" ht="14" customHeight="1" x14ac:dyDescent="0.25">
      <c r="B21" s="405"/>
      <c r="C21" s="133"/>
      <c r="D21" s="333"/>
      <c r="E21" s="476"/>
      <c r="F21" s="477"/>
      <c r="G21" s="478"/>
      <c r="H21" s="479"/>
    </row>
    <row r="22" spans="2:29" ht="14" customHeight="1" x14ac:dyDescent="0.25">
      <c r="B22" s="405"/>
      <c r="C22" s="133"/>
      <c r="D22" s="225"/>
      <c r="E22" s="476"/>
      <c r="F22" s="477"/>
      <c r="G22" s="478"/>
      <c r="H22" s="479"/>
    </row>
    <row r="23" spans="2:29" ht="14" customHeight="1" x14ac:dyDescent="0.25">
      <c r="B23" s="405"/>
      <c r="C23" s="133"/>
      <c r="D23" s="333"/>
      <c r="E23" s="476"/>
      <c r="F23" s="477"/>
      <c r="G23" s="478"/>
      <c r="H23" s="479"/>
    </row>
    <row r="24" spans="2:29" ht="14" customHeight="1" x14ac:dyDescent="0.25">
      <c r="B24" s="405"/>
      <c r="C24" s="133"/>
      <c r="D24" s="333"/>
      <c r="E24" s="476"/>
      <c r="F24" s="477"/>
      <c r="G24" s="478"/>
      <c r="H24" s="479"/>
      <c r="Z24" s="1234"/>
    </row>
    <row r="25" spans="2:29" ht="14" customHeight="1" x14ac:dyDescent="0.3">
      <c r="B25" s="405"/>
      <c r="C25" s="133"/>
      <c r="D25" s="333"/>
      <c r="E25" s="476"/>
      <c r="F25" s="477"/>
      <c r="G25" s="478"/>
      <c r="H25" s="479"/>
      <c r="R25" s="1430" t="s">
        <v>413</v>
      </c>
      <c r="S25" s="1476"/>
      <c r="T25" s="1476"/>
      <c r="U25" s="1476"/>
      <c r="V25" s="1206"/>
      <c r="Z25" s="141" t="s">
        <v>264</v>
      </c>
      <c r="AA25" s="142">
        <v>507</v>
      </c>
      <c r="AB25" s="141" t="s">
        <v>261</v>
      </c>
      <c r="AC25" s="1237">
        <f>AC30*AA25+(AB30*(AA28/R1))</f>
        <v>411.46021205209144</v>
      </c>
    </row>
    <row r="26" spans="2:29" ht="14" customHeight="1" x14ac:dyDescent="0.3">
      <c r="B26" s="405"/>
      <c r="C26" s="133"/>
      <c r="D26" s="254"/>
      <c r="E26" s="476"/>
      <c r="F26" s="477"/>
      <c r="G26" s="478"/>
      <c r="H26" s="479"/>
      <c r="R26" s="1416" t="s">
        <v>309</v>
      </c>
      <c r="S26" s="1475"/>
      <c r="T26" s="1475"/>
      <c r="U26" s="1475"/>
      <c r="V26" s="1206"/>
      <c r="Z26"/>
      <c r="AA26"/>
    </row>
    <row r="27" spans="2:29" ht="14" customHeight="1" thickBot="1" x14ac:dyDescent="0.35">
      <c r="B27" s="405"/>
      <c r="C27" s="133"/>
      <c r="D27" s="333"/>
      <c r="E27" s="476"/>
      <c r="F27" s="477"/>
      <c r="G27" s="478"/>
      <c r="H27" s="479"/>
      <c r="P27" s="338"/>
      <c r="R27" s="145" t="s">
        <v>266</v>
      </c>
      <c r="S27" s="145" t="s">
        <v>371</v>
      </c>
      <c r="T27" s="145" t="s">
        <v>268</v>
      </c>
      <c r="U27" s="145" t="s">
        <v>269</v>
      </c>
      <c r="V27" s="146" t="s">
        <v>839</v>
      </c>
      <c r="Z27" s="141" t="s">
        <v>270</v>
      </c>
      <c r="AA27" s="147" t="s">
        <v>271</v>
      </c>
      <c r="AB27" s="1185" t="s">
        <v>324</v>
      </c>
      <c r="AC27" s="147" t="s">
        <v>274</v>
      </c>
    </row>
    <row r="28" spans="2:29" ht="14" customHeight="1" thickBot="1" x14ac:dyDescent="0.35">
      <c r="R28" s="145" t="s">
        <v>275</v>
      </c>
      <c r="S28" s="790">
        <f>$Z$1</f>
        <v>488</v>
      </c>
      <c r="T28" s="339"/>
      <c r="U28" s="792">
        <f>S28</f>
        <v>488</v>
      </c>
      <c r="V28" s="149">
        <f>SUM(AP5:AP13)</f>
        <v>1169.6666666666665</v>
      </c>
      <c r="Z28" s="151"/>
      <c r="AA28" s="1200">
        <f>AA25</f>
        <v>507</v>
      </c>
      <c r="AB28" s="1188"/>
      <c r="AC28" s="154">
        <f>SUM(AA28:AB28)</f>
        <v>507</v>
      </c>
    </row>
    <row r="29" spans="2:29" ht="14" customHeight="1" thickBot="1" x14ac:dyDescent="0.35">
      <c r="R29" s="145" t="s">
        <v>276</v>
      </c>
      <c r="S29" s="294"/>
      <c r="T29" s="339"/>
      <c r="U29" s="792">
        <f>T29</f>
        <v>0</v>
      </c>
      <c r="V29" s="149"/>
      <c r="Z29" s="151"/>
      <c r="AA29" s="156">
        <v>1</v>
      </c>
      <c r="AB29" s="1192"/>
      <c r="AC29" s="156">
        <f>AC28/$AC$28</f>
        <v>1</v>
      </c>
    </row>
    <row r="30" spans="2:29" ht="14" customHeight="1" thickBot="1" x14ac:dyDescent="0.35">
      <c r="R30" s="145" t="s">
        <v>277</v>
      </c>
      <c r="S30" s="789">
        <f>$AB$1</f>
        <v>5</v>
      </c>
      <c r="T30" s="339"/>
      <c r="U30" s="792">
        <f>S30</f>
        <v>5</v>
      </c>
      <c r="V30" s="1143"/>
      <c r="Z30" s="141" t="s">
        <v>278</v>
      </c>
      <c r="AA30" s="157">
        <f>S35/(S32)</f>
        <v>0.77975376196990454</v>
      </c>
      <c r="AB30" s="1196">
        <f>V35/(S32/R1)</f>
        <v>1.6220469258399258E-2</v>
      </c>
      <c r="AC30" s="1207">
        <f>SUMPRODUCT(AA29,AA30)</f>
        <v>0.77975376196990454</v>
      </c>
    </row>
    <row r="31" spans="2:29" ht="14" customHeight="1" thickBot="1" x14ac:dyDescent="0.35">
      <c r="R31" s="145" t="s">
        <v>279</v>
      </c>
      <c r="S31" s="294" t="s">
        <v>322</v>
      </c>
      <c r="T31" s="339">
        <f>T28+T29</f>
        <v>0</v>
      </c>
      <c r="U31" s="339">
        <f>T31</f>
        <v>0</v>
      </c>
      <c r="V31" s="149"/>
    </row>
    <row r="32" spans="2:29" ht="14" customHeight="1" thickBot="1" x14ac:dyDescent="0.35">
      <c r="R32" s="146" t="s">
        <v>269</v>
      </c>
      <c r="S32" s="340">
        <f>S28+S30</f>
        <v>493</v>
      </c>
      <c r="T32" s="340">
        <f>SUM(T28:T30)</f>
        <v>0</v>
      </c>
      <c r="U32" s="340">
        <f>U28+U30</f>
        <v>493</v>
      </c>
      <c r="V32" s="149">
        <f>SUM(V28:V30)</f>
        <v>1169.6666666666665</v>
      </c>
    </row>
    <row r="33" spans="11:22" ht="17.75" customHeight="1" thickBot="1" x14ac:dyDescent="0.35">
      <c r="K33" s="262"/>
      <c r="R33" s="341" t="s">
        <v>280</v>
      </c>
      <c r="S33" s="342"/>
      <c r="T33" s="342"/>
      <c r="U33" s="343"/>
      <c r="V33" s="155"/>
    </row>
    <row r="34" spans="11:22" ht="17.75" customHeight="1" thickBot="1" x14ac:dyDescent="0.35">
      <c r="K34" s="262"/>
      <c r="R34" s="178" t="s">
        <v>281</v>
      </c>
      <c r="S34" s="344"/>
      <c r="T34" s="345">
        <f>T33-(T28+T29)</f>
        <v>0</v>
      </c>
      <c r="U34" s="344"/>
      <c r="V34" s="155"/>
    </row>
    <row r="35" spans="11:22" ht="12.75" customHeight="1" thickBot="1" x14ac:dyDescent="0.35">
      <c r="R35" s="163" t="s">
        <v>261</v>
      </c>
      <c r="S35" s="164">
        <f>$L$5</f>
        <v>384.41860465116292</v>
      </c>
      <c r="T35" s="164">
        <f>SUM(N6:N23)</f>
        <v>0</v>
      </c>
      <c r="U35" s="164">
        <f>S35+T35+V35</f>
        <v>400.09839160094884</v>
      </c>
      <c r="V35" s="1144">
        <f>SUM(AT6:AT13)</f>
        <v>15.679786949785949</v>
      </c>
    </row>
    <row r="36" spans="11:22" ht="12.75" customHeight="1" x14ac:dyDescent="0.25"/>
    <row r="37" spans="11:22" ht="12.75" customHeight="1" x14ac:dyDescent="0.25"/>
    <row r="38" spans="11:22" ht="12.75" customHeight="1" x14ac:dyDescent="0.25"/>
    <row r="39" spans="11:22" ht="12.75" customHeight="1" x14ac:dyDescent="0.25"/>
    <row r="40" spans="11:22" ht="25.5" customHeight="1" x14ac:dyDescent="0.25"/>
    <row r="41" spans="11:22" ht="12.75" customHeight="1" x14ac:dyDescent="0.25"/>
    <row r="42" spans="11:22" ht="12.75" customHeight="1" x14ac:dyDescent="0.25"/>
    <row r="43" spans="11:22" ht="12.75" customHeight="1" x14ac:dyDescent="0.25"/>
    <row r="44" spans="11:22" ht="14.25" customHeight="1" x14ac:dyDescent="0.25"/>
    <row r="46" spans="11:22" ht="14.25" customHeight="1" x14ac:dyDescent="0.25"/>
    <row r="47" spans="11:22" ht="14.25" customHeight="1" x14ac:dyDescent="0.25">
      <c r="K47" s="881"/>
      <c r="L47" s="881"/>
    </row>
    <row r="48" spans="11:22" ht="14.25" customHeight="1" x14ac:dyDescent="0.25">
      <c r="K48" s="881"/>
      <c r="L48" s="881"/>
    </row>
    <row r="49" spans="1:12" ht="14.25" customHeight="1" x14ac:dyDescent="0.25">
      <c r="K49" s="881"/>
      <c r="L49" s="881"/>
    </row>
    <row r="50" spans="1:12" ht="14.25" customHeight="1" x14ac:dyDescent="0.25">
      <c r="E50" s="100"/>
      <c r="F50" s="100"/>
      <c r="K50" s="881"/>
      <c r="L50" s="881"/>
    </row>
    <row r="51" spans="1:12" ht="14.25" customHeight="1" x14ac:dyDescent="0.25">
      <c r="E51" s="183"/>
      <c r="F51" s="100"/>
      <c r="K51" s="881"/>
      <c r="L51" s="881"/>
    </row>
    <row r="52" spans="1:12" ht="14.25" customHeight="1" x14ac:dyDescent="0.25">
      <c r="E52" s="100"/>
      <c r="F52" s="100"/>
      <c r="K52" s="881"/>
      <c r="L52" s="881"/>
    </row>
    <row r="53" spans="1:12" ht="14.25" customHeight="1" x14ac:dyDescent="0.25">
      <c r="D53" s="413"/>
      <c r="E53" s="100"/>
      <c r="F53" s="100"/>
      <c r="K53" s="881"/>
      <c r="L53" s="881"/>
    </row>
    <row r="54" spans="1:12" ht="14.25" customHeight="1" x14ac:dyDescent="0.25">
      <c r="D54" s="413"/>
      <c r="E54" s="100"/>
      <c r="F54" s="100"/>
      <c r="K54" s="881"/>
      <c r="L54" s="881"/>
    </row>
    <row r="55" spans="1:12" ht="14.25" customHeight="1" x14ac:dyDescent="0.25">
      <c r="D55" s="413"/>
      <c r="E55" s="100"/>
      <c r="F55" s="100"/>
      <c r="K55" s="881"/>
      <c r="L55" s="881"/>
    </row>
    <row r="56" spans="1:12" ht="14.25" customHeight="1" x14ac:dyDescent="0.25">
      <c r="E56" s="100"/>
      <c r="F56" s="100"/>
      <c r="K56" s="881"/>
      <c r="L56" s="881"/>
    </row>
    <row r="57" spans="1:12" x14ac:dyDescent="0.25">
      <c r="G57" s="881"/>
      <c r="H57" s="881"/>
      <c r="I57" s="881"/>
      <c r="J57" s="881"/>
      <c r="K57" s="881"/>
      <c r="L57" s="881"/>
    </row>
    <row r="58" spans="1:12" x14ac:dyDescent="0.25">
      <c r="G58" s="881"/>
      <c r="H58" s="881"/>
      <c r="I58" s="881"/>
      <c r="J58" s="881"/>
      <c r="K58" s="881"/>
      <c r="L58" s="881"/>
    </row>
    <row r="62" spans="1:12" ht="18" customHeight="1" x14ac:dyDescent="0.25">
      <c r="B62" s="1428"/>
      <c r="C62" s="1389"/>
      <c r="D62" s="1389"/>
      <c r="E62" s="1389"/>
      <c r="F62" s="1389"/>
      <c r="G62" s="1389"/>
      <c r="H62" s="1389"/>
      <c r="I62" s="262"/>
      <c r="J62" s="262"/>
    </row>
    <row r="63" spans="1:12" ht="18" customHeight="1" x14ac:dyDescent="0.25">
      <c r="B63" s="1428"/>
      <c r="C63" s="1389"/>
      <c r="D63" s="1389"/>
      <c r="E63" s="1389"/>
      <c r="F63" s="1389"/>
      <c r="G63" s="1389"/>
      <c r="H63" s="1389"/>
      <c r="I63" s="1389"/>
      <c r="J63" s="262"/>
    </row>
    <row r="64" spans="1:12" ht="13.25" customHeight="1" x14ac:dyDescent="0.25">
      <c r="A64" s="371"/>
      <c r="B64" s="347"/>
      <c r="C64" s="348"/>
      <c r="D64" s="347"/>
      <c r="E64" s="347"/>
      <c r="F64" s="347"/>
      <c r="G64" s="347"/>
      <c r="H64" s="347"/>
      <c r="I64" s="347"/>
      <c r="J64" s="347"/>
    </row>
    <row r="65" spans="2:10" ht="14.25" customHeight="1" x14ac:dyDescent="0.25">
      <c r="B65" s="349"/>
      <c r="C65" s="349"/>
      <c r="D65" s="482"/>
      <c r="E65" s="483"/>
      <c r="F65" s="136"/>
      <c r="G65" s="137"/>
      <c r="H65" s="138"/>
      <c r="I65" s="92"/>
      <c r="J65" s="139"/>
    </row>
    <row r="66" spans="2:10" ht="14.25" customHeight="1" x14ac:dyDescent="0.25">
      <c r="B66" s="349"/>
      <c r="C66" s="349"/>
      <c r="D66" s="349"/>
      <c r="E66" s="483"/>
      <c r="F66" s="136"/>
      <c r="G66" s="137"/>
      <c r="H66" s="138"/>
      <c r="I66" s="92"/>
      <c r="J66" s="139"/>
    </row>
    <row r="67" spans="2:10" ht="14.25" customHeight="1" x14ac:dyDescent="0.25">
      <c r="B67" s="349"/>
      <c r="C67" s="349"/>
      <c r="D67" s="349"/>
      <c r="E67" s="483"/>
      <c r="F67" s="136"/>
      <c r="G67" s="137"/>
      <c r="H67" s="138"/>
      <c r="I67" s="92"/>
      <c r="J67" s="139"/>
    </row>
    <row r="68" spans="2:10" ht="14.25" customHeight="1" x14ac:dyDescent="0.25">
      <c r="B68" s="349"/>
      <c r="C68" s="349"/>
      <c r="D68" s="349"/>
      <c r="E68" s="483"/>
      <c r="F68" s="136"/>
      <c r="G68" s="137"/>
      <c r="H68" s="138"/>
      <c r="I68" s="92"/>
      <c r="J68" s="139"/>
    </row>
    <row r="69" spans="2:10" ht="14.25" customHeight="1" x14ac:dyDescent="0.25">
      <c r="B69" s="349"/>
      <c r="C69" s="349"/>
      <c r="D69" s="349"/>
      <c r="E69" s="483"/>
      <c r="F69" s="136"/>
      <c r="G69" s="137"/>
      <c r="H69" s="138"/>
      <c r="I69" s="92"/>
      <c r="J69" s="139"/>
    </row>
    <row r="70" spans="2:10" ht="14.25" customHeight="1" x14ac:dyDescent="0.25">
      <c r="B70" s="349"/>
      <c r="C70" s="349"/>
      <c r="D70" s="349"/>
      <c r="E70" s="483"/>
      <c r="F70" s="136"/>
      <c r="G70" s="137"/>
      <c r="H70" s="138"/>
      <c r="I70" s="92"/>
      <c r="J70" s="139"/>
    </row>
    <row r="71" spans="2:10" ht="14.25" customHeight="1" x14ac:dyDescent="0.25">
      <c r="B71" s="349"/>
      <c r="C71" s="349"/>
      <c r="D71" s="349"/>
      <c r="E71" s="483"/>
      <c r="F71" s="136"/>
      <c r="G71" s="137"/>
      <c r="H71" s="138"/>
      <c r="I71" s="92"/>
      <c r="J71" s="139"/>
    </row>
    <row r="72" spans="2:10" ht="14.25" customHeight="1" x14ac:dyDescent="0.25">
      <c r="B72" s="349"/>
      <c r="C72" s="349"/>
      <c r="D72" s="349"/>
      <c r="E72" s="483"/>
      <c r="F72" s="136"/>
      <c r="G72" s="137"/>
      <c r="H72" s="138"/>
      <c r="I72" s="92"/>
      <c r="J72" s="139"/>
    </row>
    <row r="73" spans="2:10" ht="20.25" customHeight="1" x14ac:dyDescent="0.4">
      <c r="B73" s="204"/>
      <c r="C73" s="484"/>
      <c r="D73" s="485"/>
      <c r="E73" s="486"/>
      <c r="F73" s="485"/>
      <c r="G73" s="487"/>
      <c r="H73" s="203"/>
      <c r="I73" s="204"/>
      <c r="J73" s="203"/>
    </row>
  </sheetData>
  <mergeCells count="7">
    <mergeCell ref="B63:I63"/>
    <mergeCell ref="AK2:AN2"/>
    <mergeCell ref="AE2:AG3"/>
    <mergeCell ref="R26:U26"/>
    <mergeCell ref="B62:H62"/>
    <mergeCell ref="R25:U25"/>
    <mergeCell ref="B2:H3"/>
  </mergeCells>
  <printOptions horizontalCentered="1"/>
  <pageMargins left="0.5" right="0.5" top="1" bottom="0.5" header="0.3" footer="0.511811023622047"/>
  <pageSetup paperSize="9" scale="13" orientation="portrait"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rgb="FFBF9000"/>
    <pageSetUpPr fitToPage="1"/>
  </sheetPr>
  <dimension ref="A1:AT74"/>
  <sheetViews>
    <sheetView topLeftCell="B1" zoomScale="70" zoomScaleNormal="70" workbookViewId="0">
      <selection activeCell="T28" sqref="S28:T30"/>
    </sheetView>
  </sheetViews>
  <sheetFormatPr defaultColWidth="12.5" defaultRowHeight="12.5" x14ac:dyDescent="0.25"/>
  <cols>
    <col min="1" max="1" width="12.5" style="14" customWidth="1"/>
    <col min="2" max="2" width="38.66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3.83203125" style="14" customWidth="1"/>
    <col min="15" max="15" width="16.58203125" style="14" customWidth="1"/>
    <col min="16" max="17" width="12.5" style="14" customWidth="1"/>
    <col min="18" max="18" width="32.08203125" style="14" customWidth="1"/>
    <col min="19" max="19" width="12.5" style="14" customWidth="1"/>
    <col min="20" max="26" width="12.5" style="14"/>
    <col min="27" max="27" width="13.1640625" style="14" bestFit="1" customWidth="1"/>
    <col min="28" max="28" width="12.5" style="14" bestFit="1" customWidth="1"/>
    <col min="29" max="30" width="12.5" style="14"/>
    <col min="31" max="31" width="5.75" style="14" bestFit="1" customWidth="1"/>
    <col min="32" max="32" width="7.08203125" style="14" bestFit="1" customWidth="1"/>
    <col min="33" max="35" width="3.25" style="14" customWidth="1"/>
    <col min="36" max="36" width="31.4140625" style="14" customWidth="1"/>
    <col min="37" max="16384" width="12.5" style="14"/>
  </cols>
  <sheetData>
    <row r="1" spans="1:46" ht="28.5" customHeight="1" x14ac:dyDescent="0.3">
      <c r="B1" s="80" t="s">
        <v>243</v>
      </c>
      <c r="C1" s="81">
        <v>1000</v>
      </c>
      <c r="D1" s="82" t="s">
        <v>244</v>
      </c>
      <c r="E1" s="117">
        <f>T32</f>
        <v>4181.1000000000004</v>
      </c>
      <c r="F1" s="80" t="s">
        <v>245</v>
      </c>
      <c r="G1" s="117">
        <f>E1/C1</f>
        <v>4.1811000000000007</v>
      </c>
      <c r="H1" s="80" t="s">
        <v>246</v>
      </c>
      <c r="I1" s="117">
        <f>G1/K1</f>
        <v>4.1811000000000007</v>
      </c>
      <c r="J1" s="326" t="s">
        <v>247</v>
      </c>
      <c r="K1" s="327">
        <v>1</v>
      </c>
      <c r="L1" s="100"/>
      <c r="M1" s="89"/>
      <c r="N1" s="90"/>
      <c r="O1" s="91" t="s">
        <v>248</v>
      </c>
      <c r="P1" s="465" t="s">
        <v>249</v>
      </c>
      <c r="Q1" s="93" t="s">
        <v>250</v>
      </c>
      <c r="R1" s="92">
        <v>0.59</v>
      </c>
      <c r="S1" s="93" t="s">
        <v>345</v>
      </c>
      <c r="T1" s="328">
        <v>100</v>
      </c>
      <c r="U1" s="100"/>
      <c r="V1" s="100"/>
      <c r="Y1" s="91" t="s">
        <v>479</v>
      </c>
      <c r="Z1" s="847">
        <v>176</v>
      </c>
      <c r="AA1" s="91" t="s">
        <v>600</v>
      </c>
      <c r="AB1" s="847">
        <v>5</v>
      </c>
      <c r="AC1" s="91" t="s">
        <v>587</v>
      </c>
      <c r="AD1" s="847">
        <v>176</v>
      </c>
      <c r="AE1" s="91" t="s">
        <v>578</v>
      </c>
      <c r="AF1" s="847">
        <f>Z1+AB1</f>
        <v>181</v>
      </c>
      <c r="AJ1" s="94" t="s">
        <v>262</v>
      </c>
      <c r="AK1" s="94">
        <v>10000</v>
      </c>
      <c r="AL1" s="628" t="s">
        <v>520</v>
      </c>
      <c r="AM1" s="629">
        <f>$S$32</f>
        <v>13918.9</v>
      </c>
      <c r="AN1" s="94" t="s">
        <v>251</v>
      </c>
      <c r="AO1" s="96">
        <f>($S$32/$R$1)/$AK$1</f>
        <v>2.3591355932203393</v>
      </c>
      <c r="AP1" s="95"/>
    </row>
    <row r="2" spans="1:46" ht="12.75" customHeight="1" x14ac:dyDescent="0.25">
      <c r="A2" s="330"/>
      <c r="B2" s="1387" t="s">
        <v>84</v>
      </c>
      <c r="C2" s="1389"/>
      <c r="D2" s="1389"/>
      <c r="E2" s="1389"/>
      <c r="F2" s="1389"/>
      <c r="G2" s="1389"/>
      <c r="H2" s="1389"/>
      <c r="I2" s="1389"/>
      <c r="J2" s="1389"/>
      <c r="K2" s="1389"/>
      <c r="L2" s="293"/>
      <c r="M2" s="100"/>
      <c r="N2" s="100"/>
      <c r="O2" s="100"/>
      <c r="P2" s="100"/>
      <c r="Q2" s="100"/>
      <c r="R2" s="100"/>
      <c r="AC2" s="99"/>
      <c r="AD2" s="99"/>
      <c r="AE2" s="1391"/>
      <c r="AF2" s="1389"/>
      <c r="AG2" s="1389"/>
      <c r="AJ2" s="101"/>
      <c r="AK2" s="1386" t="s">
        <v>414</v>
      </c>
      <c r="AL2" s="1386"/>
      <c r="AM2" s="1386"/>
      <c r="AN2" s="1386"/>
      <c r="AO2" s="101"/>
      <c r="AP2" s="101"/>
    </row>
    <row r="3" spans="1:46" ht="12.75" customHeight="1" x14ac:dyDescent="0.25">
      <c r="A3" s="330"/>
      <c r="B3" s="1388"/>
      <c r="C3" s="1388"/>
      <c r="D3" s="1388"/>
      <c r="E3" s="1388"/>
      <c r="F3" s="1388"/>
      <c r="G3" s="1388"/>
      <c r="H3" s="1388"/>
      <c r="I3" s="1388"/>
      <c r="J3" s="1388"/>
      <c r="K3" s="1388"/>
      <c r="L3" s="293"/>
      <c r="M3" s="100"/>
      <c r="N3" s="100"/>
      <c r="O3" s="100"/>
      <c r="P3" s="100"/>
      <c r="Q3" s="100"/>
      <c r="R3" s="100"/>
      <c r="AC3" s="99"/>
      <c r="AD3" s="99"/>
      <c r="AE3" s="1389"/>
      <c r="AF3" s="1389"/>
      <c r="AG3" s="1389"/>
      <c r="AJ3" s="373"/>
      <c r="AK3" s="104"/>
      <c r="AL3" s="105"/>
      <c r="AM3" s="105"/>
      <c r="AN3" s="105"/>
      <c r="AO3" s="104"/>
      <c r="AP3" s="104"/>
    </row>
    <row r="4" spans="1:46" ht="68.75" customHeight="1" x14ac:dyDescent="0.25">
      <c r="A4" s="91" t="s">
        <v>1</v>
      </c>
      <c r="B4" s="91" t="s">
        <v>253</v>
      </c>
      <c r="C4" s="107" t="s">
        <v>254</v>
      </c>
      <c r="D4" s="91" t="s">
        <v>243</v>
      </c>
      <c r="E4" s="218" t="s">
        <v>246</v>
      </c>
      <c r="F4" s="108" t="s">
        <v>255</v>
      </c>
      <c r="G4" s="91" t="s">
        <v>256</v>
      </c>
      <c r="H4" s="107" t="s">
        <v>347</v>
      </c>
      <c r="I4" s="91" t="s">
        <v>258</v>
      </c>
      <c r="J4" s="91" t="s">
        <v>259</v>
      </c>
      <c r="K4" s="91" t="s">
        <v>260</v>
      </c>
      <c r="L4" s="91" t="s">
        <v>261</v>
      </c>
      <c r="M4" s="371"/>
      <c r="N4" s="371"/>
      <c r="O4" s="100"/>
      <c r="P4" s="100"/>
      <c r="Q4" s="100"/>
      <c r="R4" s="100"/>
      <c r="AC4" s="251"/>
      <c r="AD4" s="253"/>
      <c r="AE4" s="251"/>
      <c r="AF4" s="251"/>
      <c r="AG4" s="251"/>
      <c r="AJ4" s="110" t="s">
        <v>253</v>
      </c>
      <c r="AK4" s="111" t="s">
        <v>254</v>
      </c>
      <c r="AL4" s="110" t="s">
        <v>262</v>
      </c>
      <c r="AM4" s="110" t="s">
        <v>246</v>
      </c>
      <c r="AN4" s="110" t="s">
        <v>255</v>
      </c>
      <c r="AO4" s="110" t="s">
        <v>256</v>
      </c>
      <c r="AP4" s="112" t="s">
        <v>257</v>
      </c>
      <c r="AQ4" s="91" t="s">
        <v>258</v>
      </c>
      <c r="AR4" s="91" t="s">
        <v>259</v>
      </c>
      <c r="AS4" s="91" t="s">
        <v>260</v>
      </c>
      <c r="AT4" s="91" t="s">
        <v>261</v>
      </c>
    </row>
    <row r="5" spans="1:46" ht="13.25" customHeight="1" x14ac:dyDescent="0.25">
      <c r="A5" s="266" t="s">
        <v>230</v>
      </c>
      <c r="B5" s="309" t="s">
        <v>229</v>
      </c>
      <c r="C5" s="124" t="s">
        <v>14</v>
      </c>
      <c r="D5" s="488">
        <f>I51/10</f>
        <v>5649.8305084745762</v>
      </c>
      <c r="E5" s="117">
        <f>H52</f>
        <v>4.1755864882702349</v>
      </c>
      <c r="F5" s="127">
        <v>1</v>
      </c>
      <c r="G5" s="119">
        <f t="shared" ref="G5:G12" si="0">D5*E5</f>
        <v>23591.355932203391</v>
      </c>
      <c r="H5" s="120">
        <f t="shared" ref="H5:H12" si="1">G5*F5</f>
        <v>23591.355932203391</v>
      </c>
      <c r="I5" s="81">
        <f>VLOOKUP(B5,All_Ingredients!$A$1:$F$151,6,FALSE())</f>
        <v>0.86</v>
      </c>
      <c r="J5" s="119">
        <f>VLOOKUP(B5,All_Ingredients!$A$1:$J$151,10,FALSE())</f>
        <v>17.100000000000001</v>
      </c>
      <c r="K5" s="122">
        <f t="shared" ref="K5" si="2">(H5/I5)/1000</f>
        <v>27.431809223492316</v>
      </c>
      <c r="L5" s="122">
        <f t="shared" ref="L5" si="3">K5*J5</f>
        <v>469.08393772171866</v>
      </c>
      <c r="M5" s="131"/>
      <c r="N5" s="131"/>
      <c r="O5" s="100"/>
      <c r="P5" s="100"/>
      <c r="Q5" s="100"/>
      <c r="R5" s="100"/>
      <c r="AC5" s="92"/>
      <c r="AD5" s="133"/>
      <c r="AE5" s="254"/>
      <c r="AF5" s="135"/>
      <c r="AG5" s="136"/>
      <c r="AJ5" s="374" t="s">
        <v>229</v>
      </c>
      <c r="AK5" s="124" t="s">
        <v>238</v>
      </c>
      <c r="AL5" s="375">
        <v>10</v>
      </c>
      <c r="AM5" s="376">
        <f t="shared" ref="AM5:AM13" si="4">$AO$1</f>
        <v>2.3591355932203393</v>
      </c>
      <c r="AN5" s="377">
        <v>1</v>
      </c>
      <c r="AO5" s="378">
        <f t="shared" ref="AO5:AO13" si="5">AL5*AM5</f>
        <v>23.591355932203392</v>
      </c>
      <c r="AP5" s="379">
        <f t="shared" ref="AP5:AP13" si="6">AO5*AN5</f>
        <v>23.591355932203392</v>
      </c>
      <c r="AQ5" s="295"/>
      <c r="AR5" s="1171"/>
      <c r="AS5" s="175"/>
      <c r="AT5" s="1172"/>
    </row>
    <row r="6" spans="1:46" ht="14.25" customHeight="1" x14ac:dyDescent="0.3">
      <c r="A6" s="295" t="s">
        <v>13</v>
      </c>
      <c r="B6" s="222" t="s">
        <v>12</v>
      </c>
      <c r="C6" s="124" t="s">
        <v>14</v>
      </c>
      <c r="D6" s="133">
        <v>190</v>
      </c>
      <c r="E6" s="116">
        <f t="shared" ref="E6:E12" si="7">$I$1</f>
        <v>4.1811000000000007</v>
      </c>
      <c r="F6" s="127">
        <v>1</v>
      </c>
      <c r="G6" s="119">
        <f t="shared" si="0"/>
        <v>794.40900000000011</v>
      </c>
      <c r="H6" s="120">
        <f t="shared" si="1"/>
        <v>794.40900000000011</v>
      </c>
      <c r="I6" s="81">
        <f>VLOOKUP(B6,All_Ingredients!$A$1:$F$151,6,FALSE())</f>
        <v>0.9</v>
      </c>
      <c r="J6" s="119">
        <f>VLOOKUP(B6,All_Ingredients!$A$1:$J$151,10,FALSE())</f>
        <v>3</v>
      </c>
      <c r="K6" s="122">
        <f t="shared" ref="K6:K12" si="8">(H6/I6)/1000</f>
        <v>0.88267666666666678</v>
      </c>
      <c r="L6" s="122">
        <f t="shared" ref="L6:L12" si="9">K6*J6</f>
        <v>2.6480300000000003</v>
      </c>
      <c r="M6" s="131"/>
      <c r="N6" s="131"/>
      <c r="AI6" s="14" t="s">
        <v>57</v>
      </c>
      <c r="AJ6" s="374" t="s">
        <v>56</v>
      </c>
      <c r="AK6" s="334" t="s">
        <v>14</v>
      </c>
      <c r="AL6" s="116">
        <v>100</v>
      </c>
      <c r="AM6" s="376">
        <f t="shared" si="4"/>
        <v>2.3591355932203393</v>
      </c>
      <c r="AN6" s="377">
        <v>1</v>
      </c>
      <c r="AO6" s="378">
        <f t="shared" si="5"/>
        <v>235.91355932203393</v>
      </c>
      <c r="AP6" s="379">
        <f t="shared" si="6"/>
        <v>235.91355932203393</v>
      </c>
      <c r="AQ6" s="1172">
        <f>VLOOKUP(AJ6,Marination_Ordering!$A:$J,6,FALSE)</f>
        <v>0.87</v>
      </c>
      <c r="AR6" s="1172">
        <f>VLOOKUP(AJ6,Marination_Ordering!$A:$J,10,FALSE)</f>
        <v>3.2</v>
      </c>
      <c r="AS6" s="175">
        <f>AP6/AQ6</f>
        <v>271.16501071498152</v>
      </c>
      <c r="AT6" s="1172">
        <f>AR6*(AS6/1000)</f>
        <v>0.86772803428794087</v>
      </c>
    </row>
    <row r="7" spans="1:46" ht="14.25" customHeight="1" x14ac:dyDescent="0.3">
      <c r="A7" s="295" t="s">
        <v>13</v>
      </c>
      <c r="B7" s="222" t="s">
        <v>28</v>
      </c>
      <c r="C7" s="124" t="s">
        <v>14</v>
      </c>
      <c r="D7" s="116">
        <v>190</v>
      </c>
      <c r="E7" s="116">
        <f t="shared" si="7"/>
        <v>4.1811000000000007</v>
      </c>
      <c r="F7" s="127">
        <v>1</v>
      </c>
      <c r="G7" s="119">
        <f t="shared" si="0"/>
        <v>794.40900000000011</v>
      </c>
      <c r="H7" s="120">
        <f t="shared" si="1"/>
        <v>794.40900000000011</v>
      </c>
      <c r="I7" s="81">
        <f>VLOOKUP(B7,All_Ingredients!$A$1:$F$151,6,FALSE())</f>
        <v>0.56999999999999995</v>
      </c>
      <c r="J7" s="119">
        <f>VLOOKUP(B7,All_Ingredients!$A$1:$J$151,10,FALSE())</f>
        <v>8.5</v>
      </c>
      <c r="K7" s="122">
        <f t="shared" si="8"/>
        <v>1.3937000000000004</v>
      </c>
      <c r="L7" s="122">
        <f t="shared" si="9"/>
        <v>11.846450000000003</v>
      </c>
      <c r="M7" s="131"/>
      <c r="N7" s="131"/>
      <c r="AI7" s="14" t="s">
        <v>13</v>
      </c>
      <c r="AJ7" s="374" t="s">
        <v>792</v>
      </c>
      <c r="AK7" s="334" t="s">
        <v>14</v>
      </c>
      <c r="AL7" s="116">
        <v>100</v>
      </c>
      <c r="AM7" s="376">
        <f t="shared" si="4"/>
        <v>2.3591355932203393</v>
      </c>
      <c r="AN7" s="377">
        <v>1</v>
      </c>
      <c r="AO7" s="378">
        <f t="shared" si="5"/>
        <v>235.91355932203393</v>
      </c>
      <c r="AP7" s="379">
        <f t="shared" si="6"/>
        <v>235.91355932203393</v>
      </c>
      <c r="AQ7" s="1172">
        <f>VLOOKUP(AJ7,Marination_Ordering!$A:$J,6,FALSE)</f>
        <v>1</v>
      </c>
      <c r="AR7" s="1172">
        <f>VLOOKUP(AJ7,Marination_Ordering!$A:$J,10,FALSE)</f>
        <v>10.5</v>
      </c>
      <c r="AS7" s="175">
        <f t="shared" ref="AS7:AS9" si="10">AP7/AQ7</f>
        <v>235.91355932203393</v>
      </c>
      <c r="AT7" s="1172">
        <f t="shared" ref="AT7:AT9" si="11">AR7*(AS7/1000)</f>
        <v>2.4770923728813563</v>
      </c>
    </row>
    <row r="8" spans="1:46" ht="14.25" customHeight="1" x14ac:dyDescent="0.3">
      <c r="A8" s="295" t="s">
        <v>13</v>
      </c>
      <c r="B8" s="222" t="s">
        <v>30</v>
      </c>
      <c r="C8" s="124" t="s">
        <v>14</v>
      </c>
      <c r="D8" s="116">
        <v>190</v>
      </c>
      <c r="E8" s="116">
        <f t="shared" si="7"/>
        <v>4.1811000000000007</v>
      </c>
      <c r="F8" s="127">
        <v>1</v>
      </c>
      <c r="G8" s="119">
        <f t="shared" si="0"/>
        <v>794.40900000000011</v>
      </c>
      <c r="H8" s="120">
        <f t="shared" si="1"/>
        <v>794.40900000000011</v>
      </c>
      <c r="I8" s="81">
        <f>VLOOKUP(B8,All_Ingredients!$A$1:$F$151,6,FALSE())</f>
        <v>0.56999999999999995</v>
      </c>
      <c r="J8" s="119">
        <f>VLOOKUP(B8,All_Ingredients!$A$1:$J$151,10,FALSE())</f>
        <v>8.5</v>
      </c>
      <c r="K8" s="122">
        <f t="shared" si="8"/>
        <v>1.3937000000000004</v>
      </c>
      <c r="L8" s="122">
        <f t="shared" si="9"/>
        <v>11.846450000000003</v>
      </c>
      <c r="M8" s="131"/>
      <c r="N8" s="131"/>
      <c r="AI8" s="14" t="s">
        <v>210</v>
      </c>
      <c r="AJ8" s="374" t="s">
        <v>219</v>
      </c>
      <c r="AK8" s="334" t="s">
        <v>165</v>
      </c>
      <c r="AL8" s="223">
        <v>350</v>
      </c>
      <c r="AM8" s="376">
        <f t="shared" si="4"/>
        <v>2.3591355932203393</v>
      </c>
      <c r="AN8" s="377">
        <v>1</v>
      </c>
      <c r="AO8" s="378">
        <f t="shared" si="5"/>
        <v>825.69745762711875</v>
      </c>
      <c r="AP8" s="379">
        <f t="shared" si="6"/>
        <v>825.69745762711875</v>
      </c>
      <c r="AQ8" s="1172">
        <f>VLOOKUP(AJ8,Marination_Ordering!$A:$J,6,FALSE)</f>
        <v>1</v>
      </c>
      <c r="AR8" s="1172">
        <f>VLOOKUP(AJ8,Marination_Ordering!$A:$J,10,FALSE)</f>
        <v>5</v>
      </c>
      <c r="AS8" s="175">
        <f t="shared" si="10"/>
        <v>825.69745762711875</v>
      </c>
      <c r="AT8" s="1172">
        <f t="shared" si="11"/>
        <v>4.1284872881355934</v>
      </c>
    </row>
    <row r="9" spans="1:46" ht="14.25" customHeight="1" x14ac:dyDescent="0.25">
      <c r="A9" s="295" t="s">
        <v>13</v>
      </c>
      <c r="B9" s="22" t="s">
        <v>32</v>
      </c>
      <c r="C9" s="124" t="s">
        <v>14</v>
      </c>
      <c r="D9" s="116">
        <v>190</v>
      </c>
      <c r="E9" s="116">
        <f t="shared" si="7"/>
        <v>4.1811000000000007</v>
      </c>
      <c r="F9" s="127">
        <v>1</v>
      </c>
      <c r="G9" s="119">
        <f t="shared" si="0"/>
        <v>794.40900000000011</v>
      </c>
      <c r="H9" s="120">
        <f t="shared" si="1"/>
        <v>794.40900000000011</v>
      </c>
      <c r="I9" s="81">
        <f>VLOOKUP(B9,All_Ingredients!$A$1:$F$151,6,FALSE())</f>
        <v>0.96</v>
      </c>
      <c r="J9" s="119">
        <f>VLOOKUP(B9,All_Ingredients!$A$1:$J$151,10,FALSE())</f>
        <v>4</v>
      </c>
      <c r="K9" s="122">
        <f t="shared" si="8"/>
        <v>0.8275093750000001</v>
      </c>
      <c r="L9" s="122">
        <f t="shared" si="9"/>
        <v>3.3100375000000004</v>
      </c>
      <c r="M9" s="131"/>
      <c r="N9" s="131"/>
      <c r="AI9" s="14" t="s">
        <v>210</v>
      </c>
      <c r="AJ9" s="374" t="s">
        <v>215</v>
      </c>
      <c r="AK9" s="124" t="s">
        <v>165</v>
      </c>
      <c r="AL9" s="116">
        <v>70</v>
      </c>
      <c r="AM9" s="376">
        <f t="shared" si="4"/>
        <v>2.3591355932203393</v>
      </c>
      <c r="AN9" s="377">
        <v>1</v>
      </c>
      <c r="AO9" s="378">
        <f t="shared" si="5"/>
        <v>165.13949152542375</v>
      </c>
      <c r="AP9" s="379">
        <f t="shared" si="6"/>
        <v>165.13949152542375</v>
      </c>
      <c r="AQ9" s="1172">
        <f>VLOOKUP(AJ9,Marination_Ordering!$A:$J,6,FALSE)</f>
        <v>1</v>
      </c>
      <c r="AR9" s="1172">
        <f>VLOOKUP(AJ9,Marination_Ordering!$A:$J,10,FALSE)</f>
        <v>2.1621621621621623</v>
      </c>
      <c r="AS9" s="175">
        <f t="shared" si="10"/>
        <v>165.13949152542375</v>
      </c>
      <c r="AT9" s="1172">
        <f t="shared" si="11"/>
        <v>0.35705836005497033</v>
      </c>
    </row>
    <row r="10" spans="1:46" ht="14.25" customHeight="1" x14ac:dyDescent="0.35">
      <c r="A10" s="295" t="s">
        <v>196</v>
      </c>
      <c r="B10" s="222" t="s">
        <v>204</v>
      </c>
      <c r="C10" s="1010" t="s">
        <v>165</v>
      </c>
      <c r="D10" s="116">
        <v>360</v>
      </c>
      <c r="E10" s="116">
        <f t="shared" si="7"/>
        <v>4.1811000000000007</v>
      </c>
      <c r="F10" s="127">
        <v>1</v>
      </c>
      <c r="G10" s="119">
        <f t="shared" si="0"/>
        <v>1505.1960000000004</v>
      </c>
      <c r="H10" s="120">
        <f t="shared" si="1"/>
        <v>1505.1960000000004</v>
      </c>
      <c r="I10" s="81">
        <f>VLOOKUP(B10,All_Ingredients!$A$1:$F$151,6,FALSE())</f>
        <v>1</v>
      </c>
      <c r="J10" s="119">
        <f>VLOOKUP(B10,All_Ingredients!$A$1:$J$151,10,FALSE())</f>
        <v>3.25</v>
      </c>
      <c r="K10" s="122">
        <f t="shared" si="8"/>
        <v>1.5051960000000004</v>
      </c>
      <c r="L10" s="122">
        <f t="shared" si="9"/>
        <v>4.8918870000000014</v>
      </c>
      <c r="M10" s="131"/>
      <c r="N10" s="131"/>
      <c r="AI10" s="14" t="s">
        <v>97</v>
      </c>
      <c r="AJ10" s="374" t="s">
        <v>96</v>
      </c>
      <c r="AK10" s="334" t="s">
        <v>14</v>
      </c>
      <c r="AL10" s="116">
        <v>2</v>
      </c>
      <c r="AM10" s="376">
        <f t="shared" si="4"/>
        <v>2.3591355932203393</v>
      </c>
      <c r="AN10" s="377">
        <v>1</v>
      </c>
      <c r="AO10" s="378">
        <f t="shared" si="5"/>
        <v>4.7182711864406786</v>
      </c>
      <c r="AP10" s="379">
        <f t="shared" si="6"/>
        <v>4.7182711864406786</v>
      </c>
      <c r="AQ10" s="1172">
        <f>VLOOKUP(AJ10,Marination_Ordering!$A:$J,6,FALSE)</f>
        <v>1</v>
      </c>
      <c r="AR10" s="1172">
        <f>VLOOKUP(AJ10,Marination_Ordering!$A:$J,10,FALSE)</f>
        <v>0.74</v>
      </c>
      <c r="AS10" s="175">
        <f t="shared" ref="AS10:AS13" si="12">AP10/AQ10</f>
        <v>4.7182711864406786</v>
      </c>
      <c r="AT10" s="1172">
        <f t="shared" ref="AT10:AT13" si="13">AR10*(AS10/1000)</f>
        <v>3.4915206779661022E-3</v>
      </c>
    </row>
    <row r="11" spans="1:46" ht="14.25" customHeight="1" x14ac:dyDescent="0.3">
      <c r="A11" s="295" t="s">
        <v>196</v>
      </c>
      <c r="B11" s="222" t="s">
        <v>198</v>
      </c>
      <c r="C11" s="124" t="s">
        <v>165</v>
      </c>
      <c r="D11" s="116">
        <v>95</v>
      </c>
      <c r="E11" s="116">
        <f t="shared" si="7"/>
        <v>4.1811000000000007</v>
      </c>
      <c r="F11" s="127">
        <v>1</v>
      </c>
      <c r="G11" s="119">
        <f t="shared" si="0"/>
        <v>397.20450000000005</v>
      </c>
      <c r="H11" s="120">
        <f t="shared" si="1"/>
        <v>397.20450000000005</v>
      </c>
      <c r="I11" s="81">
        <f>VLOOKUP(B11,All_Ingredients!$A$1:$F$151,6,FALSE())</f>
        <v>1</v>
      </c>
      <c r="J11" s="119">
        <f>VLOOKUP(B11,All_Ingredients!$A$1:$J$151,10,FALSE())</f>
        <v>58.685446009389672</v>
      </c>
      <c r="K11" s="122">
        <f t="shared" si="8"/>
        <v>0.39720450000000007</v>
      </c>
      <c r="L11" s="122">
        <f t="shared" si="9"/>
        <v>23.310123239436624</v>
      </c>
      <c r="M11" s="131"/>
      <c r="N11" s="131"/>
      <c r="AI11" s="14" t="s">
        <v>97</v>
      </c>
      <c r="AJ11" s="374" t="s">
        <v>102</v>
      </c>
      <c r="AK11" s="334" t="s">
        <v>14</v>
      </c>
      <c r="AL11" s="116">
        <v>3</v>
      </c>
      <c r="AM11" s="376">
        <f t="shared" si="4"/>
        <v>2.3591355932203393</v>
      </c>
      <c r="AN11" s="377">
        <v>1</v>
      </c>
      <c r="AO11" s="378">
        <f t="shared" si="5"/>
        <v>7.0774067796610183</v>
      </c>
      <c r="AP11" s="379">
        <f t="shared" si="6"/>
        <v>7.0774067796610183</v>
      </c>
      <c r="AQ11" s="1172">
        <f>VLOOKUP(AJ11,Marination_Ordering!$A:$J,6,FALSE)</f>
        <v>1</v>
      </c>
      <c r="AR11" s="1172">
        <f>VLOOKUP(AJ11,Marination_Ordering!$A:$J,10,FALSE)</f>
        <v>31</v>
      </c>
      <c r="AS11" s="175">
        <f t="shared" si="12"/>
        <v>7.0774067796610183</v>
      </c>
      <c r="AT11" s="1172">
        <f t="shared" si="13"/>
        <v>0.21939961016949158</v>
      </c>
    </row>
    <row r="12" spans="1:46" ht="14.25" customHeight="1" x14ac:dyDescent="0.3">
      <c r="A12" s="295" t="s">
        <v>63</v>
      </c>
      <c r="B12" s="222" t="s">
        <v>62</v>
      </c>
      <c r="C12" s="124" t="s">
        <v>14</v>
      </c>
      <c r="D12" s="116">
        <v>25</v>
      </c>
      <c r="E12" s="116">
        <f t="shared" si="7"/>
        <v>4.1811000000000007</v>
      </c>
      <c r="F12" s="127">
        <v>1</v>
      </c>
      <c r="G12" s="119">
        <f t="shared" si="0"/>
        <v>104.52750000000002</v>
      </c>
      <c r="H12" s="120">
        <f t="shared" si="1"/>
        <v>104.52750000000002</v>
      </c>
      <c r="I12" s="81">
        <f>VLOOKUP(B12,All_Ingredients!$A$1:$F$151,6,FALSE())</f>
        <v>0.94</v>
      </c>
      <c r="J12" s="119">
        <f>VLOOKUP(B12,All_Ingredients!$A$1:$J$151,10,FALSE())</f>
        <v>3.6363636363636367</v>
      </c>
      <c r="K12" s="122">
        <f t="shared" si="8"/>
        <v>0.1111994680851064</v>
      </c>
      <c r="L12" s="122">
        <f t="shared" si="9"/>
        <v>0.40436170212765971</v>
      </c>
      <c r="M12" s="131"/>
      <c r="N12" s="131"/>
      <c r="AI12" s="14" t="s">
        <v>97</v>
      </c>
      <c r="AJ12" s="374" t="s">
        <v>114</v>
      </c>
      <c r="AK12" s="334" t="s">
        <v>14</v>
      </c>
      <c r="AL12" s="125">
        <v>15</v>
      </c>
      <c r="AM12" s="376">
        <f t="shared" si="4"/>
        <v>2.3591355932203393</v>
      </c>
      <c r="AN12" s="377">
        <v>1</v>
      </c>
      <c r="AO12" s="378">
        <f t="shared" si="5"/>
        <v>35.387033898305091</v>
      </c>
      <c r="AP12" s="379">
        <f t="shared" si="6"/>
        <v>35.387033898305091</v>
      </c>
      <c r="AQ12" s="1172">
        <f>VLOOKUP(AJ12,Marination_Ordering!$A:$J,6,FALSE)</f>
        <v>1</v>
      </c>
      <c r="AR12" s="1172">
        <f>VLOOKUP(AJ12,Marination_Ordering!$A:$J,10,FALSE)</f>
        <v>64.243759177679877</v>
      </c>
      <c r="AS12" s="175">
        <f t="shared" si="12"/>
        <v>35.387033898305091</v>
      </c>
      <c r="AT12" s="1172">
        <f t="shared" si="13"/>
        <v>2.2733960837751064</v>
      </c>
    </row>
    <row r="13" spans="1:46" ht="14.25" customHeight="1" x14ac:dyDescent="0.25">
      <c r="B13" s="323" t="s">
        <v>863</v>
      </c>
      <c r="C13" s="124" t="s">
        <v>241</v>
      </c>
      <c r="D13" s="116">
        <v>1</v>
      </c>
      <c r="E13" s="116">
        <f>$Z$1+$AB$1</f>
        <v>181</v>
      </c>
      <c r="F13" s="127">
        <v>1</v>
      </c>
      <c r="G13" s="121">
        <f>D13*($Z$1+$AB$1)</f>
        <v>181</v>
      </c>
      <c r="H13" s="120">
        <f>G13*F13</f>
        <v>181</v>
      </c>
      <c r="I13" s="81">
        <f>VLOOKUP(B13,All_Ingredients!$A$1:$F$151,6,FALSE())</f>
        <v>1</v>
      </c>
      <c r="J13" s="119">
        <f>VLOOKUP(B13,All_Ingredients!$A$1:$J$151,10,FALSE())</f>
        <v>2</v>
      </c>
      <c r="K13" s="175">
        <f>H13*I13</f>
        <v>181</v>
      </c>
      <c r="L13" s="122">
        <f>K13*J13</f>
        <v>362</v>
      </c>
      <c r="AI13" s="14" t="s">
        <v>97</v>
      </c>
      <c r="AJ13" s="374" t="s">
        <v>108</v>
      </c>
      <c r="AK13" s="334" t="s">
        <v>14</v>
      </c>
      <c r="AL13" s="116">
        <v>20</v>
      </c>
      <c r="AM13" s="376">
        <f t="shared" si="4"/>
        <v>2.3591355932203393</v>
      </c>
      <c r="AN13" s="377">
        <v>1</v>
      </c>
      <c r="AO13" s="378">
        <f t="shared" si="5"/>
        <v>47.182711864406784</v>
      </c>
      <c r="AP13" s="379">
        <f t="shared" si="6"/>
        <v>47.182711864406784</v>
      </c>
      <c r="AQ13" s="1172">
        <f>VLOOKUP(AJ13,Marination_Ordering!$A:$J,6,FALSE)</f>
        <v>1</v>
      </c>
      <c r="AR13" s="1172">
        <f>VLOOKUP(AJ13,Marination_Ordering!$A:$J,10,FALSE)</f>
        <v>15</v>
      </c>
      <c r="AS13" s="175">
        <f t="shared" si="12"/>
        <v>47.182711864406784</v>
      </c>
      <c r="AT13" s="1172">
        <f t="shared" si="13"/>
        <v>0.70774067796610174</v>
      </c>
    </row>
    <row r="14" spans="1:46" ht="14.25" customHeight="1" x14ac:dyDescent="0.25"/>
    <row r="18" spans="14:32" ht="14.25" customHeight="1" x14ac:dyDescent="0.25">
      <c r="N18" s="264"/>
    </row>
    <row r="24" spans="14:32" x14ac:dyDescent="0.25">
      <c r="Z24" s="1234"/>
    </row>
    <row r="25" spans="14:32" ht="12.75" customHeight="1" x14ac:dyDescent="0.3">
      <c r="R25" s="1430" t="s">
        <v>414</v>
      </c>
      <c r="S25" s="1388"/>
      <c r="T25" s="1388"/>
      <c r="U25" s="1388"/>
      <c r="V25" s="1151"/>
      <c r="Z25" s="141" t="s">
        <v>853</v>
      </c>
      <c r="AA25" s="142">
        <v>190</v>
      </c>
      <c r="AB25" s="141" t="s">
        <v>261</v>
      </c>
      <c r="AC25" s="143">
        <f>AF30*AA25</f>
        <v>945.14573210571268</v>
      </c>
    </row>
    <row r="26" spans="14:32" ht="12.75" customHeight="1" x14ac:dyDescent="0.25">
      <c r="R26" s="1416" t="s">
        <v>309</v>
      </c>
      <c r="S26" s="1389"/>
      <c r="T26" s="1389"/>
      <c r="U26" s="1389"/>
      <c r="V26" s="1151"/>
    </row>
    <row r="27" spans="14:32" ht="14" customHeight="1" thickBot="1" x14ac:dyDescent="0.35">
      <c r="P27" s="338"/>
      <c r="R27" s="145" t="s">
        <v>266</v>
      </c>
      <c r="S27" s="145" t="s">
        <v>371</v>
      </c>
      <c r="T27" s="145" t="s">
        <v>268</v>
      </c>
      <c r="U27" s="145" t="s">
        <v>269</v>
      </c>
      <c r="V27" s="146" t="s">
        <v>839</v>
      </c>
      <c r="W27" s="146" t="s">
        <v>854</v>
      </c>
      <c r="X27" s="146" t="s">
        <v>849</v>
      </c>
      <c r="Z27" s="141" t="s">
        <v>270</v>
      </c>
      <c r="AA27" s="147" t="s">
        <v>839</v>
      </c>
      <c r="AB27" s="147" t="s">
        <v>850</v>
      </c>
      <c r="AC27" s="147" t="s">
        <v>272</v>
      </c>
      <c r="AD27" s="147" t="s">
        <v>852</v>
      </c>
      <c r="AE27" s="147" t="s">
        <v>849</v>
      </c>
      <c r="AF27" s="147" t="s">
        <v>274</v>
      </c>
    </row>
    <row r="28" spans="14:32" ht="14" customHeight="1" thickBot="1" x14ac:dyDescent="0.35">
      <c r="R28" s="145" t="s">
        <v>275</v>
      </c>
      <c r="S28" s="792">
        <f>U28*S40</f>
        <v>13534.4</v>
      </c>
      <c r="T28" s="792">
        <f>U28*U40</f>
        <v>4065.6000000000004</v>
      </c>
      <c r="U28" s="790">
        <f>$Z$1*$T$1</f>
        <v>17600</v>
      </c>
      <c r="V28" s="149">
        <f>SUM(AP5:AP13)</f>
        <v>1580.6208474576274</v>
      </c>
      <c r="W28" s="149">
        <f>SUM(K16:K18)</f>
        <v>0</v>
      </c>
      <c r="X28" s="149">
        <f>Z1+AB1</f>
        <v>181</v>
      </c>
      <c r="Z28" s="151"/>
      <c r="AA28" s="1205"/>
      <c r="AB28" s="152">
        <f>T1*$S$40</f>
        <v>76.900000000000006</v>
      </c>
      <c r="AC28" s="152">
        <f>T1*$U$40</f>
        <v>23.1</v>
      </c>
      <c r="AD28" s="1205"/>
      <c r="AE28" s="1205"/>
      <c r="AF28" s="154">
        <f>SUM(AB28:AD28)</f>
        <v>100</v>
      </c>
    </row>
    <row r="29" spans="14:32" ht="14" customHeight="1" thickBot="1" x14ac:dyDescent="0.35">
      <c r="R29" s="145" t="s">
        <v>276</v>
      </c>
      <c r="S29" s="793"/>
      <c r="T29" s="792"/>
      <c r="U29" s="339">
        <f>T29</f>
        <v>0</v>
      </c>
      <c r="V29" s="149"/>
      <c r="W29" s="149"/>
      <c r="X29" s="149"/>
      <c r="Z29" s="151"/>
      <c r="AA29" s="1205"/>
      <c r="AB29" s="156">
        <f>AB28/$AF$28</f>
        <v>0.76900000000000002</v>
      </c>
      <c r="AC29" s="156">
        <f>AC28/$AF$28</f>
        <v>0.23100000000000001</v>
      </c>
      <c r="AD29" s="1205"/>
      <c r="AE29" s="1205"/>
      <c r="AF29" s="156">
        <f>AF28/$AF$28</f>
        <v>1</v>
      </c>
    </row>
    <row r="30" spans="14:32" ht="14" customHeight="1" thickBot="1" x14ac:dyDescent="0.35">
      <c r="R30" s="145" t="s">
        <v>277</v>
      </c>
      <c r="S30" s="1379">
        <f>U30*S40</f>
        <v>384.5</v>
      </c>
      <c r="T30" s="792">
        <f>U30*U40</f>
        <v>115.5</v>
      </c>
      <c r="U30" s="790">
        <f>$AB$1*$T$1</f>
        <v>500</v>
      </c>
      <c r="V30" s="1143"/>
      <c r="W30" s="1143"/>
      <c r="X30" s="1143"/>
      <c r="Z30" s="141" t="s">
        <v>851</v>
      </c>
      <c r="AA30" s="1145">
        <f>V35/$AF$1</f>
        <v>6.0963502474853735E-2</v>
      </c>
      <c r="AB30" s="157">
        <f>S35/AF1</f>
        <v>2.5916239653133628</v>
      </c>
      <c r="AC30" s="1204">
        <f>T35/AF1</f>
        <v>0.32186375382079724</v>
      </c>
      <c r="AD30" s="298">
        <f>W35/AF1</f>
        <v>0</v>
      </c>
      <c r="AE30" s="1145">
        <f>X35/$AF$1</f>
        <v>2</v>
      </c>
      <c r="AF30" s="1148">
        <f>AA30+AB30+AC30+AD30+AE30</f>
        <v>4.974451221609014</v>
      </c>
    </row>
    <row r="31" spans="14:32" ht="14" customHeight="1" thickBot="1" x14ac:dyDescent="0.35">
      <c r="R31" s="145" t="s">
        <v>279</v>
      </c>
      <c r="S31" s="294"/>
      <c r="T31" s="339"/>
      <c r="U31" s="339"/>
      <c r="V31" s="149"/>
      <c r="W31" s="149"/>
      <c r="X31" s="149"/>
    </row>
    <row r="32" spans="14:32" ht="14" customHeight="1" thickBot="1" x14ac:dyDescent="0.35">
      <c r="R32" s="146" t="s">
        <v>269</v>
      </c>
      <c r="S32" s="340">
        <f>SUM(S28:S30)</f>
        <v>13918.9</v>
      </c>
      <c r="T32" s="340">
        <f>SUM(T28:T30)</f>
        <v>4181.1000000000004</v>
      </c>
      <c r="U32" s="340">
        <f>SUM(U28:U30)</f>
        <v>18100</v>
      </c>
      <c r="V32" s="149"/>
      <c r="W32" s="149"/>
      <c r="X32" s="149"/>
    </row>
    <row r="33" spans="11:24" ht="17.75" customHeight="1" thickBot="1" x14ac:dyDescent="0.35">
      <c r="K33" s="262"/>
      <c r="R33" s="341" t="s">
        <v>280</v>
      </c>
      <c r="S33" s="342"/>
      <c r="T33" s="342"/>
      <c r="U33" s="343"/>
      <c r="V33" s="155"/>
      <c r="W33" s="155"/>
      <c r="X33" s="155"/>
    </row>
    <row r="34" spans="11:24" ht="17.75" customHeight="1" thickBot="1" x14ac:dyDescent="0.35">
      <c r="K34" s="262"/>
      <c r="R34" s="178" t="s">
        <v>281</v>
      </c>
      <c r="S34" s="344"/>
      <c r="T34" s="345"/>
      <c r="U34" s="344"/>
      <c r="V34" s="155"/>
      <c r="W34" s="155"/>
      <c r="X34" s="155"/>
    </row>
    <row r="35" spans="11:24" ht="12.75" customHeight="1" thickBot="1" x14ac:dyDescent="0.35">
      <c r="R35" s="163" t="s">
        <v>261</v>
      </c>
      <c r="S35" s="1144">
        <f>$L$5</f>
        <v>469.08393772171866</v>
      </c>
      <c r="T35" s="1144">
        <f>SUM(L6:L12)</f>
        <v>58.257339441564298</v>
      </c>
      <c r="U35" s="1203">
        <f>S35+T35+V35+W35+X35</f>
        <v>900.37567111123144</v>
      </c>
      <c r="V35" s="1144">
        <f>SUM(AT6:AT13)</f>
        <v>11.034393947948526</v>
      </c>
      <c r="W35" s="1144"/>
      <c r="X35" s="1144">
        <f>L13</f>
        <v>362</v>
      </c>
    </row>
    <row r="36" spans="11:24" ht="12.75" customHeight="1" x14ac:dyDescent="0.25"/>
    <row r="37" spans="11:24" ht="12.75" customHeight="1" x14ac:dyDescent="0.25"/>
    <row r="38" spans="11:24" ht="12.75" customHeight="1" x14ac:dyDescent="0.25"/>
    <row r="39" spans="11:24" ht="12.75" customHeight="1" x14ac:dyDescent="0.25"/>
    <row r="40" spans="11:24" ht="25.5" customHeight="1" x14ac:dyDescent="0.3">
      <c r="R40" s="165" t="s">
        <v>282</v>
      </c>
      <c r="S40" s="239">
        <v>0.76900000000000002</v>
      </c>
      <c r="T40" s="165" t="s">
        <v>283</v>
      </c>
      <c r="U40" s="239">
        <v>0.23100000000000001</v>
      </c>
      <c r="V40" s="168">
        <f>S40+U40</f>
        <v>1</v>
      </c>
    </row>
    <row r="41" spans="11:24" ht="12.75" customHeight="1" x14ac:dyDescent="0.25">
      <c r="U41" s="169"/>
    </row>
    <row r="42" spans="11:24" ht="12.75" customHeight="1" x14ac:dyDescent="0.25"/>
    <row r="43" spans="11:24" ht="12.75" customHeight="1" x14ac:dyDescent="0.3">
      <c r="Q43" s="170" t="s">
        <v>284</v>
      </c>
      <c r="R43" s="170" t="s">
        <v>285</v>
      </c>
      <c r="S43" s="170" t="s">
        <v>286</v>
      </c>
      <c r="T43" s="170" t="s">
        <v>287</v>
      </c>
      <c r="U43" s="170" t="s">
        <v>288</v>
      </c>
      <c r="V43" s="170" t="s">
        <v>289</v>
      </c>
      <c r="W43" s="258" t="s">
        <v>290</v>
      </c>
    </row>
    <row r="44" spans="11:24" ht="14.25" customHeight="1" x14ac:dyDescent="0.3">
      <c r="Q44" s="172">
        <v>43334</v>
      </c>
      <c r="R44" s="173">
        <f>D51</f>
        <v>10000</v>
      </c>
      <c r="S44" s="174">
        <v>1</v>
      </c>
      <c r="T44" s="241">
        <v>0</v>
      </c>
      <c r="U44" s="242">
        <f>R44*S44</f>
        <v>10000</v>
      </c>
      <c r="V44" s="176">
        <f>R44*T44</f>
        <v>0</v>
      </c>
      <c r="W44" s="260">
        <f>Q44-U44</f>
        <v>33334</v>
      </c>
    </row>
    <row r="50" spans="1:10" ht="14" x14ac:dyDescent="0.3">
      <c r="B50" s="276"/>
      <c r="C50" s="145" t="s">
        <v>245</v>
      </c>
      <c r="D50" s="145" t="s">
        <v>291</v>
      </c>
      <c r="E50" s="100"/>
      <c r="F50" s="100"/>
      <c r="G50" s="145" t="s">
        <v>292</v>
      </c>
      <c r="H50" s="145" t="s">
        <v>245</v>
      </c>
      <c r="I50" s="145" t="s">
        <v>293</v>
      </c>
      <c r="J50" s="145" t="s">
        <v>294</v>
      </c>
    </row>
    <row r="51" spans="1:10" ht="14.25" customHeight="1" x14ac:dyDescent="0.3">
      <c r="B51" s="180" t="s">
        <v>295</v>
      </c>
      <c r="C51" s="181">
        <f>10/$K$1</f>
        <v>10</v>
      </c>
      <c r="D51" s="182">
        <f>$C$1*10</f>
        <v>10000</v>
      </c>
      <c r="E51" s="183"/>
      <c r="F51" s="100"/>
      <c r="G51" s="180" t="s">
        <v>295</v>
      </c>
      <c r="H51" s="490">
        <f>I51/$D$5</f>
        <v>10</v>
      </c>
      <c r="I51" s="181">
        <f>J51/$R$1</f>
        <v>56498.305084745763</v>
      </c>
      <c r="J51" s="181">
        <f>$W$44</f>
        <v>33334</v>
      </c>
    </row>
    <row r="52" spans="1:10" ht="14.25" customHeight="1" x14ac:dyDescent="0.3">
      <c r="B52" s="231" t="s">
        <v>274</v>
      </c>
      <c r="C52" s="232">
        <f>$I$1</f>
        <v>4.1811000000000007</v>
      </c>
      <c r="D52" s="233">
        <f>$E$1</f>
        <v>4181.1000000000004</v>
      </c>
      <c r="E52" s="100"/>
      <c r="F52" s="100"/>
      <c r="G52" s="148" t="s">
        <v>274</v>
      </c>
      <c r="H52" s="210">
        <f>I52/$D$5</f>
        <v>4.1755864882702349</v>
      </c>
      <c r="I52" s="176">
        <f>J52/$R$1</f>
        <v>23591.355932203391</v>
      </c>
      <c r="J52" s="184">
        <f>$S$32</f>
        <v>13918.9</v>
      </c>
    </row>
    <row r="53" spans="1:10" ht="14.25" customHeight="1" x14ac:dyDescent="0.3">
      <c r="B53" s="231" t="s">
        <v>296</v>
      </c>
      <c r="C53" s="234">
        <f>MIN(C52, C51)</f>
        <v>4.1811000000000007</v>
      </c>
      <c r="D53" s="233">
        <f>(C53*$K$1)*$C$1</f>
        <v>4181.1000000000004</v>
      </c>
      <c r="E53" s="100"/>
      <c r="F53" s="100"/>
      <c r="G53" s="148" t="s">
        <v>296</v>
      </c>
      <c r="H53" s="187">
        <f>MIN(H52,H51)</f>
        <v>4.1755864882702349</v>
      </c>
      <c r="I53" s="176">
        <f>J53/$R$1</f>
        <v>23591.355932203391</v>
      </c>
      <c r="J53" s="176">
        <f>MIN(J52,J51)</f>
        <v>13918.9</v>
      </c>
    </row>
    <row r="54" spans="1:10" ht="14.25" customHeight="1" x14ac:dyDescent="0.3">
      <c r="B54" s="231" t="s">
        <v>297</v>
      </c>
      <c r="C54" s="234">
        <f>MIN(MAX(C52-C53,0),C51)</f>
        <v>0</v>
      </c>
      <c r="D54" s="233">
        <f>(C54*$K$1)*$C$1</f>
        <v>0</v>
      </c>
      <c r="E54" s="100"/>
      <c r="F54" s="100"/>
      <c r="G54" s="148" t="s">
        <v>297</v>
      </c>
      <c r="H54" s="187">
        <f>MIN(MAX(H52-H53),H51)</f>
        <v>0</v>
      </c>
      <c r="I54" s="176">
        <f>J54/$R$1</f>
        <v>0</v>
      </c>
      <c r="J54" s="176">
        <f>MIN(MAX(J52-J53),J51)</f>
        <v>0</v>
      </c>
    </row>
    <row r="55" spans="1:10" ht="14.25" customHeight="1" x14ac:dyDescent="0.3">
      <c r="B55" s="231" t="s">
        <v>298</v>
      </c>
      <c r="C55" s="234">
        <f>MIN(MAX(C52-C53-C54,0),C51)</f>
        <v>0</v>
      </c>
      <c r="D55" s="233">
        <f>(C55*$K$1)*$C$1</f>
        <v>0</v>
      </c>
      <c r="E55" s="100"/>
      <c r="F55" s="100"/>
      <c r="G55" s="145" t="s">
        <v>298</v>
      </c>
      <c r="H55" s="187">
        <f>MIN(MAX(H52-H53-H54),H51)</f>
        <v>0</v>
      </c>
      <c r="I55" s="176">
        <f>J55/$R$1</f>
        <v>0</v>
      </c>
      <c r="J55" s="176">
        <f>MIN(MAX(J52-J53-J54),J51)</f>
        <v>0</v>
      </c>
    </row>
    <row r="56" spans="1:10" ht="14.25" customHeight="1" x14ac:dyDescent="0.25"/>
    <row r="62" spans="1:10" ht="17.75" customHeight="1" x14ac:dyDescent="0.3">
      <c r="A62" s="942"/>
      <c r="B62" s="1382" t="str">
        <f>" ساندوتش تشيكن فاهيتا  1 / " &amp; COUNTIF($C$53:$C$55, "&gt;0")</f>
        <v xml:space="preserve"> ساندوتش تشيكن فاهيتا  1 / 1</v>
      </c>
      <c r="C62" s="1383"/>
      <c r="D62" s="1383"/>
      <c r="E62" s="1383"/>
      <c r="F62" s="1383"/>
      <c r="G62" s="1383"/>
      <c r="H62" s="1383"/>
    </row>
    <row r="63" spans="1:10" ht="17.75" customHeight="1" x14ac:dyDescent="0.3">
      <c r="A63" s="942"/>
      <c r="B63" s="1384" t="str">
        <f>"Chicken Fajita 1 / " &amp; COUNTIF($C$53:$C$55, "&gt;0")</f>
        <v>Chicken Fajita 1 / 1</v>
      </c>
      <c r="C63" s="1385"/>
      <c r="D63" s="1385"/>
      <c r="E63" s="1385"/>
      <c r="F63" s="1385"/>
      <c r="G63" s="1385"/>
      <c r="H63" s="1385"/>
    </row>
    <row r="64" spans="1:10" ht="35.75" customHeight="1" x14ac:dyDescent="0.25">
      <c r="A64" s="91"/>
      <c r="B64" s="243" t="s">
        <v>253</v>
      </c>
      <c r="C64" s="244" t="s">
        <v>254</v>
      </c>
      <c r="D64" s="245" t="s">
        <v>243</v>
      </c>
      <c r="E64" s="218" t="s">
        <v>246</v>
      </c>
      <c r="F64" s="218" t="s">
        <v>255</v>
      </c>
      <c r="G64" s="245" t="s">
        <v>256</v>
      </c>
      <c r="H64" s="218" t="s">
        <v>257</v>
      </c>
    </row>
    <row r="65" spans="1:10" ht="14.25" customHeight="1" x14ac:dyDescent="0.25">
      <c r="A65" s="295" t="s">
        <v>230</v>
      </c>
      <c r="B65" s="323" t="str">
        <f t="shared" ref="B65:D72" si="14">B5</f>
        <v>Chicken - دجاج</v>
      </c>
      <c r="C65" s="323" t="str">
        <f t="shared" si="14"/>
        <v>gm</v>
      </c>
      <c r="D65" s="488">
        <f t="shared" si="14"/>
        <v>5649.8305084745762</v>
      </c>
      <c r="E65" s="351">
        <f>H53</f>
        <v>4.1755864882702349</v>
      </c>
      <c r="F65" s="127">
        <f t="shared" ref="F65:F72" si="15">F5</f>
        <v>1</v>
      </c>
      <c r="G65" s="119">
        <f t="shared" ref="G65:G72" si="16">D65*E65</f>
        <v>23591.355932203391</v>
      </c>
      <c r="H65" s="120">
        <f t="shared" ref="H65:H72" si="17">G65*F65</f>
        <v>23591.355932203391</v>
      </c>
    </row>
    <row r="66" spans="1:10" ht="14.25" customHeight="1" x14ac:dyDescent="0.25">
      <c r="A66" s="295" t="s">
        <v>13</v>
      </c>
      <c r="B66" s="323" t="str">
        <f t="shared" si="14"/>
        <v>Onion - بصل</v>
      </c>
      <c r="C66" s="323" t="str">
        <f t="shared" si="14"/>
        <v>gm</v>
      </c>
      <c r="D66" s="323">
        <f t="shared" si="14"/>
        <v>190</v>
      </c>
      <c r="E66" s="351">
        <f t="shared" ref="E66:E72" si="18">$C$53</f>
        <v>4.1811000000000007</v>
      </c>
      <c r="F66" s="127">
        <f t="shared" si="15"/>
        <v>1</v>
      </c>
      <c r="G66" s="119">
        <f t="shared" si="16"/>
        <v>794.40900000000011</v>
      </c>
      <c r="H66" s="120">
        <f t="shared" si="17"/>
        <v>794.40900000000011</v>
      </c>
    </row>
    <row r="67" spans="1:10" ht="14.25" customHeight="1" x14ac:dyDescent="0.25">
      <c r="A67" s="295" t="s">
        <v>13</v>
      </c>
      <c r="B67" s="323" t="str">
        <f t="shared" si="14"/>
        <v xml:space="preserve">Red Bell Pepper - فلفل أحمر </v>
      </c>
      <c r="C67" s="323" t="str">
        <f t="shared" si="14"/>
        <v>gm</v>
      </c>
      <c r="D67" s="323">
        <f t="shared" si="14"/>
        <v>190</v>
      </c>
      <c r="E67" s="351">
        <f t="shared" si="18"/>
        <v>4.1811000000000007</v>
      </c>
      <c r="F67" s="127">
        <f t="shared" si="15"/>
        <v>1</v>
      </c>
      <c r="G67" s="119">
        <f t="shared" si="16"/>
        <v>794.40900000000011</v>
      </c>
      <c r="H67" s="120">
        <f t="shared" si="17"/>
        <v>794.40900000000011</v>
      </c>
    </row>
    <row r="68" spans="1:10" ht="14.25" customHeight="1" x14ac:dyDescent="0.25">
      <c r="A68" s="295" t="s">
        <v>13</v>
      </c>
      <c r="B68" s="323" t="str">
        <f t="shared" si="14"/>
        <v xml:space="preserve">Yellow Bell Pepper - فلفل أصفر </v>
      </c>
      <c r="C68" s="323" t="str">
        <f t="shared" si="14"/>
        <v>gm</v>
      </c>
      <c r="D68" s="323">
        <f t="shared" si="14"/>
        <v>190</v>
      </c>
      <c r="E68" s="351">
        <f t="shared" si="18"/>
        <v>4.1811000000000007</v>
      </c>
      <c r="F68" s="127">
        <f t="shared" si="15"/>
        <v>1</v>
      </c>
      <c r="G68" s="119">
        <f t="shared" si="16"/>
        <v>794.40900000000011</v>
      </c>
      <c r="H68" s="120">
        <f t="shared" si="17"/>
        <v>794.40900000000011</v>
      </c>
    </row>
    <row r="69" spans="1:10" ht="14.25" customHeight="1" x14ac:dyDescent="0.25">
      <c r="A69" s="295" t="s">
        <v>13</v>
      </c>
      <c r="B69" s="323" t="str">
        <f t="shared" si="14"/>
        <v>Green Bell Pepper - فلفل أخضر رومى</v>
      </c>
      <c r="C69" s="323" t="str">
        <f t="shared" si="14"/>
        <v>gm</v>
      </c>
      <c r="D69" s="323">
        <f t="shared" si="14"/>
        <v>190</v>
      </c>
      <c r="E69" s="351">
        <f t="shared" si="18"/>
        <v>4.1811000000000007</v>
      </c>
      <c r="F69" s="127">
        <f t="shared" si="15"/>
        <v>1</v>
      </c>
      <c r="G69" s="119">
        <f t="shared" si="16"/>
        <v>794.40900000000011</v>
      </c>
      <c r="H69" s="120">
        <f t="shared" si="17"/>
        <v>794.40900000000011</v>
      </c>
    </row>
    <row r="70" spans="1:10" ht="14.25" customHeight="1" x14ac:dyDescent="0.25">
      <c r="A70" s="295" t="s">
        <v>196</v>
      </c>
      <c r="B70" s="323" t="str">
        <f t="shared" si="14"/>
        <v>Tomato Ketchup - كاتشب طماطم</v>
      </c>
      <c r="C70" s="323" t="str">
        <f t="shared" si="14"/>
        <v>ml</v>
      </c>
      <c r="D70" s="323">
        <f t="shared" si="14"/>
        <v>360</v>
      </c>
      <c r="E70" s="351">
        <f t="shared" si="18"/>
        <v>4.1811000000000007</v>
      </c>
      <c r="F70" s="127">
        <f t="shared" si="15"/>
        <v>1</v>
      </c>
      <c r="G70" s="119">
        <f t="shared" si="16"/>
        <v>1505.1960000000004</v>
      </c>
      <c r="H70" s="120">
        <f t="shared" si="17"/>
        <v>1505.1960000000004</v>
      </c>
    </row>
    <row r="71" spans="1:10" ht="14.25" customHeight="1" x14ac:dyDescent="0.25">
      <c r="A71" s="295" t="s">
        <v>196</v>
      </c>
      <c r="B71" s="323" t="str">
        <f t="shared" si="14"/>
        <v>Sriracha Sauce - صوص سريراتشا</v>
      </c>
      <c r="C71" s="323" t="str">
        <f t="shared" si="14"/>
        <v>ml</v>
      </c>
      <c r="D71" s="323">
        <f t="shared" si="14"/>
        <v>95</v>
      </c>
      <c r="E71" s="351">
        <f t="shared" si="18"/>
        <v>4.1811000000000007</v>
      </c>
      <c r="F71" s="127">
        <f t="shared" si="15"/>
        <v>1</v>
      </c>
      <c r="G71" s="119">
        <f t="shared" si="16"/>
        <v>397.20450000000005</v>
      </c>
      <c r="H71" s="120">
        <f t="shared" si="17"/>
        <v>397.20450000000005</v>
      </c>
    </row>
    <row r="72" spans="1:10" ht="14.25" customHeight="1" x14ac:dyDescent="0.25">
      <c r="A72" s="295" t="s">
        <v>63</v>
      </c>
      <c r="B72" s="323" t="str">
        <f t="shared" si="14"/>
        <v>Coriander Leaves - كزبرة خضراء</v>
      </c>
      <c r="C72" s="323" t="str">
        <f t="shared" si="14"/>
        <v>gm</v>
      </c>
      <c r="D72" s="323">
        <f t="shared" si="14"/>
        <v>25</v>
      </c>
      <c r="E72" s="351">
        <f t="shared" si="18"/>
        <v>4.1811000000000007</v>
      </c>
      <c r="F72" s="127">
        <f t="shared" si="15"/>
        <v>1</v>
      </c>
      <c r="G72" s="119">
        <f t="shared" si="16"/>
        <v>104.52750000000002</v>
      </c>
      <c r="H72" s="120">
        <f t="shared" si="17"/>
        <v>104.52750000000002</v>
      </c>
    </row>
    <row r="73" spans="1:10" ht="20.25" customHeight="1" x14ac:dyDescent="0.4">
      <c r="A73" s="211"/>
      <c r="B73" s="198" t="s">
        <v>299</v>
      </c>
      <c r="C73" s="200" t="s">
        <v>285</v>
      </c>
      <c r="E73" s="200" t="s">
        <v>300</v>
      </c>
      <c r="G73" s="890" t="s">
        <v>276</v>
      </c>
      <c r="H73" s="890" t="s">
        <v>733</v>
      </c>
      <c r="I73" s="204"/>
      <c r="J73" s="203"/>
    </row>
    <row r="74" spans="1:10" ht="20" x14ac:dyDescent="0.4">
      <c r="A74" s="211"/>
      <c r="B74" s="199">
        <f>$J$53</f>
        <v>13918.9</v>
      </c>
      <c r="C74" s="201">
        <f>E74+G74</f>
        <v>4.1811000000000007</v>
      </c>
      <c r="D74" s="209"/>
      <c r="E74" s="201">
        <f>$C$53*$S$44</f>
        <v>4.1811000000000007</v>
      </c>
      <c r="F74" s="100"/>
      <c r="G74" s="202">
        <f>$C$53*$T$44</f>
        <v>0</v>
      </c>
      <c r="H74" s="202">
        <f>B74+E74</f>
        <v>13923.081099999999</v>
      </c>
    </row>
  </sheetData>
  <mergeCells count="7">
    <mergeCell ref="AK2:AN2"/>
    <mergeCell ref="B63:H63"/>
    <mergeCell ref="AE2:AG3"/>
    <mergeCell ref="R26:U26"/>
    <mergeCell ref="B62:H62"/>
    <mergeCell ref="R25:U25"/>
    <mergeCell ref="B2:K3"/>
  </mergeCells>
  <printOptions horizontalCentered="1"/>
  <pageMargins left="0.5" right="0.5" top="1" bottom="0.5" header="0.3" footer="0.511811023622047"/>
  <pageSetup paperSize="9" scale="30" orientation="portrait" r:id="rId1"/>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tabColor rgb="FFFFFF00"/>
    <pageSetUpPr fitToPage="1"/>
  </sheetPr>
  <dimension ref="A1:AG156"/>
  <sheetViews>
    <sheetView topLeftCell="F1" zoomScale="85" zoomScaleNormal="85" workbookViewId="0">
      <selection activeCell="T28" sqref="S28:T30"/>
    </sheetView>
  </sheetViews>
  <sheetFormatPr defaultColWidth="12.5" defaultRowHeight="12.5" x14ac:dyDescent="0.25"/>
  <cols>
    <col min="1" max="1" width="12.5" style="14" customWidth="1"/>
    <col min="2" max="2" width="31.4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7" width="4.58203125" style="14" customWidth="1"/>
    <col min="18" max="18" width="24.1640625" style="14" customWidth="1"/>
    <col min="19" max="19" width="12.5" style="14" customWidth="1"/>
    <col min="20" max="20" width="12.5" style="14"/>
    <col min="21" max="24" width="3.9140625" style="14" customWidth="1"/>
    <col min="25" max="27" width="12.5" style="14"/>
    <col min="28" max="28" width="6.75" style="14" customWidth="1"/>
    <col min="29" max="16384" width="12.5" style="14"/>
  </cols>
  <sheetData>
    <row r="1" spans="1:33" ht="28.5" customHeight="1" x14ac:dyDescent="0.25">
      <c r="B1" s="80" t="s">
        <v>243</v>
      </c>
      <c r="C1" s="81">
        <v>1000</v>
      </c>
      <c r="D1" s="82" t="s">
        <v>244</v>
      </c>
      <c r="E1" s="117">
        <f>S30</f>
        <v>51810</v>
      </c>
      <c r="F1" s="80" t="s">
        <v>245</v>
      </c>
      <c r="G1" s="366">
        <f>E1/C1</f>
        <v>51.81</v>
      </c>
      <c r="H1" s="80" t="s">
        <v>246</v>
      </c>
      <c r="I1" s="117">
        <f>G1/K1</f>
        <v>51.297029702970299</v>
      </c>
      <c r="J1" s="326" t="s">
        <v>247</v>
      </c>
      <c r="K1" s="327">
        <v>1.01</v>
      </c>
      <c r="L1" s="100"/>
      <c r="M1" s="100"/>
      <c r="N1" s="100"/>
      <c r="O1" s="100"/>
      <c r="P1" s="100"/>
      <c r="Q1" s="100"/>
      <c r="R1" s="100"/>
      <c r="S1" s="100"/>
      <c r="T1" s="100"/>
      <c r="U1" s="100"/>
      <c r="V1" s="100"/>
      <c r="Y1" s="91" t="s">
        <v>479</v>
      </c>
      <c r="Z1" s="847">
        <v>51810</v>
      </c>
      <c r="AA1" s="91" t="s">
        <v>600</v>
      </c>
      <c r="AB1" s="847">
        <v>0</v>
      </c>
      <c r="AC1" s="91" t="s">
        <v>587</v>
      </c>
      <c r="AD1" s="847">
        <v>350</v>
      </c>
    </row>
    <row r="2" spans="1:33" ht="12.75" customHeight="1" x14ac:dyDescent="0.25">
      <c r="A2" s="330"/>
      <c r="B2" s="491" t="s">
        <v>355</v>
      </c>
      <c r="C2" s="491"/>
      <c r="D2" s="491"/>
      <c r="E2" s="491"/>
      <c r="F2" s="491"/>
      <c r="G2" s="491"/>
      <c r="H2" s="491"/>
      <c r="I2" s="100"/>
      <c r="J2" s="100"/>
      <c r="K2" s="100"/>
      <c r="L2" s="100"/>
      <c r="M2" s="100"/>
      <c r="N2" s="100"/>
      <c r="O2" s="100"/>
      <c r="P2" s="100"/>
      <c r="Q2" s="100"/>
      <c r="R2" s="100"/>
      <c r="S2" s="100"/>
      <c r="T2" s="100"/>
      <c r="U2" s="100"/>
      <c r="AE2" s="1417"/>
      <c r="AF2" s="1389"/>
      <c r="AG2" s="1389"/>
    </row>
    <row r="3" spans="1:33" ht="12.75" customHeight="1" x14ac:dyDescent="0.25">
      <c r="A3" s="330"/>
      <c r="B3" s="370"/>
      <c r="C3" s="370"/>
      <c r="D3" s="370"/>
      <c r="E3" s="370"/>
      <c r="F3" s="370"/>
      <c r="G3" s="370"/>
      <c r="H3" s="370"/>
      <c r="I3" s="100"/>
      <c r="J3" s="100"/>
      <c r="K3" s="100"/>
      <c r="L3" s="100"/>
      <c r="M3" s="100"/>
      <c r="N3" s="100"/>
      <c r="O3" s="100"/>
      <c r="P3" s="100"/>
      <c r="Q3" s="100"/>
      <c r="R3" s="100"/>
      <c r="S3" s="100"/>
      <c r="T3" s="100"/>
      <c r="U3" s="100"/>
      <c r="AE3" s="1389"/>
      <c r="AF3" s="1389"/>
      <c r="AG3" s="1389"/>
    </row>
    <row r="4" spans="1:33" ht="68.75" customHeight="1" x14ac:dyDescent="0.25">
      <c r="A4" s="91" t="s">
        <v>1</v>
      </c>
      <c r="B4" s="91" t="s">
        <v>253</v>
      </c>
      <c r="C4" s="107" t="s">
        <v>254</v>
      </c>
      <c r="D4" s="91" t="s">
        <v>243</v>
      </c>
      <c r="E4" s="218" t="s">
        <v>246</v>
      </c>
      <c r="F4" s="108" t="s">
        <v>255</v>
      </c>
      <c r="G4" s="91" t="s">
        <v>256</v>
      </c>
      <c r="H4" s="107" t="s">
        <v>347</v>
      </c>
      <c r="I4" s="91" t="s">
        <v>258</v>
      </c>
      <c r="J4" s="91" t="s">
        <v>259</v>
      </c>
      <c r="K4" s="91" t="s">
        <v>260</v>
      </c>
      <c r="L4" s="91" t="s">
        <v>261</v>
      </c>
      <c r="M4" s="100"/>
      <c r="N4" s="100"/>
      <c r="O4" s="100"/>
      <c r="P4" s="100"/>
      <c r="Q4" s="100"/>
      <c r="R4" s="100"/>
      <c r="S4" s="100"/>
      <c r="T4" s="100"/>
      <c r="U4" s="100"/>
    </row>
    <row r="5" spans="1:33" ht="14.25" customHeight="1" x14ac:dyDescent="0.25">
      <c r="A5" s="219"/>
      <c r="B5" s="654"/>
      <c r="C5" s="655"/>
      <c r="D5" s="219"/>
      <c r="E5" s="656"/>
      <c r="F5" s="219"/>
      <c r="G5" s="219"/>
      <c r="H5" s="655"/>
      <c r="I5" s="81"/>
      <c r="J5" s="121"/>
      <c r="K5" s="122"/>
      <c r="L5" s="122"/>
    </row>
    <row r="6" spans="1:33" ht="14.25" customHeight="1" x14ac:dyDescent="0.25">
      <c r="A6" s="295" t="s">
        <v>13</v>
      </c>
      <c r="B6" s="22" t="s">
        <v>21</v>
      </c>
      <c r="C6" s="124" t="s">
        <v>14</v>
      </c>
      <c r="D6" s="116">
        <v>1175</v>
      </c>
      <c r="E6" s="116">
        <f t="shared" ref="E6:E12" si="0">$I$1</f>
        <v>51.297029702970299</v>
      </c>
      <c r="F6" s="127">
        <v>1</v>
      </c>
      <c r="G6" s="119">
        <f t="shared" ref="G6:G12" si="1">D6*E6</f>
        <v>60274.009900990102</v>
      </c>
      <c r="H6" s="120">
        <f t="shared" ref="H6:H12" si="2">G6*F6</f>
        <v>60274.009900990102</v>
      </c>
      <c r="I6" s="81">
        <f>VLOOKUP(B6,All_Ingredients!$A$1:$F$151,6,FALSE())</f>
        <v>0.9</v>
      </c>
      <c r="J6" s="121">
        <f>VLOOKUP(B6,All_Ingredients!$A$1:$J$151,10,FALSE())</f>
        <v>2.2999999999999998</v>
      </c>
      <c r="K6" s="122">
        <f t="shared" ref="K6" si="3">(H6/I6)/1000</f>
        <v>66.971122112211219</v>
      </c>
      <c r="L6" s="122">
        <f t="shared" ref="L6" si="4">K6*J6</f>
        <v>154.0335808580858</v>
      </c>
    </row>
    <row r="7" spans="1:33" ht="14.25" customHeight="1" x14ac:dyDescent="0.25">
      <c r="A7" s="295" t="s">
        <v>57</v>
      </c>
      <c r="B7" s="22" t="s">
        <v>56</v>
      </c>
      <c r="C7" s="124" t="s">
        <v>14</v>
      </c>
      <c r="D7" s="116">
        <v>10</v>
      </c>
      <c r="E7" s="116">
        <f t="shared" si="0"/>
        <v>51.297029702970299</v>
      </c>
      <c r="F7" s="127">
        <v>1</v>
      </c>
      <c r="G7" s="119">
        <f t="shared" si="1"/>
        <v>512.97029702970303</v>
      </c>
      <c r="H7" s="120">
        <f t="shared" si="2"/>
        <v>512.97029702970303</v>
      </c>
      <c r="I7" s="81">
        <f>VLOOKUP(B7,All_Ingredients!$A$1:$F$151,6,FALSE())</f>
        <v>0.87</v>
      </c>
      <c r="J7" s="121">
        <f>VLOOKUP(B7,All_Ingredients!$A$1:$J$151,10,FALSE())</f>
        <v>7</v>
      </c>
      <c r="K7" s="122">
        <f t="shared" ref="K7:K12" si="5">(H7/I7)/1000</f>
        <v>0.58962103106862418</v>
      </c>
      <c r="L7" s="122">
        <f t="shared" ref="L7:L12" si="6">K7*J7</f>
        <v>4.1273472174803691</v>
      </c>
    </row>
    <row r="8" spans="1:33" ht="14.25" customHeight="1" x14ac:dyDescent="0.25">
      <c r="A8" s="295" t="s">
        <v>63</v>
      </c>
      <c r="B8" s="22" t="s">
        <v>62</v>
      </c>
      <c r="C8" s="124" t="s">
        <v>14</v>
      </c>
      <c r="D8" s="116">
        <v>5</v>
      </c>
      <c r="E8" s="116">
        <f t="shared" si="0"/>
        <v>51.297029702970299</v>
      </c>
      <c r="F8" s="127">
        <v>1</v>
      </c>
      <c r="G8" s="119">
        <f t="shared" si="1"/>
        <v>256.48514851485152</v>
      </c>
      <c r="H8" s="120">
        <f t="shared" si="2"/>
        <v>256.48514851485152</v>
      </c>
      <c r="I8" s="81">
        <f>VLOOKUP(B8,All_Ingredients!$A$1:$F$151,6,FALSE())</f>
        <v>0.94</v>
      </c>
      <c r="J8" s="121">
        <f>VLOOKUP(B8,All_Ingredients!$A$1:$J$151,10,FALSE())</f>
        <v>3.6363636363636367</v>
      </c>
      <c r="K8" s="122">
        <f t="shared" si="5"/>
        <v>0.2728565409732463</v>
      </c>
      <c r="L8" s="122">
        <f t="shared" si="6"/>
        <v>0.9922056035390775</v>
      </c>
    </row>
    <row r="9" spans="1:33" ht="14.25" customHeight="1" x14ac:dyDescent="0.25">
      <c r="A9" s="295" t="s">
        <v>158</v>
      </c>
      <c r="B9" s="22" t="s">
        <v>157</v>
      </c>
      <c r="C9" s="124" t="s">
        <v>14</v>
      </c>
      <c r="D9" s="116">
        <v>10</v>
      </c>
      <c r="E9" s="116">
        <f t="shared" si="0"/>
        <v>51.297029702970299</v>
      </c>
      <c r="F9" s="127">
        <v>1</v>
      </c>
      <c r="G9" s="119">
        <f t="shared" si="1"/>
        <v>512.97029702970303</v>
      </c>
      <c r="H9" s="120">
        <f t="shared" si="2"/>
        <v>512.97029702970303</v>
      </c>
      <c r="I9" s="81">
        <f>VLOOKUP(B9,All_Ingredients!$A$1:$F$151,6,FALSE())</f>
        <v>1</v>
      </c>
      <c r="J9" s="121">
        <f>VLOOKUP(B9,All_Ingredients!$A$1:$J$151,10,FALSE())</f>
        <v>30</v>
      </c>
      <c r="K9" s="122">
        <f t="shared" si="5"/>
        <v>0.51297029702970298</v>
      </c>
      <c r="L9" s="122">
        <f t="shared" si="6"/>
        <v>15.389108910891089</v>
      </c>
    </row>
    <row r="10" spans="1:33" ht="14.25" customHeight="1" x14ac:dyDescent="0.25">
      <c r="A10" s="295" t="s">
        <v>97</v>
      </c>
      <c r="B10" s="22" t="s">
        <v>104</v>
      </c>
      <c r="C10" s="124" t="s">
        <v>14</v>
      </c>
      <c r="D10" s="116">
        <v>2</v>
      </c>
      <c r="E10" s="116">
        <f t="shared" si="0"/>
        <v>51.297029702970299</v>
      </c>
      <c r="F10" s="127">
        <v>0.75</v>
      </c>
      <c r="G10" s="119">
        <f t="shared" si="1"/>
        <v>102.5940594059406</v>
      </c>
      <c r="H10" s="120">
        <f t="shared" si="2"/>
        <v>76.945544554455452</v>
      </c>
      <c r="I10" s="81">
        <f>VLOOKUP(B10,All_Ingredients!$A$1:$F$151,6,FALSE())</f>
        <v>1</v>
      </c>
      <c r="J10" s="121">
        <f>VLOOKUP(B10,All_Ingredients!$A$1:$J$151,10,FALSE())</f>
        <v>47</v>
      </c>
      <c r="K10" s="122">
        <f t="shared" si="5"/>
        <v>7.6945544554455458E-2</v>
      </c>
      <c r="L10" s="122">
        <f t="shared" si="6"/>
        <v>3.6164405940594064</v>
      </c>
    </row>
    <row r="11" spans="1:33" ht="14.25" customHeight="1" x14ac:dyDescent="0.25">
      <c r="A11" s="295" t="s">
        <v>97</v>
      </c>
      <c r="B11" s="22" t="s">
        <v>96</v>
      </c>
      <c r="C11" s="124" t="s">
        <v>14</v>
      </c>
      <c r="D11" s="116">
        <v>5</v>
      </c>
      <c r="E11" s="116">
        <f t="shared" si="0"/>
        <v>51.297029702970299</v>
      </c>
      <c r="F11" s="127">
        <v>0.75</v>
      </c>
      <c r="G11" s="119">
        <f t="shared" si="1"/>
        <v>256.48514851485152</v>
      </c>
      <c r="H11" s="120">
        <f t="shared" si="2"/>
        <v>192.36386138613864</v>
      </c>
      <c r="I11" s="81">
        <f>VLOOKUP(B11,All_Ingredients!$A$1:$F$151,6,FALSE())</f>
        <v>1</v>
      </c>
      <c r="J11" s="121">
        <f>VLOOKUP(B11,All_Ingredients!$A$1:$J$151,10,FALSE())</f>
        <v>0.74</v>
      </c>
      <c r="K11" s="122">
        <f t="shared" si="5"/>
        <v>0.19236386138613865</v>
      </c>
      <c r="L11" s="122">
        <f t="shared" si="6"/>
        <v>0.14234925742574259</v>
      </c>
    </row>
    <row r="12" spans="1:33" ht="14.25" customHeight="1" x14ac:dyDescent="0.25">
      <c r="A12" s="295" t="s">
        <v>97</v>
      </c>
      <c r="B12" s="22" t="s">
        <v>108</v>
      </c>
      <c r="C12" s="124" t="s">
        <v>14</v>
      </c>
      <c r="D12" s="116">
        <v>1</v>
      </c>
      <c r="E12" s="116">
        <f t="shared" si="0"/>
        <v>51.297029702970299</v>
      </c>
      <c r="F12" s="127">
        <v>0.75</v>
      </c>
      <c r="G12" s="119">
        <f t="shared" si="1"/>
        <v>51.297029702970299</v>
      </c>
      <c r="H12" s="120">
        <f t="shared" si="2"/>
        <v>38.472772277227726</v>
      </c>
      <c r="I12" s="81">
        <f>VLOOKUP(B12,All_Ingredients!$A$1:$F$151,6,FALSE())</f>
        <v>1</v>
      </c>
      <c r="J12" s="121">
        <f>VLOOKUP(B12,All_Ingredients!$A$1:$J$151,10,FALSE())</f>
        <v>15</v>
      </c>
      <c r="K12" s="122">
        <f t="shared" si="5"/>
        <v>3.8472772277227729E-2</v>
      </c>
      <c r="L12" s="122">
        <f t="shared" si="6"/>
        <v>0.57709158415841588</v>
      </c>
    </row>
    <row r="13" spans="1:33" ht="14.25" customHeight="1" x14ac:dyDescent="0.25">
      <c r="B13" s="349"/>
      <c r="C13" s="133"/>
      <c r="D13" s="254"/>
      <c r="E13" s="225"/>
      <c r="F13" s="136"/>
      <c r="G13" s="140"/>
      <c r="H13" s="138"/>
    </row>
    <row r="14" spans="1:33" ht="14.25" customHeight="1" x14ac:dyDescent="0.25">
      <c r="E14" s="100"/>
      <c r="F14" s="100"/>
    </row>
    <row r="15" spans="1:33" ht="14.25" customHeight="1" x14ac:dyDescent="0.25">
      <c r="E15" s="100"/>
      <c r="F15" s="100"/>
    </row>
    <row r="16" spans="1:33" ht="14.25" customHeight="1" x14ac:dyDescent="0.25">
      <c r="E16" s="100"/>
      <c r="F16" s="100"/>
      <c r="P16" s="480"/>
    </row>
    <row r="17" spans="2:29" ht="14.25" customHeight="1" x14ac:dyDescent="0.25">
      <c r="E17" s="100"/>
      <c r="F17" s="100"/>
    </row>
    <row r="18" spans="2:29" ht="14.25" customHeight="1" x14ac:dyDescent="0.25">
      <c r="E18" s="100"/>
      <c r="F18" s="100"/>
    </row>
    <row r="19" spans="2:29" ht="14.25" customHeight="1" x14ac:dyDescent="0.3">
      <c r="E19" s="100"/>
      <c r="F19" s="100"/>
      <c r="M19" s="1"/>
      <c r="N19"/>
      <c r="O19"/>
    </row>
    <row r="20" spans="2:29" ht="14.25" customHeight="1" x14ac:dyDescent="0.3">
      <c r="E20" s="100"/>
      <c r="F20" s="100"/>
      <c r="M20" s="179"/>
      <c r="N20" s="492"/>
      <c r="O20"/>
    </row>
    <row r="21" spans="2:29" ht="14.25" customHeight="1" x14ac:dyDescent="0.25">
      <c r="E21" s="100"/>
      <c r="F21" s="100"/>
    </row>
    <row r="22" spans="2:29" ht="14.25" customHeight="1" x14ac:dyDescent="0.25">
      <c r="E22" s="100"/>
      <c r="F22" s="100"/>
    </row>
    <row r="23" spans="2:29" ht="14.25" customHeight="1" x14ac:dyDescent="0.3">
      <c r="B23" s="11"/>
      <c r="C23" s="336"/>
      <c r="D23" s="337"/>
      <c r="E23" s="100"/>
      <c r="F23" s="100"/>
    </row>
    <row r="24" spans="2:29" ht="14.25" customHeight="1" x14ac:dyDescent="0.3">
      <c r="B24" s="11"/>
      <c r="C24" s="336"/>
      <c r="D24" s="337"/>
      <c r="E24" s="100"/>
      <c r="F24" s="100"/>
      <c r="Z24" s="1234"/>
    </row>
    <row r="25" spans="2:29" ht="14.25" customHeight="1" x14ac:dyDescent="0.3">
      <c r="B25" s="11"/>
      <c r="C25" s="336"/>
      <c r="D25" s="337"/>
      <c r="E25" s="100"/>
      <c r="F25" s="100"/>
      <c r="R25" s="1430" t="s">
        <v>357</v>
      </c>
      <c r="S25" s="1388"/>
      <c r="T25" s="1388"/>
      <c r="Z25" s="141" t="s">
        <v>14</v>
      </c>
      <c r="AA25" s="142">
        <v>56640</v>
      </c>
      <c r="AB25" s="141" t="s">
        <v>261</v>
      </c>
      <c r="AC25" s="143">
        <f>(S31/S30)*AA25</f>
        <v>195.55408115831389</v>
      </c>
    </row>
    <row r="26" spans="2:29" ht="14.25" customHeight="1" x14ac:dyDescent="0.3">
      <c r="B26" s="11"/>
      <c r="C26" s="336"/>
      <c r="D26" s="337"/>
      <c r="E26" s="100"/>
      <c r="F26" s="100"/>
      <c r="R26" s="365" t="s">
        <v>350</v>
      </c>
      <c r="S26" s="365"/>
      <c r="T26" s="365"/>
    </row>
    <row r="27" spans="2:29" ht="14.25" customHeight="1" x14ac:dyDescent="0.3">
      <c r="B27" s="11"/>
      <c r="C27" s="336"/>
      <c r="D27" s="337"/>
      <c r="E27" s="100"/>
      <c r="F27" s="100"/>
      <c r="R27" s="145" t="s">
        <v>266</v>
      </c>
      <c r="S27" s="145" t="s">
        <v>351</v>
      </c>
      <c r="T27" s="145" t="s">
        <v>269</v>
      </c>
    </row>
    <row r="28" spans="2:29" ht="14.25" customHeight="1" x14ac:dyDescent="0.3">
      <c r="B28" s="11"/>
      <c r="C28" s="336"/>
      <c r="D28" s="337"/>
      <c r="E28" s="100"/>
      <c r="F28" s="100"/>
      <c r="R28" s="145" t="s">
        <v>275</v>
      </c>
      <c r="S28" s="791">
        <f>T28</f>
        <v>51810</v>
      </c>
      <c r="T28" s="790">
        <f>$Z$1</f>
        <v>51810</v>
      </c>
    </row>
    <row r="29" spans="2:29" ht="14.25" customHeight="1" x14ac:dyDescent="0.3">
      <c r="B29" s="11"/>
      <c r="C29" s="336"/>
      <c r="D29" s="337"/>
      <c r="E29" s="100"/>
      <c r="F29" s="100"/>
      <c r="R29" s="145" t="s">
        <v>277</v>
      </c>
      <c r="S29" s="790">
        <f>$AB$1</f>
        <v>0</v>
      </c>
      <c r="T29" s="294"/>
    </row>
    <row r="30" spans="2:29" ht="14.25" customHeight="1" thickBot="1" x14ac:dyDescent="0.35">
      <c r="B30" s="11"/>
      <c r="C30" s="336"/>
      <c r="D30" s="337"/>
      <c r="E30" s="100"/>
      <c r="F30" s="100"/>
      <c r="R30" s="145" t="s">
        <v>269</v>
      </c>
      <c r="S30" s="339">
        <f>SUM(S28:S29)</f>
        <v>51810</v>
      </c>
      <c r="T30" s="339">
        <f>S30</f>
        <v>51810</v>
      </c>
    </row>
    <row r="31" spans="2:29" ht="14.25" customHeight="1" thickBot="1" x14ac:dyDescent="0.35">
      <c r="B31" s="11"/>
      <c r="C31" s="336"/>
      <c r="D31" s="337"/>
      <c r="E31" s="100"/>
      <c r="F31" s="100"/>
      <c r="R31" s="163" t="s">
        <v>261</v>
      </c>
      <c r="S31" s="1144">
        <f>SUM(L6:L12)</f>
        <v>178.87812402563989</v>
      </c>
      <c r="T31" s="1220">
        <f>S31</f>
        <v>178.87812402563989</v>
      </c>
    </row>
    <row r="32" spans="2:29" ht="14.25" customHeight="1" x14ac:dyDescent="0.25">
      <c r="B32" s="100"/>
      <c r="E32" s="100"/>
      <c r="F32" s="100"/>
    </row>
    <row r="41" ht="14" customHeight="1" x14ac:dyDescent="0.25"/>
    <row r="42" ht="14" customHeight="1" x14ac:dyDescent="0.25"/>
    <row r="50" spans="1:8" ht="14" x14ac:dyDescent="0.3">
      <c r="B50" s="226"/>
      <c r="C50" s="226" t="s">
        <v>245</v>
      </c>
      <c r="D50" s="226" t="s">
        <v>291</v>
      </c>
    </row>
    <row r="51" spans="1:8" ht="14" x14ac:dyDescent="0.3">
      <c r="B51" s="180" t="s">
        <v>295</v>
      </c>
      <c r="C51" s="181">
        <f>10/$K$1</f>
        <v>9.9009900990099009</v>
      </c>
      <c r="D51" s="182">
        <f>$C$1*10</f>
        <v>10000</v>
      </c>
    </row>
    <row r="52" spans="1:8" ht="14" x14ac:dyDescent="0.3">
      <c r="B52" s="231" t="s">
        <v>269</v>
      </c>
      <c r="C52" s="232">
        <f>G1</f>
        <v>51.81</v>
      </c>
      <c r="D52" s="233">
        <f>E1</f>
        <v>51810</v>
      </c>
    </row>
    <row r="53" spans="1:8" ht="14" x14ac:dyDescent="0.3">
      <c r="B53" s="231" t="s">
        <v>296</v>
      </c>
      <c r="C53" s="234">
        <f>MIN($C$52, $C$51)</f>
        <v>9.9009900990099009</v>
      </c>
      <c r="D53" s="233">
        <f t="shared" ref="D53:D59" si="7">(C53*$K$1)*$C$1</f>
        <v>10000</v>
      </c>
    </row>
    <row r="54" spans="1:8" ht="14" x14ac:dyDescent="0.3">
      <c r="B54" s="231" t="s">
        <v>297</v>
      </c>
      <c r="C54" s="234">
        <f>MIN($C$52-C53, $C$51)</f>
        <v>9.9009900990099009</v>
      </c>
      <c r="D54" s="233">
        <f t="shared" si="7"/>
        <v>10000</v>
      </c>
    </row>
    <row r="55" spans="1:8" ht="14" x14ac:dyDescent="0.3">
      <c r="B55" s="231" t="s">
        <v>298</v>
      </c>
      <c r="C55" s="234">
        <f>MIN($C$52-C53-C54, $C$51)</f>
        <v>9.9009900990099009</v>
      </c>
      <c r="D55" s="233">
        <f t="shared" si="7"/>
        <v>10000</v>
      </c>
    </row>
    <row r="56" spans="1:8" ht="14" x14ac:dyDescent="0.3">
      <c r="B56" s="231" t="s">
        <v>305</v>
      </c>
      <c r="C56" s="234">
        <f>MIN($C$52-C53-C54-C55, $C$51)</f>
        <v>9.9009900990099009</v>
      </c>
      <c r="D56" s="233">
        <f t="shared" si="7"/>
        <v>10000</v>
      </c>
    </row>
    <row r="57" spans="1:8" ht="14" x14ac:dyDescent="0.3">
      <c r="B57" s="231" t="s">
        <v>356</v>
      </c>
      <c r="C57" s="234">
        <f>MIN($C$52-C53-C54-C55-C56, $C$51)</f>
        <v>9.9009900990099009</v>
      </c>
      <c r="D57" s="233">
        <f t="shared" si="7"/>
        <v>10000</v>
      </c>
    </row>
    <row r="58" spans="1:8" ht="14" x14ac:dyDescent="0.3">
      <c r="B58" s="231" t="s">
        <v>477</v>
      </c>
      <c r="C58" s="234">
        <f>MIN($C$52-C53-C54-C55-C56-C57, $C$51)</f>
        <v>2.3050495049504924</v>
      </c>
      <c r="D58" s="233">
        <f t="shared" si="7"/>
        <v>2328.0999999999972</v>
      </c>
    </row>
    <row r="59" spans="1:8" ht="14" x14ac:dyDescent="0.3">
      <c r="B59" s="231" t="s">
        <v>478</v>
      </c>
      <c r="C59" s="234">
        <f>MIN($C$52-C53-C54-C55-C56-C57-C58, $C$51)</f>
        <v>0</v>
      </c>
      <c r="D59" s="233">
        <f t="shared" si="7"/>
        <v>0</v>
      </c>
    </row>
    <row r="62" spans="1:8" ht="17.75" customHeight="1" x14ac:dyDescent="0.3">
      <c r="A62" s="942"/>
      <c r="B62" s="1382" t="s">
        <v>636</v>
      </c>
      <c r="C62" s="1383"/>
      <c r="D62" s="1383"/>
      <c r="E62" s="1383"/>
      <c r="F62" s="1383"/>
      <c r="G62" s="1383"/>
      <c r="H62" s="1383"/>
    </row>
    <row r="63" spans="1:8" ht="14" customHeight="1" x14ac:dyDescent="0.3">
      <c r="A63" s="942"/>
      <c r="B63" s="1384" t="s">
        <v>355</v>
      </c>
      <c r="C63" s="1385"/>
      <c r="D63" s="1385"/>
      <c r="E63" s="1385"/>
      <c r="F63" s="1385"/>
      <c r="G63" s="1385"/>
      <c r="H63" s="1385"/>
    </row>
    <row r="64" spans="1:8" ht="36" customHeight="1" x14ac:dyDescent="0.25">
      <c r="A64" s="91"/>
      <c r="B64" s="243" t="s">
        <v>253</v>
      </c>
      <c r="C64" s="244" t="s">
        <v>254</v>
      </c>
      <c r="D64" s="245" t="s">
        <v>243</v>
      </c>
      <c r="E64" s="218" t="s">
        <v>246</v>
      </c>
      <c r="F64" s="218" t="s">
        <v>255</v>
      </c>
      <c r="G64" s="245" t="s">
        <v>256</v>
      </c>
      <c r="H64" s="218" t="s">
        <v>257</v>
      </c>
    </row>
    <row r="65" spans="1:8" ht="14" x14ac:dyDescent="0.25">
      <c r="A65" s="295" t="s">
        <v>13</v>
      </c>
      <c r="B65" s="323" t="str">
        <f t="shared" ref="B65:D71" si="8">B6</f>
        <v>Potato - بطاطس</v>
      </c>
      <c r="C65" s="124" t="str">
        <f t="shared" si="8"/>
        <v>gm</v>
      </c>
      <c r="D65" s="125">
        <f t="shared" si="8"/>
        <v>1175</v>
      </c>
      <c r="E65" s="116">
        <f>$C$52</f>
        <v>51.81</v>
      </c>
      <c r="F65" s="127">
        <f t="shared" ref="F65:F71" si="9">F6</f>
        <v>1</v>
      </c>
      <c r="G65" s="119">
        <f t="shared" ref="G65:G71" si="10">D65*E65</f>
        <v>60876.75</v>
      </c>
      <c r="H65" s="120">
        <f t="shared" ref="H65:H71" si="11">G65*F65</f>
        <v>60876.75</v>
      </c>
    </row>
    <row r="66" spans="1:8" ht="14.25" customHeight="1" x14ac:dyDescent="0.25">
      <c r="A66" s="295" t="s">
        <v>57</v>
      </c>
      <c r="B66" s="323" t="str">
        <f t="shared" si="8"/>
        <v>Ginger - زنجبيل</v>
      </c>
      <c r="C66" s="124" t="str">
        <f t="shared" si="8"/>
        <v>gm</v>
      </c>
      <c r="D66" s="125">
        <f t="shared" si="8"/>
        <v>10</v>
      </c>
      <c r="E66" s="116">
        <f t="shared" ref="E66:E71" si="12">$C$52</f>
        <v>51.81</v>
      </c>
      <c r="F66" s="127">
        <f t="shared" si="9"/>
        <v>1</v>
      </c>
      <c r="G66" s="119">
        <f t="shared" si="10"/>
        <v>518.1</v>
      </c>
      <c r="H66" s="120">
        <f t="shared" si="11"/>
        <v>518.1</v>
      </c>
    </row>
    <row r="67" spans="1:8" ht="14.25" customHeight="1" x14ac:dyDescent="0.25">
      <c r="A67" s="295" t="s">
        <v>63</v>
      </c>
      <c r="B67" s="323" t="str">
        <f t="shared" si="8"/>
        <v>Coriander Leaves - كزبرة خضراء</v>
      </c>
      <c r="C67" s="124" t="str">
        <f t="shared" si="8"/>
        <v>gm</v>
      </c>
      <c r="D67" s="125">
        <f t="shared" si="8"/>
        <v>5</v>
      </c>
      <c r="E67" s="116">
        <f t="shared" si="12"/>
        <v>51.81</v>
      </c>
      <c r="F67" s="127">
        <f t="shared" si="9"/>
        <v>1</v>
      </c>
      <c r="G67" s="119">
        <f t="shared" si="10"/>
        <v>259.05</v>
      </c>
      <c r="H67" s="120">
        <f t="shared" si="11"/>
        <v>259.05</v>
      </c>
    </row>
    <row r="68" spans="1:8" ht="14.25" customHeight="1" x14ac:dyDescent="0.25">
      <c r="A68" s="295" t="s">
        <v>158</v>
      </c>
      <c r="B68" s="323" t="str">
        <f t="shared" si="8"/>
        <v>Butter - زبدة</v>
      </c>
      <c r="C68" s="124" t="str">
        <f t="shared" si="8"/>
        <v>gm</v>
      </c>
      <c r="D68" s="125">
        <f t="shared" si="8"/>
        <v>10</v>
      </c>
      <c r="E68" s="116">
        <f t="shared" si="12"/>
        <v>51.81</v>
      </c>
      <c r="F68" s="127">
        <f t="shared" si="9"/>
        <v>1</v>
      </c>
      <c r="G68" s="119">
        <f t="shared" si="10"/>
        <v>518.1</v>
      </c>
      <c r="H68" s="120">
        <f t="shared" si="11"/>
        <v>518.1</v>
      </c>
    </row>
    <row r="69" spans="1:8" ht="14.25" customHeight="1" x14ac:dyDescent="0.25">
      <c r="A69" s="295" t="s">
        <v>97</v>
      </c>
      <c r="B69" s="323" t="str">
        <f t="shared" si="8"/>
        <v>White Pepper - فلفل أبيض</v>
      </c>
      <c r="C69" s="124" t="str">
        <f t="shared" si="8"/>
        <v>gm</v>
      </c>
      <c r="D69" s="125">
        <f t="shared" si="8"/>
        <v>2</v>
      </c>
      <c r="E69" s="116">
        <f t="shared" si="12"/>
        <v>51.81</v>
      </c>
      <c r="F69" s="127">
        <f t="shared" si="9"/>
        <v>0.75</v>
      </c>
      <c r="G69" s="119">
        <f t="shared" si="10"/>
        <v>103.62</v>
      </c>
      <c r="H69" s="120">
        <f t="shared" si="11"/>
        <v>77.715000000000003</v>
      </c>
    </row>
    <row r="70" spans="1:8" ht="14.25" customHeight="1" x14ac:dyDescent="0.25">
      <c r="A70" s="295" t="s">
        <v>97</v>
      </c>
      <c r="B70" s="323" t="str">
        <f t="shared" si="8"/>
        <v>Salt - ملح</v>
      </c>
      <c r="C70" s="124" t="str">
        <f t="shared" si="8"/>
        <v>gm</v>
      </c>
      <c r="D70" s="125">
        <f t="shared" si="8"/>
        <v>5</v>
      </c>
      <c r="E70" s="116">
        <f t="shared" si="12"/>
        <v>51.81</v>
      </c>
      <c r="F70" s="127">
        <f t="shared" si="9"/>
        <v>0.75</v>
      </c>
      <c r="G70" s="119">
        <f t="shared" si="10"/>
        <v>259.05</v>
      </c>
      <c r="H70" s="120">
        <f t="shared" si="11"/>
        <v>194.28750000000002</v>
      </c>
    </row>
    <row r="71" spans="1:8" ht="14.25" customHeight="1" x14ac:dyDescent="0.25">
      <c r="A71" s="295" t="s">
        <v>97</v>
      </c>
      <c r="B71" s="323" t="str">
        <f t="shared" si="8"/>
        <v>Cumin Powder - كمون مطحون</v>
      </c>
      <c r="C71" s="124" t="str">
        <f t="shared" si="8"/>
        <v>gm</v>
      </c>
      <c r="D71" s="125">
        <f t="shared" si="8"/>
        <v>1</v>
      </c>
      <c r="E71" s="116">
        <f t="shared" si="12"/>
        <v>51.81</v>
      </c>
      <c r="F71" s="127">
        <f t="shared" si="9"/>
        <v>0.75</v>
      </c>
      <c r="G71" s="119">
        <f t="shared" si="10"/>
        <v>51.81</v>
      </c>
      <c r="H71" s="120">
        <f t="shared" si="11"/>
        <v>38.857500000000002</v>
      </c>
    </row>
    <row r="72" spans="1:8" ht="12.75" customHeight="1" x14ac:dyDescent="0.25">
      <c r="B72" s="198" t="s">
        <v>772</v>
      </c>
      <c r="E72" s="100"/>
      <c r="F72" s="100"/>
    </row>
    <row r="73" spans="1:8" ht="19.25" customHeight="1" x14ac:dyDescent="0.4">
      <c r="B73" s="199">
        <f>D52</f>
        <v>51810</v>
      </c>
      <c r="C73" s="208"/>
      <c r="D73" s="4"/>
      <c r="E73" s="100"/>
      <c r="F73" s="183"/>
    </row>
    <row r="74" spans="1:8" ht="12.75" customHeight="1" x14ac:dyDescent="0.25">
      <c r="B74" s="100"/>
      <c r="E74" s="100"/>
      <c r="F74" s="100"/>
    </row>
    <row r="75" spans="1:8" ht="12.75" customHeight="1" x14ac:dyDescent="0.25">
      <c r="A75" s="881"/>
      <c r="B75" s="875"/>
      <c r="C75" s="875"/>
      <c r="D75" s="875"/>
      <c r="E75" s="875"/>
      <c r="F75" s="875"/>
      <c r="G75" s="875"/>
      <c r="H75" s="875"/>
    </row>
    <row r="76" spans="1:8" ht="17.75" customHeight="1" x14ac:dyDescent="0.3">
      <c r="A76" s="1253"/>
      <c r="B76" s="1439"/>
      <c r="C76" s="1440"/>
      <c r="D76" s="1440"/>
      <c r="E76" s="1440"/>
      <c r="F76" s="1440"/>
      <c r="G76" s="1440"/>
      <c r="H76" s="1440"/>
    </row>
    <row r="77" spans="1:8" ht="17.75" customHeight="1" x14ac:dyDescent="0.3">
      <c r="A77" s="1253"/>
      <c r="B77" s="1439"/>
      <c r="C77" s="1440"/>
      <c r="D77" s="1440"/>
      <c r="E77" s="1440"/>
      <c r="F77" s="1440"/>
      <c r="G77" s="1440"/>
      <c r="H77" s="1440"/>
    </row>
    <row r="78" spans="1:8" ht="13" x14ac:dyDescent="0.25">
      <c r="A78" s="1258"/>
      <c r="B78" s="1268"/>
      <c r="C78" s="1269"/>
      <c r="D78" s="1268"/>
      <c r="E78" s="1270"/>
      <c r="F78" s="1270"/>
      <c r="G78" s="1268"/>
      <c r="H78" s="1270"/>
    </row>
    <row r="79" spans="1:8" ht="14" x14ac:dyDescent="0.25">
      <c r="A79" s="881"/>
      <c r="B79" s="1271"/>
      <c r="C79" s="1271"/>
      <c r="D79" s="1271"/>
      <c r="E79" s="1272"/>
      <c r="F79" s="1273"/>
      <c r="G79" s="1274"/>
      <c r="H79" s="1275"/>
    </row>
    <row r="80" spans="1:8" ht="14.25" customHeight="1" x14ac:dyDescent="0.25">
      <c r="A80" s="881"/>
      <c r="B80" s="1271"/>
      <c r="C80" s="1271"/>
      <c r="D80" s="1271"/>
      <c r="E80" s="1272"/>
      <c r="F80" s="1273"/>
      <c r="G80" s="1274"/>
      <c r="H80" s="1275"/>
    </row>
    <row r="81" spans="1:8" ht="14.25" customHeight="1" x14ac:dyDescent="0.25">
      <c r="A81" s="881"/>
      <c r="B81" s="1271"/>
      <c r="C81" s="1271"/>
      <c r="D81" s="1271"/>
      <c r="E81" s="1272"/>
      <c r="F81" s="1273"/>
      <c r="G81" s="1274"/>
      <c r="H81" s="1275"/>
    </row>
    <row r="82" spans="1:8" ht="14.25" customHeight="1" x14ac:dyDescent="0.25">
      <c r="A82" s="881"/>
      <c r="B82" s="1271"/>
      <c r="C82" s="1271"/>
      <c r="D82" s="1271"/>
      <c r="E82" s="1272"/>
      <c r="F82" s="1273"/>
      <c r="G82" s="1274"/>
      <c r="H82" s="1275"/>
    </row>
    <row r="83" spans="1:8" ht="14.25" customHeight="1" x14ac:dyDescent="0.25">
      <c r="A83" s="881"/>
      <c r="B83" s="1271"/>
      <c r="C83" s="1271"/>
      <c r="D83" s="1271"/>
      <c r="E83" s="1272"/>
      <c r="F83" s="1273"/>
      <c r="G83" s="1274"/>
      <c r="H83" s="1275"/>
    </row>
    <row r="84" spans="1:8" ht="14.25" customHeight="1" x14ac:dyDescent="0.25">
      <c r="A84" s="881"/>
      <c r="B84" s="1271"/>
      <c r="C84" s="1271"/>
      <c r="D84" s="1271"/>
      <c r="E84" s="1272"/>
      <c r="F84" s="1273"/>
      <c r="G84" s="1274"/>
      <c r="H84" s="1275"/>
    </row>
    <row r="85" spans="1:8" ht="14.25" customHeight="1" x14ac:dyDescent="0.25">
      <c r="A85" s="881"/>
      <c r="B85" s="1271"/>
      <c r="C85" s="1271"/>
      <c r="D85" s="1271"/>
      <c r="E85" s="1272"/>
      <c r="F85" s="1273"/>
      <c r="G85" s="1274"/>
      <c r="H85" s="1275"/>
    </row>
    <row r="86" spans="1:8" ht="12.75" customHeight="1" x14ac:dyDescent="0.25">
      <c r="A86" s="881"/>
      <c r="B86" s="900"/>
      <c r="C86" s="881"/>
      <c r="D86" s="881"/>
      <c r="E86" s="875"/>
      <c r="F86" s="875"/>
      <c r="G86" s="881"/>
      <c r="H86" s="881"/>
    </row>
    <row r="87" spans="1:8" ht="19.5" customHeight="1" x14ac:dyDescent="0.4">
      <c r="A87" s="881"/>
      <c r="B87" s="901"/>
      <c r="C87" s="1282"/>
      <c r="D87" s="1279"/>
      <c r="E87" s="875"/>
      <c r="F87" s="1280"/>
      <c r="G87" s="881"/>
      <c r="H87" s="881"/>
    </row>
    <row r="88" spans="1:8" ht="12.75" customHeight="1" x14ac:dyDescent="0.25">
      <c r="A88" s="881"/>
      <c r="B88" s="875"/>
      <c r="C88" s="875"/>
      <c r="D88" s="875"/>
      <c r="E88" s="875"/>
      <c r="F88" s="875"/>
      <c r="G88" s="875"/>
      <c r="H88" s="875"/>
    </row>
    <row r="89" spans="1:8" ht="12.75" customHeight="1" x14ac:dyDescent="0.25">
      <c r="A89" s="881"/>
      <c r="B89" s="875"/>
      <c r="C89" s="875"/>
      <c r="D89" s="875"/>
      <c r="E89" s="875"/>
      <c r="F89" s="875"/>
      <c r="G89" s="875"/>
      <c r="H89" s="875"/>
    </row>
    <row r="90" spans="1:8" ht="17.75" customHeight="1" x14ac:dyDescent="0.3">
      <c r="A90" s="1253"/>
      <c r="B90" s="1439"/>
      <c r="C90" s="1440"/>
      <c r="D90" s="1440"/>
      <c r="E90" s="1440"/>
      <c r="F90" s="1440"/>
      <c r="G90" s="1440"/>
      <c r="H90" s="1440"/>
    </row>
    <row r="91" spans="1:8" ht="17.75" customHeight="1" x14ac:dyDescent="0.3">
      <c r="A91" s="1253"/>
      <c r="B91" s="1439"/>
      <c r="C91" s="1440"/>
      <c r="D91" s="1440"/>
      <c r="E91" s="1440"/>
      <c r="F91" s="1440"/>
      <c r="G91" s="1440"/>
      <c r="H91" s="1440"/>
    </row>
    <row r="92" spans="1:8" ht="25.5" customHeight="1" x14ac:dyDescent="0.25">
      <c r="A92" s="1258"/>
      <c r="B92" s="1268"/>
      <c r="C92" s="1269"/>
      <c r="D92" s="1268"/>
      <c r="E92" s="1270"/>
      <c r="F92" s="1270"/>
      <c r="G92" s="1268"/>
      <c r="H92" s="1270"/>
    </row>
    <row r="93" spans="1:8" ht="14" x14ac:dyDescent="0.25">
      <c r="A93" s="881"/>
      <c r="B93" s="1271"/>
      <c r="C93" s="1271"/>
      <c r="D93" s="1271"/>
      <c r="E93" s="1272"/>
      <c r="F93" s="1273"/>
      <c r="G93" s="1274"/>
      <c r="H93" s="1275"/>
    </row>
    <row r="94" spans="1:8" ht="14.25" customHeight="1" x14ac:dyDescent="0.25">
      <c r="A94" s="881"/>
      <c r="B94" s="1271"/>
      <c r="C94" s="1271"/>
      <c r="D94" s="1271"/>
      <c r="E94" s="1272"/>
      <c r="F94" s="1273"/>
      <c r="G94" s="1274"/>
      <c r="H94" s="1275"/>
    </row>
    <row r="95" spans="1:8" ht="14.25" customHeight="1" x14ac:dyDescent="0.25">
      <c r="A95" s="881"/>
      <c r="B95" s="1271"/>
      <c r="C95" s="1271"/>
      <c r="D95" s="1271"/>
      <c r="E95" s="1272"/>
      <c r="F95" s="1273"/>
      <c r="G95" s="1274"/>
      <c r="H95" s="1275"/>
    </row>
    <row r="96" spans="1:8" ht="14.25" customHeight="1" x14ac:dyDescent="0.25">
      <c r="A96" s="881"/>
      <c r="B96" s="1271"/>
      <c r="C96" s="1271"/>
      <c r="D96" s="1271"/>
      <c r="E96" s="1272"/>
      <c r="F96" s="1273"/>
      <c r="G96" s="1274"/>
      <c r="H96" s="1275"/>
    </row>
    <row r="97" spans="1:8" ht="14.25" customHeight="1" x14ac:dyDescent="0.25">
      <c r="A97" s="881"/>
      <c r="B97" s="1271"/>
      <c r="C97" s="1271"/>
      <c r="D97" s="1271"/>
      <c r="E97" s="1272"/>
      <c r="F97" s="1273"/>
      <c r="G97" s="1274"/>
      <c r="H97" s="1275"/>
    </row>
    <row r="98" spans="1:8" ht="14.25" customHeight="1" x14ac:dyDescent="0.25">
      <c r="A98" s="881"/>
      <c r="B98" s="1271"/>
      <c r="C98" s="1271"/>
      <c r="D98" s="1271"/>
      <c r="E98" s="1272"/>
      <c r="F98" s="1273"/>
      <c r="G98" s="1274"/>
      <c r="H98" s="1275"/>
    </row>
    <row r="99" spans="1:8" ht="14.25" customHeight="1" x14ac:dyDescent="0.25">
      <c r="A99" s="881"/>
      <c r="B99" s="1271"/>
      <c r="C99" s="1271"/>
      <c r="D99" s="1271"/>
      <c r="E99" s="1272"/>
      <c r="F99" s="1273"/>
      <c r="G99" s="1274"/>
      <c r="H99" s="1275"/>
    </row>
    <row r="100" spans="1:8" ht="12.75" customHeight="1" x14ac:dyDescent="0.25">
      <c r="A100" s="881"/>
      <c r="B100" s="900"/>
      <c r="C100" s="881"/>
      <c r="D100" s="881"/>
      <c r="E100" s="875"/>
      <c r="F100" s="875"/>
      <c r="G100" s="881"/>
      <c r="H100" s="881"/>
    </row>
    <row r="101" spans="1:8" ht="17.75" customHeight="1" x14ac:dyDescent="0.4">
      <c r="A101" s="881"/>
      <c r="B101" s="901"/>
      <c r="C101" s="881"/>
      <c r="D101" s="881"/>
      <c r="E101" s="875"/>
      <c r="F101" s="875"/>
      <c r="G101" s="881"/>
      <c r="H101" s="881"/>
    </row>
    <row r="102" spans="1:8" ht="14.25" customHeight="1" x14ac:dyDescent="0.3">
      <c r="A102" s="881"/>
      <c r="B102" s="875"/>
      <c r="C102" s="905"/>
      <c r="D102" s="1279"/>
      <c r="E102" s="875"/>
      <c r="F102" s="1280"/>
      <c r="G102" s="881"/>
      <c r="H102" s="881"/>
    </row>
    <row r="103" spans="1:8" x14ac:dyDescent="0.25">
      <c r="A103" s="881"/>
      <c r="B103" s="881"/>
      <c r="C103" s="881"/>
      <c r="D103" s="881"/>
      <c r="E103" s="881"/>
      <c r="F103" s="881"/>
      <c r="G103" s="881"/>
      <c r="H103" s="881"/>
    </row>
    <row r="104" spans="1:8" ht="17.75" customHeight="1" x14ac:dyDescent="0.3">
      <c r="A104" s="1253"/>
      <c r="B104" s="1439"/>
      <c r="C104" s="1440"/>
      <c r="D104" s="1440"/>
      <c r="E104" s="1440"/>
      <c r="F104" s="1440"/>
      <c r="G104" s="1440"/>
      <c r="H104" s="1440"/>
    </row>
    <row r="105" spans="1:8" ht="17.75" customHeight="1" x14ac:dyDescent="0.3">
      <c r="A105" s="1253"/>
      <c r="B105" s="1439"/>
      <c r="C105" s="1440"/>
      <c r="D105" s="1440"/>
      <c r="E105" s="1440"/>
      <c r="F105" s="1440"/>
      <c r="G105" s="1440"/>
      <c r="H105" s="1440"/>
    </row>
    <row r="106" spans="1:8" ht="13" x14ac:dyDescent="0.25">
      <c r="A106" s="1258"/>
      <c r="B106" s="1268"/>
      <c r="C106" s="1269"/>
      <c r="D106" s="1268"/>
      <c r="E106" s="1270"/>
      <c r="F106" s="1270"/>
      <c r="G106" s="1268"/>
      <c r="H106" s="1270"/>
    </row>
    <row r="107" spans="1:8" ht="14" x14ac:dyDescent="0.25">
      <c r="A107" s="881"/>
      <c r="B107" s="1271"/>
      <c r="C107" s="1271"/>
      <c r="D107" s="1271"/>
      <c r="E107" s="1272"/>
      <c r="F107" s="1273"/>
      <c r="G107" s="1274"/>
      <c r="H107" s="1275"/>
    </row>
    <row r="108" spans="1:8" ht="14.25" customHeight="1" x14ac:dyDescent="0.25">
      <c r="A108" s="881"/>
      <c r="B108" s="1271"/>
      <c r="C108" s="1271"/>
      <c r="D108" s="1271"/>
      <c r="E108" s="1272"/>
      <c r="F108" s="1273"/>
      <c r="G108" s="1274"/>
      <c r="H108" s="1275"/>
    </row>
    <row r="109" spans="1:8" ht="14.25" customHeight="1" x14ac:dyDescent="0.25">
      <c r="A109" s="881"/>
      <c r="B109" s="1271"/>
      <c r="C109" s="1271"/>
      <c r="D109" s="1271"/>
      <c r="E109" s="1272"/>
      <c r="F109" s="1273"/>
      <c r="G109" s="1274"/>
      <c r="H109" s="1275"/>
    </row>
    <row r="110" spans="1:8" ht="14.25" customHeight="1" x14ac:dyDescent="0.25">
      <c r="A110" s="881"/>
      <c r="B110" s="1271"/>
      <c r="C110" s="1271"/>
      <c r="D110" s="1271"/>
      <c r="E110" s="1272"/>
      <c r="F110" s="1273"/>
      <c r="G110" s="1274"/>
      <c r="H110" s="1275"/>
    </row>
    <row r="111" spans="1:8" ht="14.25" customHeight="1" x14ac:dyDescent="0.25">
      <c r="A111" s="881"/>
      <c r="B111" s="1271"/>
      <c r="C111" s="1271"/>
      <c r="D111" s="1271"/>
      <c r="E111" s="1272"/>
      <c r="F111" s="1273"/>
      <c r="G111" s="1274"/>
      <c r="H111" s="1275"/>
    </row>
    <row r="112" spans="1:8" ht="14.25" customHeight="1" x14ac:dyDescent="0.25">
      <c r="A112" s="881"/>
      <c r="B112" s="1271"/>
      <c r="C112" s="1271"/>
      <c r="D112" s="1271"/>
      <c r="E112" s="1272"/>
      <c r="F112" s="1273"/>
      <c r="G112" s="1274"/>
      <c r="H112" s="1275"/>
    </row>
    <row r="113" spans="1:8" ht="14.25" customHeight="1" x14ac:dyDescent="0.25">
      <c r="A113" s="881"/>
      <c r="B113" s="1271"/>
      <c r="C113" s="1271"/>
      <c r="D113" s="1271"/>
      <c r="E113" s="1272"/>
      <c r="F113" s="1273"/>
      <c r="G113" s="1274"/>
      <c r="H113" s="1275"/>
    </row>
    <row r="114" spans="1:8" ht="12.75" customHeight="1" x14ac:dyDescent="0.25">
      <c r="A114" s="881"/>
      <c r="B114" s="900"/>
      <c r="C114" s="881"/>
      <c r="D114" s="881"/>
      <c r="E114" s="875"/>
      <c r="F114" s="875"/>
      <c r="G114" s="881"/>
      <c r="H114" s="881"/>
    </row>
    <row r="115" spans="1:8" ht="21" customHeight="1" x14ac:dyDescent="0.4">
      <c r="A115" s="881"/>
      <c r="B115" s="901"/>
      <c r="C115" s="881"/>
      <c r="D115" s="881"/>
      <c r="E115" s="875"/>
      <c r="F115" s="875"/>
      <c r="G115" s="881"/>
      <c r="H115" s="881"/>
    </row>
    <row r="116" spans="1:8" ht="14.25" customHeight="1" x14ac:dyDescent="0.3">
      <c r="A116" s="881"/>
      <c r="B116" s="875"/>
      <c r="C116" s="905"/>
      <c r="D116" s="1279"/>
      <c r="E116" s="875"/>
      <c r="F116" s="1280"/>
      <c r="G116" s="881"/>
      <c r="H116" s="881"/>
    </row>
    <row r="117" spans="1:8" ht="17.75" customHeight="1" x14ac:dyDescent="0.3">
      <c r="A117" s="1253"/>
      <c r="B117" s="1439"/>
      <c r="C117" s="1440"/>
      <c r="D117" s="1440"/>
      <c r="E117" s="1440"/>
      <c r="F117" s="1440"/>
      <c r="G117" s="1440"/>
      <c r="H117" s="1440"/>
    </row>
    <row r="118" spans="1:8" ht="17.75" customHeight="1" x14ac:dyDescent="0.3">
      <c r="A118" s="1253"/>
      <c r="B118" s="1439"/>
      <c r="C118" s="1440"/>
      <c r="D118" s="1440"/>
      <c r="E118" s="1440"/>
      <c r="F118" s="1440"/>
      <c r="G118" s="1440"/>
      <c r="H118" s="1440"/>
    </row>
    <row r="119" spans="1:8" ht="13" x14ac:dyDescent="0.25">
      <c r="A119" s="1258"/>
      <c r="B119" s="1268"/>
      <c r="C119" s="1269"/>
      <c r="D119" s="1268"/>
      <c r="E119" s="1270"/>
      <c r="F119" s="1270"/>
      <c r="G119" s="1268"/>
      <c r="H119" s="1270"/>
    </row>
    <row r="120" spans="1:8" ht="14" x14ac:dyDescent="0.25">
      <c r="A120" s="881"/>
      <c r="B120" s="1271"/>
      <c r="C120" s="1271"/>
      <c r="D120" s="1271"/>
      <c r="E120" s="1272"/>
      <c r="F120" s="1273"/>
      <c r="G120" s="1274"/>
      <c r="H120" s="1275"/>
    </row>
    <row r="121" spans="1:8" ht="14.25" customHeight="1" x14ac:dyDescent="0.25">
      <c r="A121" s="881"/>
      <c r="B121" s="1271"/>
      <c r="C121" s="1271"/>
      <c r="D121" s="1271"/>
      <c r="E121" s="1272"/>
      <c r="F121" s="1273"/>
      <c r="G121" s="1274"/>
      <c r="H121" s="1275"/>
    </row>
    <row r="122" spans="1:8" ht="14.25" customHeight="1" x14ac:dyDescent="0.25">
      <c r="A122" s="881"/>
      <c r="B122" s="1271"/>
      <c r="C122" s="1271"/>
      <c r="D122" s="1271"/>
      <c r="E122" s="1272"/>
      <c r="F122" s="1273"/>
      <c r="G122" s="1274"/>
      <c r="H122" s="1275"/>
    </row>
    <row r="123" spans="1:8" ht="14.25" customHeight="1" x14ac:dyDescent="0.25">
      <c r="A123" s="881"/>
      <c r="B123" s="1271"/>
      <c r="C123" s="1271"/>
      <c r="D123" s="1271"/>
      <c r="E123" s="1272"/>
      <c r="F123" s="1273"/>
      <c r="G123" s="1274"/>
      <c r="H123" s="1275"/>
    </row>
    <row r="124" spans="1:8" ht="14.25" customHeight="1" x14ac:dyDescent="0.25">
      <c r="A124" s="881"/>
      <c r="B124" s="1271"/>
      <c r="C124" s="1271"/>
      <c r="D124" s="1271"/>
      <c r="E124" s="1272"/>
      <c r="F124" s="1273"/>
      <c r="G124" s="1274"/>
      <c r="H124" s="1275"/>
    </row>
    <row r="125" spans="1:8" ht="14.25" customHeight="1" x14ac:dyDescent="0.25">
      <c r="A125" s="881"/>
      <c r="B125" s="1271"/>
      <c r="C125" s="1271"/>
      <c r="D125" s="1271"/>
      <c r="E125" s="1272"/>
      <c r="F125" s="1273"/>
      <c r="G125" s="1274"/>
      <c r="H125" s="1275"/>
    </row>
    <row r="126" spans="1:8" ht="14.25" customHeight="1" x14ac:dyDescent="0.25">
      <c r="A126" s="881"/>
      <c r="B126" s="1271"/>
      <c r="C126" s="1271"/>
      <c r="D126" s="1271"/>
      <c r="E126" s="1272"/>
      <c r="F126" s="1273"/>
      <c r="G126" s="1274"/>
      <c r="H126" s="1275"/>
    </row>
    <row r="127" spans="1:8" ht="15.5" x14ac:dyDescent="0.25">
      <c r="A127" s="881"/>
      <c r="B127" s="900"/>
      <c r="C127" s="881"/>
      <c r="D127" s="881"/>
      <c r="E127" s="881"/>
      <c r="F127" s="881"/>
      <c r="G127" s="881"/>
      <c r="H127" s="881"/>
    </row>
    <row r="128" spans="1:8" ht="29.75" customHeight="1" x14ac:dyDescent="0.4">
      <c r="A128" s="881"/>
      <c r="B128" s="901"/>
      <c r="C128" s="881"/>
      <c r="D128" s="881"/>
      <c r="E128" s="881"/>
      <c r="F128" s="881"/>
      <c r="G128" s="881"/>
      <c r="H128" s="881"/>
    </row>
    <row r="129" spans="1:8" ht="29.75" customHeight="1" x14ac:dyDescent="0.25">
      <c r="A129" s="881"/>
      <c r="B129" s="881"/>
      <c r="C129" s="881"/>
      <c r="D129" s="881"/>
      <c r="E129" s="881"/>
      <c r="F129" s="881"/>
      <c r="G129" s="881"/>
      <c r="H129" s="881"/>
    </row>
    <row r="130" spans="1:8" ht="18" x14ac:dyDescent="0.3">
      <c r="A130" s="1253"/>
      <c r="B130" s="1439"/>
      <c r="C130" s="1440"/>
      <c r="D130" s="1440"/>
      <c r="E130" s="1440"/>
      <c r="F130" s="1440"/>
      <c r="G130" s="1440"/>
      <c r="H130" s="1440"/>
    </row>
    <row r="131" spans="1:8" ht="18" x14ac:dyDescent="0.3">
      <c r="A131" s="1253"/>
      <c r="B131" s="1439"/>
      <c r="C131" s="1440"/>
      <c r="D131" s="1440"/>
      <c r="E131" s="1440"/>
      <c r="F131" s="1440"/>
      <c r="G131" s="1440"/>
      <c r="H131" s="1440"/>
    </row>
    <row r="132" spans="1:8" ht="13" x14ac:dyDescent="0.25">
      <c r="A132" s="1258"/>
      <c r="B132" s="1268"/>
      <c r="C132" s="1269"/>
      <c r="D132" s="1268"/>
      <c r="E132" s="1270"/>
      <c r="F132" s="1270"/>
      <c r="G132" s="1268"/>
      <c r="H132" s="1270"/>
    </row>
    <row r="133" spans="1:8" ht="14" x14ac:dyDescent="0.25">
      <c r="A133" s="881"/>
      <c r="B133" s="1271"/>
      <c r="C133" s="1271"/>
      <c r="D133" s="1271"/>
      <c r="E133" s="1272"/>
      <c r="F133" s="1273"/>
      <c r="G133" s="1274"/>
      <c r="H133" s="1275"/>
    </row>
    <row r="134" spans="1:8" ht="14" x14ac:dyDescent="0.25">
      <c r="A134" s="881"/>
      <c r="B134" s="1271"/>
      <c r="C134" s="1271"/>
      <c r="D134" s="1271"/>
      <c r="E134" s="1272"/>
      <c r="F134" s="1273"/>
      <c r="G134" s="1274"/>
      <c r="H134" s="1275"/>
    </row>
    <row r="135" spans="1:8" ht="14" x14ac:dyDescent="0.25">
      <c r="A135" s="881"/>
      <c r="B135" s="1271"/>
      <c r="C135" s="1271"/>
      <c r="D135" s="1271"/>
      <c r="E135" s="1272"/>
      <c r="F135" s="1273"/>
      <c r="G135" s="1274"/>
      <c r="H135" s="1275"/>
    </row>
    <row r="136" spans="1:8" ht="14" x14ac:dyDescent="0.25">
      <c r="A136" s="881"/>
      <c r="B136" s="1271"/>
      <c r="C136" s="1271"/>
      <c r="D136" s="1271"/>
      <c r="E136" s="1272"/>
      <c r="F136" s="1273"/>
      <c r="G136" s="1274"/>
      <c r="H136" s="1275"/>
    </row>
    <row r="137" spans="1:8" ht="14" x14ac:dyDescent="0.25">
      <c r="A137" s="881"/>
      <c r="B137" s="1271"/>
      <c r="C137" s="1271"/>
      <c r="D137" s="1271"/>
      <c r="E137" s="1272"/>
      <c r="F137" s="1273"/>
      <c r="G137" s="1274"/>
      <c r="H137" s="1275"/>
    </row>
    <row r="138" spans="1:8" ht="14" x14ac:dyDescent="0.25">
      <c r="A138" s="881"/>
      <c r="B138" s="1271"/>
      <c r="C138" s="1271"/>
      <c r="D138" s="1271"/>
      <c r="E138" s="1272"/>
      <c r="F138" s="1273"/>
      <c r="G138" s="1274"/>
      <c r="H138" s="1275"/>
    </row>
    <row r="139" spans="1:8" ht="14" x14ac:dyDescent="0.25">
      <c r="A139" s="881"/>
      <c r="B139" s="1271"/>
      <c r="C139" s="1271"/>
      <c r="D139" s="1271"/>
      <c r="E139" s="1272"/>
      <c r="F139" s="1273"/>
      <c r="G139" s="1274"/>
      <c r="H139" s="1275"/>
    </row>
    <row r="140" spans="1:8" ht="15.5" x14ac:dyDescent="0.25">
      <c r="A140" s="881"/>
      <c r="B140" s="900"/>
      <c r="C140" s="881"/>
      <c r="D140" s="881"/>
      <c r="E140" s="881"/>
      <c r="F140" s="881"/>
      <c r="G140" s="881"/>
      <c r="H140" s="881"/>
    </row>
    <row r="141" spans="1:8" ht="20" x14ac:dyDescent="0.4">
      <c r="A141" s="881"/>
      <c r="B141" s="901"/>
      <c r="C141" s="881"/>
      <c r="D141" s="881"/>
      <c r="E141" s="881"/>
      <c r="F141" s="881"/>
      <c r="G141" s="881"/>
      <c r="H141" s="881"/>
    </row>
    <row r="142" spans="1:8" x14ac:dyDescent="0.25">
      <c r="A142" s="881"/>
      <c r="B142" s="881"/>
      <c r="C142" s="881"/>
      <c r="D142" s="881"/>
      <c r="E142" s="881"/>
      <c r="F142" s="881"/>
      <c r="G142" s="881"/>
      <c r="H142" s="881"/>
    </row>
    <row r="143" spans="1:8" ht="18" x14ac:dyDescent="0.3">
      <c r="A143" s="1253"/>
      <c r="B143" s="1439"/>
      <c r="C143" s="1440"/>
      <c r="D143" s="1440"/>
      <c r="E143" s="1440"/>
      <c r="F143" s="1440"/>
      <c r="G143" s="1440"/>
      <c r="H143" s="1440"/>
    </row>
    <row r="144" spans="1:8" ht="18" x14ac:dyDescent="0.3">
      <c r="A144" s="1253"/>
      <c r="B144" s="1439"/>
      <c r="C144" s="1440"/>
      <c r="D144" s="1440"/>
      <c r="E144" s="1440"/>
      <c r="F144" s="1440"/>
      <c r="G144" s="1440"/>
      <c r="H144" s="1440"/>
    </row>
    <row r="145" spans="1:8" ht="13" x14ac:dyDescent="0.25">
      <c r="A145" s="1258"/>
      <c r="B145" s="1268"/>
      <c r="C145" s="1269"/>
      <c r="D145" s="1268"/>
      <c r="E145" s="1270"/>
      <c r="F145" s="1270"/>
      <c r="G145" s="1268"/>
      <c r="H145" s="1270"/>
    </row>
    <row r="146" spans="1:8" ht="14" x14ac:dyDescent="0.25">
      <c r="A146" s="881"/>
      <c r="B146" s="1271"/>
      <c r="C146" s="1271"/>
      <c r="D146" s="1271"/>
      <c r="E146" s="1272"/>
      <c r="F146" s="1273"/>
      <c r="G146" s="1274"/>
      <c r="H146" s="1275"/>
    </row>
    <row r="147" spans="1:8" ht="14" x14ac:dyDescent="0.25">
      <c r="A147" s="881"/>
      <c r="B147" s="1271"/>
      <c r="C147" s="1271"/>
      <c r="D147" s="1271"/>
      <c r="E147" s="1272"/>
      <c r="F147" s="1273"/>
      <c r="G147" s="1274"/>
      <c r="H147" s="1275"/>
    </row>
    <row r="148" spans="1:8" ht="14" x14ac:dyDescent="0.25">
      <c r="A148" s="881"/>
      <c r="B148" s="1271"/>
      <c r="C148" s="1271"/>
      <c r="D148" s="1271"/>
      <c r="E148" s="1272"/>
      <c r="F148" s="1273"/>
      <c r="G148" s="1274"/>
      <c r="H148" s="1275"/>
    </row>
    <row r="149" spans="1:8" ht="14" x14ac:dyDescent="0.25">
      <c r="A149" s="881"/>
      <c r="B149" s="1271"/>
      <c r="C149" s="1271"/>
      <c r="D149" s="1271"/>
      <c r="E149" s="1272"/>
      <c r="F149" s="1273"/>
      <c r="G149" s="1274"/>
      <c r="H149" s="1275"/>
    </row>
    <row r="150" spans="1:8" ht="14" x14ac:dyDescent="0.25">
      <c r="A150" s="881"/>
      <c r="B150" s="1271"/>
      <c r="C150" s="1271"/>
      <c r="D150" s="1271"/>
      <c r="E150" s="1272"/>
      <c r="F150" s="1273"/>
      <c r="G150" s="1274"/>
      <c r="H150" s="1275"/>
    </row>
    <row r="151" spans="1:8" ht="14" x14ac:dyDescent="0.25">
      <c r="A151" s="881"/>
      <c r="B151" s="1271"/>
      <c r="C151" s="1271"/>
      <c r="D151" s="1271"/>
      <c r="E151" s="1272"/>
      <c r="F151" s="1273"/>
      <c r="G151" s="1274"/>
      <c r="H151" s="1275"/>
    </row>
    <row r="152" spans="1:8" ht="14" x14ac:dyDescent="0.25">
      <c r="A152" s="881"/>
      <c r="B152" s="1271"/>
      <c r="C152" s="1271"/>
      <c r="D152" s="1271"/>
      <c r="E152" s="1272"/>
      <c r="F152" s="1273"/>
      <c r="G152" s="1274"/>
      <c r="H152" s="1275"/>
    </row>
    <row r="153" spans="1:8" ht="15.5" x14ac:dyDescent="0.25">
      <c r="A153" s="881"/>
      <c r="B153" s="900"/>
      <c r="C153" s="881"/>
      <c r="D153" s="881"/>
      <c r="E153" s="881"/>
      <c r="F153" s="881"/>
      <c r="G153" s="881"/>
      <c r="H153" s="881"/>
    </row>
    <row r="154" spans="1:8" ht="20" x14ac:dyDescent="0.4">
      <c r="A154" s="881"/>
      <c r="B154" s="901"/>
      <c r="C154" s="881"/>
      <c r="D154" s="881"/>
      <c r="E154" s="881"/>
      <c r="F154" s="881"/>
      <c r="G154" s="881"/>
      <c r="H154" s="881"/>
    </row>
    <row r="155" spans="1:8" x14ac:dyDescent="0.25">
      <c r="A155" s="881"/>
      <c r="B155" s="881"/>
      <c r="C155" s="881"/>
      <c r="D155" s="881"/>
      <c r="E155" s="881"/>
      <c r="F155" s="881"/>
      <c r="G155" s="881"/>
      <c r="H155" s="881"/>
    </row>
    <row r="156" spans="1:8" x14ac:dyDescent="0.25">
      <c r="A156" s="881"/>
      <c r="B156" s="881"/>
      <c r="C156" s="881"/>
      <c r="D156" s="881"/>
      <c r="E156" s="881"/>
      <c r="F156" s="881"/>
      <c r="G156" s="881"/>
      <c r="H156" s="881"/>
    </row>
  </sheetData>
  <mergeCells count="16">
    <mergeCell ref="B130:H130"/>
    <mergeCell ref="B131:H131"/>
    <mergeCell ref="B143:H143"/>
    <mergeCell ref="B144:H144"/>
    <mergeCell ref="AE2:AG3"/>
    <mergeCell ref="B118:H118"/>
    <mergeCell ref="B90:H90"/>
    <mergeCell ref="B105:H105"/>
    <mergeCell ref="B77:H77"/>
    <mergeCell ref="B91:H91"/>
    <mergeCell ref="B62:H62"/>
    <mergeCell ref="B117:H117"/>
    <mergeCell ref="B104:H104"/>
    <mergeCell ref="R25:T25"/>
    <mergeCell ref="B76:H76"/>
    <mergeCell ref="B63:H63"/>
  </mergeCells>
  <phoneticPr fontId="67" type="noConversion"/>
  <printOptions horizontalCentered="1"/>
  <pageMargins left="0.5" right="0.5" top="1" bottom="0.5" header="0.3" footer="0.511811023622047"/>
  <pageSetup paperSize="9" scale="33"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rgb="FFFFFF00"/>
    <pageSetUpPr fitToPage="1"/>
  </sheetPr>
  <dimension ref="A1:AG131"/>
  <sheetViews>
    <sheetView topLeftCell="K1" zoomScale="85" zoomScaleNormal="85" workbookViewId="0">
      <selection activeCell="T28" sqref="S28:T30"/>
    </sheetView>
  </sheetViews>
  <sheetFormatPr defaultColWidth="12.5" defaultRowHeight="12.5" x14ac:dyDescent="0.25"/>
  <cols>
    <col min="1" max="1" width="12.5" style="14" customWidth="1"/>
    <col min="2" max="2" width="31.4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7" width="4.4140625" style="14" customWidth="1"/>
    <col min="18" max="27" width="12.5" style="14"/>
    <col min="28" max="28" width="6.75" style="14" customWidth="1"/>
    <col min="29" max="16384" width="12.5" style="14"/>
  </cols>
  <sheetData>
    <row r="1" spans="1:33" ht="28.5" customHeight="1" x14ac:dyDescent="0.25">
      <c r="B1" s="80" t="s">
        <v>243</v>
      </c>
      <c r="C1" s="81">
        <v>1000</v>
      </c>
      <c r="D1" s="82" t="s">
        <v>244</v>
      </c>
      <c r="E1" s="117">
        <f>S30</f>
        <v>31250</v>
      </c>
      <c r="F1" s="80" t="s">
        <v>245</v>
      </c>
      <c r="G1" s="117">
        <f>E1/C1</f>
        <v>31.25</v>
      </c>
      <c r="H1" s="80" t="s">
        <v>246</v>
      </c>
      <c r="I1" s="117">
        <f>G1/K1</f>
        <v>30.940594059405939</v>
      </c>
      <c r="J1" s="326" t="s">
        <v>247</v>
      </c>
      <c r="K1" s="327">
        <v>1.01</v>
      </c>
      <c r="L1" s="100"/>
      <c r="M1" s="100"/>
      <c r="N1" s="100"/>
      <c r="O1" s="100"/>
      <c r="P1" s="100"/>
      <c r="Q1" s="100"/>
      <c r="R1" s="100"/>
      <c r="S1" s="100"/>
      <c r="T1" s="100"/>
      <c r="U1" s="100"/>
      <c r="V1" s="100"/>
      <c r="Y1" s="91" t="s">
        <v>479</v>
      </c>
      <c r="Z1" s="847">
        <v>31250</v>
      </c>
      <c r="AA1" s="91" t="s">
        <v>600</v>
      </c>
      <c r="AB1" s="847">
        <v>0</v>
      </c>
      <c r="AC1" s="91" t="s">
        <v>587</v>
      </c>
      <c r="AD1" s="847">
        <v>205</v>
      </c>
    </row>
    <row r="2" spans="1:33" ht="12.75" customHeight="1" x14ac:dyDescent="0.25">
      <c r="A2" s="330"/>
      <c r="B2" s="1408" t="s">
        <v>89</v>
      </c>
      <c r="C2" s="1429"/>
      <c r="D2" s="1429"/>
      <c r="E2" s="1429"/>
      <c r="F2" s="1429"/>
      <c r="G2" s="1429"/>
      <c r="H2" s="1429"/>
      <c r="I2" s="100"/>
      <c r="J2" s="100"/>
      <c r="K2" s="100"/>
      <c r="L2" s="100"/>
      <c r="M2" s="100"/>
      <c r="N2" s="100"/>
      <c r="O2" s="100"/>
      <c r="P2" s="100"/>
      <c r="Q2" s="100"/>
      <c r="R2" s="100"/>
      <c r="S2" s="100"/>
      <c r="T2" s="100"/>
      <c r="U2" s="100"/>
      <c r="AE2" s="1417"/>
      <c r="AF2" s="1389"/>
      <c r="AG2" s="1389"/>
    </row>
    <row r="3" spans="1:33" ht="12.75" customHeight="1" x14ac:dyDescent="0.25">
      <c r="A3" s="330"/>
      <c r="B3" s="1388"/>
      <c r="C3" s="1388"/>
      <c r="D3" s="1388"/>
      <c r="E3" s="1388"/>
      <c r="F3" s="1388"/>
      <c r="G3" s="1388"/>
      <c r="H3" s="1388"/>
      <c r="I3" s="100"/>
      <c r="J3" s="100"/>
      <c r="K3" s="100"/>
      <c r="L3" s="100"/>
      <c r="M3" s="100"/>
      <c r="N3" s="100"/>
      <c r="O3" s="100"/>
      <c r="P3" s="100"/>
      <c r="Q3" s="100"/>
      <c r="R3" s="100"/>
      <c r="S3" s="100"/>
      <c r="T3" s="100"/>
      <c r="U3" s="100"/>
      <c r="AE3" s="1389"/>
      <c r="AF3" s="1389"/>
      <c r="AG3" s="1389"/>
    </row>
    <row r="4" spans="1:33" ht="68.75" customHeight="1" x14ac:dyDescent="0.25">
      <c r="A4" s="91" t="s">
        <v>1</v>
      </c>
      <c r="B4" s="91" t="s">
        <v>253</v>
      </c>
      <c r="C4" s="107" t="s">
        <v>254</v>
      </c>
      <c r="D4" s="91" t="s">
        <v>243</v>
      </c>
      <c r="E4" s="218" t="s">
        <v>246</v>
      </c>
      <c r="F4" s="108" t="s">
        <v>255</v>
      </c>
      <c r="G4" s="91" t="s">
        <v>256</v>
      </c>
      <c r="H4" s="107" t="s">
        <v>347</v>
      </c>
      <c r="I4" s="91" t="s">
        <v>258</v>
      </c>
      <c r="J4" s="91" t="s">
        <v>259</v>
      </c>
      <c r="K4" s="91" t="s">
        <v>260</v>
      </c>
      <c r="L4" s="91" t="s">
        <v>261</v>
      </c>
      <c r="M4" s="100"/>
      <c r="N4" s="100"/>
      <c r="O4" s="100"/>
      <c r="P4" s="100"/>
      <c r="Q4" s="100"/>
      <c r="R4" s="100"/>
      <c r="S4" s="100"/>
      <c r="T4" s="100"/>
      <c r="U4" s="100"/>
    </row>
    <row r="5" spans="1:33" ht="14.25" customHeight="1" x14ac:dyDescent="0.25">
      <c r="A5" s="219"/>
      <c r="B5" s="654"/>
      <c r="C5" s="655"/>
      <c r="D5" s="219"/>
      <c r="E5" s="656"/>
      <c r="F5" s="219"/>
      <c r="G5" s="219"/>
      <c r="H5" s="655"/>
      <c r="I5" s="81"/>
      <c r="J5" s="121"/>
      <c r="K5" s="122"/>
      <c r="L5" s="122"/>
    </row>
    <row r="6" spans="1:33" ht="14.25" customHeight="1" x14ac:dyDescent="0.25">
      <c r="A6" s="295" t="s">
        <v>13</v>
      </c>
      <c r="B6" s="22" t="s">
        <v>21</v>
      </c>
      <c r="C6" s="124" t="s">
        <v>14</v>
      </c>
      <c r="D6" s="116">
        <v>1400</v>
      </c>
      <c r="E6" s="116">
        <f t="shared" ref="E6:E11" si="0">$I$1</f>
        <v>30.940594059405939</v>
      </c>
      <c r="F6" s="127">
        <v>1</v>
      </c>
      <c r="G6" s="119">
        <f t="shared" ref="G6:G11" si="1">D6*E6</f>
        <v>43316.831683168311</v>
      </c>
      <c r="H6" s="120">
        <f t="shared" ref="H6:H11" si="2">G6*F6</f>
        <v>43316.831683168311</v>
      </c>
      <c r="I6" s="81">
        <f>VLOOKUP(B6,All_Ingredients!$A$1:$F$151,6,FALSE())</f>
        <v>0.9</v>
      </c>
      <c r="J6" s="121">
        <f>VLOOKUP(B6,All_Ingredients!$A$1:$J$151,10,FALSE())</f>
        <v>2.2999999999999998</v>
      </c>
      <c r="K6" s="122">
        <f t="shared" ref="K6" si="3">(H6/I6)/1000</f>
        <v>48.129812981298123</v>
      </c>
      <c r="L6" s="122">
        <f t="shared" ref="L6" si="4">K6*J6</f>
        <v>110.69856985698567</v>
      </c>
    </row>
    <row r="7" spans="1:33" ht="14.25" customHeight="1" x14ac:dyDescent="0.25">
      <c r="A7" s="295" t="s">
        <v>97</v>
      </c>
      <c r="B7" s="22" t="s">
        <v>114</v>
      </c>
      <c r="C7" s="124" t="s">
        <v>14</v>
      </c>
      <c r="D7" s="116">
        <v>2</v>
      </c>
      <c r="E7" s="116">
        <f t="shared" si="0"/>
        <v>30.940594059405939</v>
      </c>
      <c r="F7" s="127">
        <v>1</v>
      </c>
      <c r="G7" s="119">
        <f t="shared" si="1"/>
        <v>61.881188118811878</v>
      </c>
      <c r="H7" s="120">
        <f t="shared" si="2"/>
        <v>61.881188118811878</v>
      </c>
      <c r="I7" s="81">
        <f>VLOOKUP(B7,All_Ingredients!$A$1:$F$151,6,FALSE())</f>
        <v>1</v>
      </c>
      <c r="J7" s="121">
        <f>VLOOKUP(B7,All_Ingredients!$A$1:$J$151,10,FALSE())</f>
        <v>64.243759177679877</v>
      </c>
      <c r="K7" s="122">
        <f t="shared" ref="K7:K11" si="5">(H7/I7)/1000</f>
        <v>6.1881188118811881E-2</v>
      </c>
      <c r="L7" s="122">
        <f t="shared" ref="L7:L11" si="6">K7*J7</f>
        <v>3.9754801471336556</v>
      </c>
    </row>
    <row r="8" spans="1:33" ht="14.25" customHeight="1" x14ac:dyDescent="0.25">
      <c r="A8" s="295" t="s">
        <v>83</v>
      </c>
      <c r="B8" s="22" t="s">
        <v>85</v>
      </c>
      <c r="C8" s="124" t="s">
        <v>14</v>
      </c>
      <c r="D8" s="116">
        <v>1</v>
      </c>
      <c r="E8" s="116">
        <f t="shared" si="0"/>
        <v>30.940594059405939</v>
      </c>
      <c r="F8" s="127">
        <v>1</v>
      </c>
      <c r="G8" s="119">
        <f t="shared" si="1"/>
        <v>30.940594059405939</v>
      </c>
      <c r="H8" s="120">
        <f t="shared" si="2"/>
        <v>30.940594059405939</v>
      </c>
      <c r="I8" s="81">
        <f>VLOOKUP(B8,All_Ingredients!$A$1:$F$151,6,FALSE())</f>
        <v>1</v>
      </c>
      <c r="J8" s="121">
        <f>VLOOKUP(B8,All_Ingredients!$A$1:$J$151,10,FALSE())</f>
        <v>147.88732394366198</v>
      </c>
      <c r="K8" s="122">
        <f t="shared" si="5"/>
        <v>3.094059405940594E-2</v>
      </c>
      <c r="L8" s="122">
        <f t="shared" si="6"/>
        <v>4.5757216566727097</v>
      </c>
    </row>
    <row r="9" spans="1:33" ht="14.25" customHeight="1" x14ac:dyDescent="0.25">
      <c r="A9" s="295" t="s">
        <v>97</v>
      </c>
      <c r="B9" s="22" t="s">
        <v>96</v>
      </c>
      <c r="C9" s="124" t="s">
        <v>14</v>
      </c>
      <c r="D9" s="116">
        <v>2</v>
      </c>
      <c r="E9" s="116">
        <f t="shared" si="0"/>
        <v>30.940594059405939</v>
      </c>
      <c r="F9" s="127">
        <v>1</v>
      </c>
      <c r="G9" s="119">
        <f t="shared" si="1"/>
        <v>61.881188118811878</v>
      </c>
      <c r="H9" s="120">
        <f t="shared" si="2"/>
        <v>61.881188118811878</v>
      </c>
      <c r="I9" s="81">
        <f>VLOOKUP(B9,All_Ingredients!$A$1:$F$151,6,FALSE())</f>
        <v>1</v>
      </c>
      <c r="J9" s="121">
        <f>VLOOKUP(B9,All_Ingredients!$A$1:$J$151,10,FALSE())</f>
        <v>0.74</v>
      </c>
      <c r="K9" s="122">
        <f t="shared" si="5"/>
        <v>6.1881188118811881E-2</v>
      </c>
      <c r="L9" s="122">
        <f t="shared" si="6"/>
        <v>4.5792079207920791E-2</v>
      </c>
    </row>
    <row r="10" spans="1:33" ht="14.25" customHeight="1" x14ac:dyDescent="0.25">
      <c r="A10" s="295" t="s">
        <v>97</v>
      </c>
      <c r="B10" s="22" t="s">
        <v>102</v>
      </c>
      <c r="C10" s="124" t="s">
        <v>14</v>
      </c>
      <c r="D10" s="223">
        <v>0.5</v>
      </c>
      <c r="E10" s="116">
        <f t="shared" si="0"/>
        <v>30.940594059405939</v>
      </c>
      <c r="F10" s="127">
        <v>1</v>
      </c>
      <c r="G10" s="119">
        <f t="shared" si="1"/>
        <v>15.470297029702969</v>
      </c>
      <c r="H10" s="120">
        <f t="shared" si="2"/>
        <v>15.470297029702969</v>
      </c>
      <c r="I10" s="81">
        <f>VLOOKUP(B10,All_Ingredients!$A$1:$F$151,6,FALSE())</f>
        <v>1</v>
      </c>
      <c r="J10" s="121">
        <f>VLOOKUP(B10,All_Ingredients!$A$1:$J$151,10,FALSE())</f>
        <v>31</v>
      </c>
      <c r="K10" s="122">
        <f t="shared" si="5"/>
        <v>1.547029702970297E-2</v>
      </c>
      <c r="L10" s="122">
        <f t="shared" si="6"/>
        <v>0.47957920792079206</v>
      </c>
    </row>
    <row r="11" spans="1:33" ht="14.25" customHeight="1" x14ac:dyDescent="0.25">
      <c r="A11" s="295" t="s">
        <v>210</v>
      </c>
      <c r="B11" s="22" t="s">
        <v>219</v>
      </c>
      <c r="C11" s="124" t="s">
        <v>165</v>
      </c>
      <c r="D11" s="116">
        <v>10</v>
      </c>
      <c r="E11" s="116">
        <f t="shared" si="0"/>
        <v>30.940594059405939</v>
      </c>
      <c r="F11" s="127">
        <v>0.75</v>
      </c>
      <c r="G11" s="119">
        <f t="shared" si="1"/>
        <v>309.40594059405942</v>
      </c>
      <c r="H11" s="120">
        <f t="shared" si="2"/>
        <v>232.05445544554456</v>
      </c>
      <c r="I11" s="81">
        <f>VLOOKUP(B11,All_Ingredients!$A$1:$F$151,6,FALSE())</f>
        <v>1</v>
      </c>
      <c r="J11" s="121">
        <f>VLOOKUP(B11,All_Ingredients!$A$1:$J$151,10,FALSE())</f>
        <v>5</v>
      </c>
      <c r="K11" s="122">
        <f t="shared" si="5"/>
        <v>0.23205445544554457</v>
      </c>
      <c r="L11" s="122">
        <f t="shared" si="6"/>
        <v>1.1602722772277227</v>
      </c>
    </row>
    <row r="12" spans="1:33" ht="14.25" customHeight="1" x14ac:dyDescent="0.25">
      <c r="A12" s="356"/>
      <c r="B12" s="356"/>
      <c r="C12" s="357"/>
      <c r="D12" s="358"/>
      <c r="E12" s="359"/>
      <c r="F12" s="360"/>
      <c r="G12" s="361"/>
      <c r="H12" s="362"/>
    </row>
    <row r="13" spans="1:33" ht="14.25" customHeight="1" x14ac:dyDescent="0.25">
      <c r="B13" s="349"/>
      <c r="C13" s="133"/>
      <c r="D13" s="254"/>
      <c r="E13" s="225"/>
      <c r="F13" s="136"/>
      <c r="G13" s="140"/>
      <c r="H13" s="138"/>
    </row>
    <row r="14" spans="1:33" ht="14.25" customHeight="1" x14ac:dyDescent="0.25">
      <c r="E14" s="100"/>
      <c r="F14" s="100"/>
    </row>
    <row r="15" spans="1:33" ht="14.25" customHeight="1" x14ac:dyDescent="0.25">
      <c r="E15" s="100"/>
      <c r="F15" s="100"/>
    </row>
    <row r="16" spans="1:33" ht="14.25" customHeight="1" x14ac:dyDescent="0.25">
      <c r="E16" s="100"/>
      <c r="F16" s="100"/>
    </row>
    <row r="17" spans="2:29" ht="14.25" customHeight="1" x14ac:dyDescent="0.25">
      <c r="E17" s="100"/>
      <c r="F17" s="100"/>
    </row>
    <row r="18" spans="2:29" ht="14.25" customHeight="1" x14ac:dyDescent="0.25">
      <c r="E18" s="100"/>
      <c r="F18" s="100"/>
    </row>
    <row r="19" spans="2:29" ht="14.25" customHeight="1" x14ac:dyDescent="0.25">
      <c r="E19" s="100"/>
      <c r="F19" s="100"/>
    </row>
    <row r="20" spans="2:29" ht="14.25" customHeight="1" x14ac:dyDescent="0.3">
      <c r="E20" s="100"/>
      <c r="F20" s="100"/>
      <c r="M20" s="1"/>
      <c r="N20"/>
      <c r="O20"/>
    </row>
    <row r="21" spans="2:29" ht="14.25" customHeight="1" x14ac:dyDescent="0.3">
      <c r="E21" s="100"/>
      <c r="F21" s="100"/>
      <c r="M21" s="179"/>
      <c r="N21" s="492"/>
      <c r="O21"/>
    </row>
    <row r="22" spans="2:29" ht="14.25" customHeight="1" x14ac:dyDescent="0.3">
      <c r="B22" s="11"/>
      <c r="C22" s="336"/>
      <c r="D22" s="337"/>
      <c r="E22" s="100"/>
      <c r="F22" s="100"/>
    </row>
    <row r="23" spans="2:29" ht="14.25" customHeight="1" x14ac:dyDescent="0.3">
      <c r="B23" s="11"/>
      <c r="C23" s="336"/>
      <c r="D23" s="337"/>
      <c r="E23" s="100"/>
      <c r="F23" s="100"/>
    </row>
    <row r="24" spans="2:29" ht="14.25" customHeight="1" x14ac:dyDescent="0.3">
      <c r="B24" s="11"/>
      <c r="C24" s="336"/>
      <c r="D24" s="337"/>
      <c r="E24" s="100"/>
      <c r="F24" s="100"/>
      <c r="Z24" s="1234"/>
    </row>
    <row r="25" spans="2:29" ht="14.25" customHeight="1" x14ac:dyDescent="0.3">
      <c r="B25" s="11"/>
      <c r="C25" s="336"/>
      <c r="D25" s="337"/>
      <c r="E25" s="100"/>
      <c r="F25" s="100"/>
      <c r="R25" s="1430" t="s">
        <v>349</v>
      </c>
      <c r="S25" s="1388"/>
      <c r="T25" s="1388"/>
      <c r="Z25" s="141" t="s">
        <v>14</v>
      </c>
      <c r="AA25" s="142">
        <v>30840</v>
      </c>
      <c r="AB25" s="141" t="s">
        <v>261</v>
      </c>
      <c r="AC25" s="143">
        <f>(S31/S30)*AA25</f>
        <v>119.34874257739453</v>
      </c>
    </row>
    <row r="26" spans="2:29" ht="14.25" customHeight="1" x14ac:dyDescent="0.3">
      <c r="B26" s="11"/>
      <c r="C26" s="336"/>
      <c r="D26" s="337"/>
      <c r="E26" s="100"/>
      <c r="F26" s="100"/>
      <c r="R26" s="365" t="s">
        <v>350</v>
      </c>
      <c r="S26" s="365"/>
      <c r="T26" s="365"/>
    </row>
    <row r="27" spans="2:29" ht="14.25" customHeight="1" x14ac:dyDescent="0.3">
      <c r="B27" s="11"/>
      <c r="C27" s="336"/>
      <c r="D27" s="337"/>
      <c r="E27" s="100"/>
      <c r="F27" s="100"/>
      <c r="R27" s="145" t="s">
        <v>266</v>
      </c>
      <c r="S27" s="145" t="s">
        <v>351</v>
      </c>
      <c r="T27" s="145" t="s">
        <v>269</v>
      </c>
    </row>
    <row r="28" spans="2:29" ht="14.25" customHeight="1" x14ac:dyDescent="0.3">
      <c r="B28" s="11"/>
      <c r="C28" s="336"/>
      <c r="D28" s="337"/>
      <c r="E28" s="100"/>
      <c r="F28" s="100"/>
      <c r="R28" s="145" t="s">
        <v>275</v>
      </c>
      <c r="S28" s="790">
        <f>$Z$1</f>
        <v>31250</v>
      </c>
      <c r="T28" s="792">
        <f>S28</f>
        <v>31250</v>
      </c>
    </row>
    <row r="29" spans="2:29" ht="14.25" customHeight="1" x14ac:dyDescent="0.3">
      <c r="B29" s="11"/>
      <c r="C29" s="336"/>
      <c r="D29" s="337"/>
      <c r="E29" s="100"/>
      <c r="F29" s="100"/>
      <c r="O29" s="363"/>
      <c r="R29" s="145" t="s">
        <v>277</v>
      </c>
      <c r="S29" s="790">
        <f>$AB$1</f>
        <v>0</v>
      </c>
      <c r="T29" s="793">
        <f>S29</f>
        <v>0</v>
      </c>
    </row>
    <row r="30" spans="2:29" ht="14.25" customHeight="1" thickBot="1" x14ac:dyDescent="0.35">
      <c r="B30" s="11"/>
      <c r="C30" s="336"/>
      <c r="D30" s="337"/>
      <c r="E30" s="100"/>
      <c r="F30" s="100"/>
      <c r="R30" s="145" t="s">
        <v>269</v>
      </c>
      <c r="S30" s="339">
        <f>SUM(S28:S29)</f>
        <v>31250</v>
      </c>
      <c r="T30" s="339">
        <f>S30</f>
        <v>31250</v>
      </c>
    </row>
    <row r="31" spans="2:29" ht="14.25" customHeight="1" thickBot="1" x14ac:dyDescent="0.35">
      <c r="B31" s="11"/>
      <c r="C31" s="336"/>
      <c r="D31" s="337"/>
      <c r="E31" s="100"/>
      <c r="F31" s="100"/>
      <c r="R31" s="163" t="s">
        <v>261</v>
      </c>
      <c r="S31" s="1144">
        <f>SUM(L6:L11)</f>
        <v>120.93541522514847</v>
      </c>
      <c r="T31" s="1220">
        <f>S31</f>
        <v>120.93541522514847</v>
      </c>
    </row>
    <row r="32" spans="2:29" ht="14.25" customHeight="1" x14ac:dyDescent="0.3">
      <c r="B32" s="11"/>
      <c r="C32" s="336"/>
      <c r="D32" s="337"/>
      <c r="E32" s="100"/>
      <c r="F32" s="100"/>
    </row>
    <row r="33" spans="2:6" ht="14.25" customHeight="1" x14ac:dyDescent="0.3">
      <c r="B33" s="11"/>
      <c r="C33" s="336"/>
      <c r="D33" s="337"/>
      <c r="E33" s="100"/>
      <c r="F33" s="100"/>
    </row>
    <row r="34" spans="2:6" ht="14.25" customHeight="1" x14ac:dyDescent="0.3">
      <c r="B34" s="11"/>
      <c r="C34" s="336"/>
      <c r="D34" s="337"/>
      <c r="E34" s="100"/>
      <c r="F34" s="100"/>
    </row>
    <row r="35" spans="2:6" ht="14.25" customHeight="1" x14ac:dyDescent="0.3">
      <c r="B35" s="11"/>
      <c r="C35" s="336"/>
      <c r="D35" s="337"/>
      <c r="E35" s="100"/>
      <c r="F35" s="100"/>
    </row>
    <row r="36" spans="2:6" ht="14.25" customHeight="1" x14ac:dyDescent="0.3">
      <c r="B36" s="11"/>
      <c r="C36" s="336"/>
      <c r="D36" s="337"/>
      <c r="E36" s="100"/>
      <c r="F36" s="100"/>
    </row>
    <row r="37" spans="2:6" ht="14.25" customHeight="1" x14ac:dyDescent="0.3">
      <c r="B37" s="11"/>
      <c r="C37" s="336"/>
      <c r="D37" s="337"/>
      <c r="E37" s="100"/>
      <c r="F37" s="100"/>
    </row>
    <row r="38" spans="2:6" ht="14.25" customHeight="1" x14ac:dyDescent="0.3">
      <c r="B38" s="11"/>
      <c r="C38" s="336"/>
      <c r="D38" s="337"/>
      <c r="E38" s="100"/>
      <c r="F38" s="100"/>
    </row>
    <row r="39" spans="2:6" ht="14.25" customHeight="1" x14ac:dyDescent="0.3">
      <c r="B39" s="11"/>
      <c r="C39" s="336"/>
      <c r="D39" s="337"/>
      <c r="E39" s="100"/>
      <c r="F39" s="100"/>
    </row>
    <row r="40" spans="2:6" ht="14.25" customHeight="1" x14ac:dyDescent="0.3">
      <c r="B40" s="11"/>
      <c r="C40" s="336"/>
      <c r="D40" s="337"/>
      <c r="E40" s="100"/>
      <c r="F40" s="100"/>
    </row>
    <row r="41" spans="2:6" ht="14" customHeight="1" x14ac:dyDescent="0.3">
      <c r="B41" s="11"/>
      <c r="C41" s="336"/>
      <c r="D41" s="337"/>
      <c r="E41" s="100"/>
      <c r="F41" s="100"/>
    </row>
    <row r="42" spans="2:6" ht="14.25" customHeight="1" x14ac:dyDescent="0.3">
      <c r="B42" s="11"/>
      <c r="C42" s="336"/>
      <c r="D42" s="337"/>
      <c r="E42" s="100"/>
      <c r="F42" s="100"/>
    </row>
    <row r="43" spans="2:6" ht="14.25" customHeight="1" x14ac:dyDescent="0.3">
      <c r="B43" s="11"/>
      <c r="C43" s="336"/>
      <c r="D43" s="337"/>
      <c r="E43" s="100"/>
      <c r="F43" s="100"/>
    </row>
    <row r="44" spans="2:6" ht="14.25" customHeight="1" x14ac:dyDescent="0.3">
      <c r="B44" s="11"/>
      <c r="C44" s="336"/>
      <c r="D44" s="337"/>
      <c r="E44" s="100"/>
      <c r="F44" s="100"/>
    </row>
    <row r="45" spans="2:6" ht="14.25" customHeight="1" x14ac:dyDescent="0.3">
      <c r="B45" s="11"/>
      <c r="C45" s="336"/>
      <c r="D45" s="337"/>
      <c r="E45" s="100"/>
      <c r="F45" s="100"/>
    </row>
    <row r="46" spans="2:6" ht="14.25" customHeight="1" x14ac:dyDescent="0.3">
      <c r="B46" s="11"/>
      <c r="C46" s="336"/>
      <c r="D46" s="337"/>
      <c r="E46" s="100"/>
      <c r="F46" s="100"/>
    </row>
    <row r="47" spans="2:6" ht="14.25" customHeight="1" x14ac:dyDescent="0.3">
      <c r="B47" s="11"/>
      <c r="C47" s="336"/>
      <c r="D47" s="337"/>
      <c r="E47" s="100"/>
      <c r="F47" s="100"/>
    </row>
    <row r="48" spans="2:6" ht="14.25" customHeight="1" x14ac:dyDescent="0.3">
      <c r="B48" s="11"/>
      <c r="C48" s="336"/>
      <c r="D48" s="337"/>
      <c r="E48" s="100"/>
      <c r="F48" s="100"/>
    </row>
    <row r="49" spans="1:8" ht="14.25" customHeight="1" x14ac:dyDescent="0.3">
      <c r="B49" s="11"/>
      <c r="C49" s="336"/>
      <c r="D49" s="337"/>
      <c r="E49" s="100"/>
      <c r="F49" s="100"/>
    </row>
    <row r="50" spans="1:8" ht="14.25" customHeight="1" x14ac:dyDescent="0.3">
      <c r="B50" s="226"/>
      <c r="C50" s="226" t="s">
        <v>245</v>
      </c>
      <c r="D50" s="226" t="s">
        <v>291</v>
      </c>
      <c r="E50" s="100"/>
      <c r="F50" s="100"/>
    </row>
    <row r="51" spans="1:8" ht="14.25" customHeight="1" x14ac:dyDescent="0.3">
      <c r="B51" s="180" t="s">
        <v>295</v>
      </c>
      <c r="C51" s="181">
        <f>10/$K$1</f>
        <v>9.9009900990099009</v>
      </c>
      <c r="D51" s="182">
        <f>$C$1*10</f>
        <v>10000</v>
      </c>
      <c r="E51" s="100"/>
      <c r="F51" s="100"/>
    </row>
    <row r="52" spans="1:8" ht="14.25" customHeight="1" x14ac:dyDescent="0.3">
      <c r="B52" s="231" t="s">
        <v>269</v>
      </c>
      <c r="C52" s="233">
        <f>G1</f>
        <v>31.25</v>
      </c>
      <c r="D52" s="233">
        <f>E1</f>
        <v>31250</v>
      </c>
      <c r="E52" s="100"/>
      <c r="F52" s="100"/>
    </row>
    <row r="53" spans="1:8" ht="14.25" customHeight="1" x14ac:dyDescent="0.3">
      <c r="B53" s="231" t="s">
        <v>296</v>
      </c>
      <c r="C53" s="234">
        <f>MIN($C$52, $C$51)</f>
        <v>9.9009900990099009</v>
      </c>
      <c r="D53" s="233">
        <f>(C53*$K$1)*$C$1</f>
        <v>10000</v>
      </c>
      <c r="E53" s="100"/>
      <c r="F53" s="100"/>
    </row>
    <row r="54" spans="1:8" ht="14.25" customHeight="1" x14ac:dyDescent="0.3">
      <c r="B54" s="231" t="s">
        <v>297</v>
      </c>
      <c r="C54" s="234">
        <f>MIN(MAX($C$52-C53,0),$C$51)</f>
        <v>9.9009900990099009</v>
      </c>
      <c r="D54" s="233">
        <f>(C54*$K$1)*$C$1</f>
        <v>10000</v>
      </c>
      <c r="E54" s="100"/>
      <c r="F54" s="100"/>
    </row>
    <row r="55" spans="1:8" ht="14.25" customHeight="1" x14ac:dyDescent="0.3">
      <c r="B55" s="231" t="s">
        <v>298</v>
      </c>
      <c r="C55" s="234">
        <f>MIN(MAX($C$52-C53-C54,0),$C$51)</f>
        <v>9.9009900990099009</v>
      </c>
      <c r="D55" s="233">
        <f>(C55*$K$1)*$C$1</f>
        <v>10000</v>
      </c>
      <c r="E55" s="100"/>
      <c r="F55" s="100"/>
    </row>
    <row r="56" spans="1:8" ht="14.25" customHeight="1" x14ac:dyDescent="0.3">
      <c r="B56" s="231" t="s">
        <v>305</v>
      </c>
      <c r="C56" s="234">
        <f>MIN(MAX($C$52-C53-C54-C55,0),$C$51)</f>
        <v>1.5470297029702955</v>
      </c>
      <c r="D56" s="233">
        <f>(C56*$K$1)*$C$1</f>
        <v>1562.4999999999984</v>
      </c>
      <c r="E56" s="100"/>
      <c r="F56" s="100"/>
    </row>
    <row r="57" spans="1:8" ht="14.25" customHeight="1" x14ac:dyDescent="0.3">
      <c r="B57" s="231" t="s">
        <v>356</v>
      </c>
      <c r="C57" s="234">
        <f>MIN(MAX($C$52-C53-C54-C55-C56,0),$C$51)</f>
        <v>0</v>
      </c>
      <c r="D57" s="233">
        <f>(C57*$K$1)*$C$1</f>
        <v>0</v>
      </c>
      <c r="E57" s="100"/>
      <c r="F57" s="100"/>
    </row>
    <row r="58" spans="1:8" ht="14.25" customHeight="1" x14ac:dyDescent="0.3">
      <c r="B58" s="11"/>
      <c r="C58" s="336"/>
      <c r="D58" s="337"/>
      <c r="E58" s="100"/>
      <c r="F58" s="100"/>
    </row>
    <row r="59" spans="1:8" ht="14.25" customHeight="1" x14ac:dyDescent="0.3">
      <c r="B59" s="11"/>
      <c r="C59" s="336"/>
      <c r="D59" s="337"/>
      <c r="E59" s="100"/>
      <c r="F59" s="100"/>
    </row>
    <row r="60" spans="1:8" ht="14.25" customHeight="1" x14ac:dyDescent="0.3">
      <c r="B60" s="11"/>
      <c r="C60" s="336"/>
      <c r="D60" s="337"/>
      <c r="E60" s="100"/>
      <c r="F60" s="100"/>
    </row>
    <row r="61" spans="1:8" ht="14" customHeight="1" x14ac:dyDescent="0.3">
      <c r="B61" s="11"/>
      <c r="C61" s="336"/>
      <c r="D61" s="337"/>
      <c r="E61" s="100"/>
      <c r="F61" s="100"/>
    </row>
    <row r="62" spans="1:8" ht="17.75" customHeight="1" x14ac:dyDescent="0.25">
      <c r="B62" s="100"/>
      <c r="E62" s="100"/>
      <c r="F62" s="100"/>
    </row>
    <row r="63" spans="1:8" ht="17.75" customHeight="1" x14ac:dyDescent="0.3">
      <c r="A63" s="942"/>
      <c r="B63" s="1382" t="s">
        <v>631</v>
      </c>
      <c r="C63" s="1383"/>
      <c r="D63" s="1383"/>
      <c r="E63" s="1383"/>
      <c r="F63" s="1383"/>
      <c r="G63" s="1383"/>
      <c r="H63" s="1383"/>
    </row>
    <row r="64" spans="1:8" ht="25.5" customHeight="1" x14ac:dyDescent="0.3">
      <c r="A64" s="942"/>
      <c r="B64" s="1384" t="s">
        <v>860</v>
      </c>
      <c r="C64" s="1385"/>
      <c r="D64" s="1385"/>
      <c r="E64" s="1385"/>
      <c r="F64" s="1385"/>
      <c r="G64" s="1385"/>
      <c r="H64" s="1385"/>
    </row>
    <row r="65" spans="1:8" ht="31.5" customHeight="1" x14ac:dyDescent="0.25">
      <c r="A65" s="91"/>
      <c r="B65" s="243" t="s">
        <v>253</v>
      </c>
      <c r="C65" s="244" t="s">
        <v>254</v>
      </c>
      <c r="D65" s="245" t="s">
        <v>243</v>
      </c>
      <c r="E65" s="218" t="s">
        <v>246</v>
      </c>
      <c r="F65" s="218" t="s">
        <v>255</v>
      </c>
      <c r="G65" s="245" t="s">
        <v>256</v>
      </c>
      <c r="H65" s="218" t="s">
        <v>257</v>
      </c>
    </row>
    <row r="66" spans="1:8" ht="14.25" customHeight="1" x14ac:dyDescent="0.25">
      <c r="A66" s="295" t="s">
        <v>13</v>
      </c>
      <c r="B66" s="323" t="str">
        <f t="shared" ref="B66:D71" si="7">B6</f>
        <v>Potato - بطاطس</v>
      </c>
      <c r="C66" s="124" t="str">
        <f t="shared" si="7"/>
        <v>gm</v>
      </c>
      <c r="D66" s="125">
        <f t="shared" si="7"/>
        <v>1400</v>
      </c>
      <c r="E66" s="116">
        <f>$C$52</f>
        <v>31.25</v>
      </c>
      <c r="F66" s="127">
        <f t="shared" ref="F66:F71" si="8">F6</f>
        <v>1</v>
      </c>
      <c r="G66" s="119">
        <f t="shared" ref="G66:G71" si="9">D66*E66</f>
        <v>43750</v>
      </c>
      <c r="H66" s="120">
        <f t="shared" ref="H66:H71" si="10">G66*F66</f>
        <v>43750</v>
      </c>
    </row>
    <row r="67" spans="1:8" ht="14.25" customHeight="1" x14ac:dyDescent="0.25">
      <c r="A67" s="295" t="s">
        <v>97</v>
      </c>
      <c r="B67" s="323" t="str">
        <f t="shared" si="7"/>
        <v>Paprika Powder - بابريكا مطحون</v>
      </c>
      <c r="C67" s="124" t="str">
        <f t="shared" si="7"/>
        <v>gm</v>
      </c>
      <c r="D67" s="125">
        <f t="shared" si="7"/>
        <v>2</v>
      </c>
      <c r="E67" s="116">
        <f t="shared" ref="E67:E71" si="11">$C$52</f>
        <v>31.25</v>
      </c>
      <c r="F67" s="127">
        <f t="shared" si="8"/>
        <v>1</v>
      </c>
      <c r="G67" s="119">
        <f t="shared" si="9"/>
        <v>62.5</v>
      </c>
      <c r="H67" s="120">
        <f t="shared" si="10"/>
        <v>62.5</v>
      </c>
    </row>
    <row r="68" spans="1:8" ht="14.25" customHeight="1" x14ac:dyDescent="0.25">
      <c r="A68" s="295" t="s">
        <v>83</v>
      </c>
      <c r="B68" s="323" t="str">
        <f t="shared" si="7"/>
        <v>Dry Oregano - أوريجانو مجفف</v>
      </c>
      <c r="C68" s="124" t="str">
        <f t="shared" si="7"/>
        <v>gm</v>
      </c>
      <c r="D68" s="125">
        <f t="shared" si="7"/>
        <v>1</v>
      </c>
      <c r="E68" s="116">
        <f t="shared" si="11"/>
        <v>31.25</v>
      </c>
      <c r="F68" s="127">
        <f t="shared" si="8"/>
        <v>1</v>
      </c>
      <c r="G68" s="119">
        <f t="shared" si="9"/>
        <v>31.25</v>
      </c>
      <c r="H68" s="120">
        <f t="shared" si="10"/>
        <v>31.25</v>
      </c>
    </row>
    <row r="69" spans="1:8" ht="14.25" customHeight="1" x14ac:dyDescent="0.25">
      <c r="A69" s="295" t="s">
        <v>97</v>
      </c>
      <c r="B69" s="323" t="str">
        <f t="shared" si="7"/>
        <v>Salt - ملح</v>
      </c>
      <c r="C69" s="124" t="str">
        <f t="shared" si="7"/>
        <v>gm</v>
      </c>
      <c r="D69" s="125">
        <f t="shared" si="7"/>
        <v>2</v>
      </c>
      <c r="E69" s="116">
        <f t="shared" si="11"/>
        <v>31.25</v>
      </c>
      <c r="F69" s="127">
        <f t="shared" si="8"/>
        <v>1</v>
      </c>
      <c r="G69" s="119">
        <f t="shared" si="9"/>
        <v>62.5</v>
      </c>
      <c r="H69" s="120">
        <f t="shared" si="10"/>
        <v>62.5</v>
      </c>
    </row>
    <row r="70" spans="1:8" ht="14.25" customHeight="1" x14ac:dyDescent="0.25">
      <c r="A70" s="295" t="s">
        <v>97</v>
      </c>
      <c r="B70" s="323" t="str">
        <f t="shared" si="7"/>
        <v>Black Pepper Powder - فلفل أسود مطحون</v>
      </c>
      <c r="C70" s="124" t="str">
        <f t="shared" si="7"/>
        <v>gm</v>
      </c>
      <c r="D70" s="125">
        <f t="shared" si="7"/>
        <v>0.5</v>
      </c>
      <c r="E70" s="116">
        <f t="shared" si="11"/>
        <v>31.25</v>
      </c>
      <c r="F70" s="127">
        <f t="shared" si="8"/>
        <v>1</v>
      </c>
      <c r="G70" s="119">
        <f t="shared" si="9"/>
        <v>15.625</v>
      </c>
      <c r="H70" s="120">
        <f t="shared" si="10"/>
        <v>15.625</v>
      </c>
    </row>
    <row r="71" spans="1:8" ht="12.75" customHeight="1" x14ac:dyDescent="0.25">
      <c r="A71" s="295" t="s">
        <v>210</v>
      </c>
      <c r="B71" s="323" t="str">
        <f t="shared" si="7"/>
        <v>Lemon Juice - عصير ليمون</v>
      </c>
      <c r="C71" s="124" t="str">
        <f t="shared" si="7"/>
        <v>ml</v>
      </c>
      <c r="D71" s="125">
        <f t="shared" si="7"/>
        <v>10</v>
      </c>
      <c r="E71" s="116">
        <f t="shared" si="11"/>
        <v>31.25</v>
      </c>
      <c r="F71" s="127">
        <f t="shared" si="8"/>
        <v>0.75</v>
      </c>
      <c r="G71" s="119">
        <f t="shared" si="9"/>
        <v>312.5</v>
      </c>
      <c r="H71" s="120">
        <f t="shared" si="10"/>
        <v>234.375</v>
      </c>
    </row>
    <row r="72" spans="1:8" ht="14.25" customHeight="1" x14ac:dyDescent="0.25">
      <c r="A72" s="295"/>
      <c r="B72" s="198" t="s">
        <v>772</v>
      </c>
      <c r="C72" s="100"/>
      <c r="D72" s="100"/>
      <c r="E72" s="100"/>
      <c r="F72" s="100"/>
      <c r="G72" s="100"/>
      <c r="H72" s="100"/>
    </row>
    <row r="73" spans="1:8" ht="17" customHeight="1" x14ac:dyDescent="0.4">
      <c r="A73" s="403"/>
      <c r="B73" s="199">
        <f>D52</f>
        <v>31250</v>
      </c>
      <c r="C73" s="208"/>
      <c r="D73" s="4"/>
      <c r="E73" s="100"/>
      <c r="F73" s="183"/>
    </row>
    <row r="74" spans="1:8" ht="17.75" customHeight="1" x14ac:dyDescent="0.25">
      <c r="A74" s="881"/>
      <c r="B74" s="875"/>
      <c r="C74" s="875"/>
      <c r="D74" s="875"/>
      <c r="E74" s="875"/>
      <c r="F74" s="875"/>
      <c r="G74" s="875"/>
      <c r="H74" s="875"/>
    </row>
    <row r="75" spans="1:8" ht="17.75" customHeight="1" x14ac:dyDescent="0.3">
      <c r="A75" s="1253"/>
      <c r="B75" s="1439"/>
      <c r="C75" s="1440"/>
      <c r="D75" s="1440"/>
      <c r="E75" s="1440"/>
      <c r="F75" s="1440"/>
      <c r="G75" s="1440"/>
      <c r="H75" s="1440"/>
    </row>
    <row r="76" spans="1:8" ht="25.5" customHeight="1" x14ac:dyDescent="0.3">
      <c r="A76" s="1253"/>
      <c r="B76" s="1439"/>
      <c r="C76" s="1440"/>
      <c r="D76" s="1440"/>
      <c r="E76" s="1440"/>
      <c r="F76" s="1440"/>
      <c r="G76" s="1440"/>
      <c r="H76" s="1440"/>
    </row>
    <row r="77" spans="1:8" ht="29.75" customHeight="1" x14ac:dyDescent="0.25">
      <c r="A77" s="1258"/>
      <c r="B77" s="1268"/>
      <c r="C77" s="1269"/>
      <c r="D77" s="1268"/>
      <c r="E77" s="1270"/>
      <c r="F77" s="1270"/>
      <c r="G77" s="1268"/>
      <c r="H77" s="1270"/>
    </row>
    <row r="78" spans="1:8" ht="14.25" customHeight="1" x14ac:dyDescent="0.25">
      <c r="A78" s="881"/>
      <c r="B78" s="1271"/>
      <c r="C78" s="1271"/>
      <c r="D78" s="1271"/>
      <c r="E78" s="1276"/>
      <c r="F78" s="1273"/>
      <c r="G78" s="1274"/>
      <c r="H78" s="1275"/>
    </row>
    <row r="79" spans="1:8" ht="14.25" customHeight="1" x14ac:dyDescent="0.25">
      <c r="A79" s="881"/>
      <c r="B79" s="1271"/>
      <c r="C79" s="1271"/>
      <c r="D79" s="1271"/>
      <c r="E79" s="1276"/>
      <c r="F79" s="1273"/>
      <c r="G79" s="1274"/>
      <c r="H79" s="1275"/>
    </row>
    <row r="80" spans="1:8" ht="14.25" customHeight="1" x14ac:dyDescent="0.25">
      <c r="A80" s="881"/>
      <c r="B80" s="1271"/>
      <c r="C80" s="1271"/>
      <c r="D80" s="1271"/>
      <c r="E80" s="1276"/>
      <c r="F80" s="1273"/>
      <c r="G80" s="1274"/>
      <c r="H80" s="1275"/>
    </row>
    <row r="81" spans="1:8" ht="14.25" customHeight="1" x14ac:dyDescent="0.25">
      <c r="A81" s="881"/>
      <c r="B81" s="1271"/>
      <c r="C81" s="1271"/>
      <c r="D81" s="1271"/>
      <c r="E81" s="1276"/>
      <c r="F81" s="1273"/>
      <c r="G81" s="1274"/>
      <c r="H81" s="1275"/>
    </row>
    <row r="82" spans="1:8" ht="14.25" customHeight="1" x14ac:dyDescent="0.25">
      <c r="A82" s="881"/>
      <c r="B82" s="1271"/>
      <c r="C82" s="1271"/>
      <c r="D82" s="1271"/>
      <c r="E82" s="1276"/>
      <c r="F82" s="1273"/>
      <c r="G82" s="1274"/>
      <c r="H82" s="1275"/>
    </row>
    <row r="83" spans="1:8" ht="12.75" customHeight="1" x14ac:dyDescent="0.25">
      <c r="A83" s="881"/>
      <c r="B83" s="1271"/>
      <c r="C83" s="1271"/>
      <c r="D83" s="1271"/>
      <c r="E83" s="1276"/>
      <c r="F83" s="1273"/>
      <c r="G83" s="1274"/>
      <c r="H83" s="1275"/>
    </row>
    <row r="84" spans="1:8" ht="15.5" x14ac:dyDescent="0.25">
      <c r="A84" s="881"/>
      <c r="B84" s="900"/>
      <c r="C84" s="875"/>
      <c r="D84" s="875"/>
      <c r="E84" s="875"/>
      <c r="F84" s="875"/>
      <c r="G84" s="875"/>
      <c r="H84" s="875"/>
    </row>
    <row r="85" spans="1:8" ht="18" customHeight="1" x14ac:dyDescent="0.4">
      <c r="A85" s="881"/>
      <c r="B85" s="901"/>
      <c r="C85" s="881"/>
      <c r="D85" s="881"/>
      <c r="E85" s="881"/>
      <c r="F85" s="881"/>
      <c r="G85" s="881"/>
      <c r="H85" s="881"/>
    </row>
    <row r="86" spans="1:8" ht="12.75" customHeight="1" x14ac:dyDescent="0.25">
      <c r="A86" s="881"/>
      <c r="B86" s="875"/>
      <c r="C86" s="875"/>
      <c r="D86" s="875"/>
      <c r="E86" s="875"/>
      <c r="F86" s="875"/>
      <c r="G86" s="875"/>
      <c r="H86" s="875"/>
    </row>
    <row r="87" spans="1:8" ht="17.75" customHeight="1" x14ac:dyDescent="0.25">
      <c r="A87" s="881"/>
      <c r="B87" s="875"/>
      <c r="C87" s="875"/>
      <c r="D87" s="875"/>
      <c r="E87" s="875"/>
      <c r="F87" s="875"/>
      <c r="G87" s="875"/>
      <c r="H87" s="875"/>
    </row>
    <row r="88" spans="1:8" ht="17.75" customHeight="1" x14ac:dyDescent="0.3">
      <c r="A88" s="1253"/>
      <c r="B88" s="1439"/>
      <c r="C88" s="1440"/>
      <c r="D88" s="1440"/>
      <c r="E88" s="1440"/>
      <c r="F88" s="1440"/>
      <c r="G88" s="1440"/>
      <c r="H88" s="1440"/>
    </row>
    <row r="89" spans="1:8" ht="25.5" customHeight="1" x14ac:dyDescent="0.3">
      <c r="A89" s="1253"/>
      <c r="B89" s="1439"/>
      <c r="C89" s="1440"/>
      <c r="D89" s="1440"/>
      <c r="E89" s="1440"/>
      <c r="F89" s="1440"/>
      <c r="G89" s="1440"/>
      <c r="H89" s="1440"/>
    </row>
    <row r="90" spans="1:8" ht="28.25" customHeight="1" x14ac:dyDescent="0.25">
      <c r="A90" s="1258"/>
      <c r="B90" s="1268"/>
      <c r="C90" s="1269"/>
      <c r="D90" s="1268"/>
      <c r="E90" s="1270"/>
      <c r="F90" s="1270"/>
      <c r="G90" s="1268"/>
      <c r="H90" s="1270"/>
    </row>
    <row r="91" spans="1:8" ht="14.25" customHeight="1" x14ac:dyDescent="0.25">
      <c r="A91" s="881"/>
      <c r="B91" s="1271"/>
      <c r="C91" s="1271"/>
      <c r="D91" s="1271"/>
      <c r="E91" s="1272"/>
      <c r="F91" s="1273"/>
      <c r="G91" s="1274"/>
      <c r="H91" s="1275"/>
    </row>
    <row r="92" spans="1:8" ht="14.25" customHeight="1" x14ac:dyDescent="0.25">
      <c r="A92" s="881"/>
      <c r="B92" s="1271"/>
      <c r="C92" s="1271"/>
      <c r="D92" s="1271"/>
      <c r="E92" s="1272"/>
      <c r="F92" s="1273"/>
      <c r="G92" s="1274"/>
      <c r="H92" s="1275"/>
    </row>
    <row r="93" spans="1:8" ht="14.25" customHeight="1" x14ac:dyDescent="0.25">
      <c r="A93" s="881"/>
      <c r="B93" s="1271"/>
      <c r="C93" s="1271"/>
      <c r="D93" s="1271"/>
      <c r="E93" s="1272"/>
      <c r="F93" s="1273"/>
      <c r="G93" s="1274"/>
      <c r="H93" s="1275"/>
    </row>
    <row r="94" spans="1:8" ht="14.25" customHeight="1" x14ac:dyDescent="0.25">
      <c r="A94" s="881"/>
      <c r="B94" s="1271"/>
      <c r="C94" s="1271"/>
      <c r="D94" s="1271"/>
      <c r="E94" s="1272"/>
      <c r="F94" s="1273"/>
      <c r="G94" s="1274"/>
      <c r="H94" s="1275"/>
    </row>
    <row r="95" spans="1:8" ht="14.25" customHeight="1" x14ac:dyDescent="0.25">
      <c r="A95" s="881"/>
      <c r="B95" s="1271"/>
      <c r="C95" s="1271"/>
      <c r="D95" s="1271"/>
      <c r="E95" s="1272"/>
      <c r="F95" s="1273"/>
      <c r="G95" s="1274"/>
      <c r="H95" s="1275"/>
    </row>
    <row r="96" spans="1:8" ht="14" x14ac:dyDescent="0.25">
      <c r="A96" s="881"/>
      <c r="B96" s="1271"/>
      <c r="C96" s="1271"/>
      <c r="D96" s="1271"/>
      <c r="E96" s="1272"/>
      <c r="F96" s="1273"/>
      <c r="G96" s="1274"/>
      <c r="H96" s="1275"/>
    </row>
    <row r="97" spans="1:8" ht="15.5" x14ac:dyDescent="0.25">
      <c r="A97" s="881"/>
      <c r="B97" s="900"/>
      <c r="C97" s="881"/>
      <c r="D97" s="881"/>
      <c r="E97" s="881"/>
      <c r="F97" s="881"/>
      <c r="G97" s="881"/>
      <c r="H97" s="881"/>
    </row>
    <row r="98" spans="1:8" ht="20" x14ac:dyDescent="0.4">
      <c r="A98" s="881"/>
      <c r="B98" s="901"/>
      <c r="C98" s="881"/>
      <c r="D98" s="881"/>
      <c r="E98" s="881"/>
      <c r="F98" s="881"/>
      <c r="G98" s="881"/>
      <c r="H98" s="881"/>
    </row>
    <row r="99" spans="1:8" x14ac:dyDescent="0.25">
      <c r="A99" s="881"/>
      <c r="B99" s="881"/>
      <c r="C99" s="881"/>
      <c r="D99" s="881"/>
      <c r="E99" s="881"/>
      <c r="F99" s="881"/>
      <c r="G99" s="881"/>
      <c r="H99" s="881"/>
    </row>
    <row r="100" spans="1:8" ht="17.75" customHeight="1" x14ac:dyDescent="0.25">
      <c r="A100" s="881"/>
      <c r="B100" s="881"/>
      <c r="C100" s="881"/>
      <c r="D100" s="881"/>
      <c r="E100" s="881"/>
      <c r="F100" s="881"/>
      <c r="G100" s="881"/>
      <c r="H100" s="881"/>
    </row>
    <row r="101" spans="1:8" ht="17.75" customHeight="1" x14ac:dyDescent="0.3">
      <c r="A101" s="1253"/>
      <c r="B101" s="1439"/>
      <c r="C101" s="1440"/>
      <c r="D101" s="1440"/>
      <c r="E101" s="1440"/>
      <c r="F101" s="1440"/>
      <c r="G101" s="1440"/>
      <c r="H101" s="1440"/>
    </row>
    <row r="102" spans="1:8" ht="25.5" customHeight="1" x14ac:dyDescent="0.3">
      <c r="A102" s="1253"/>
      <c r="B102" s="1439"/>
      <c r="C102" s="1440"/>
      <c r="D102" s="1440"/>
      <c r="E102" s="1440"/>
      <c r="F102" s="1440"/>
      <c r="G102" s="1440"/>
      <c r="H102" s="1440"/>
    </row>
    <row r="103" spans="1:8" ht="27" customHeight="1" x14ac:dyDescent="0.25">
      <c r="A103" s="1258"/>
      <c r="B103" s="1268"/>
      <c r="C103" s="1269"/>
      <c r="D103" s="1268"/>
      <c r="E103" s="1270"/>
      <c r="F103" s="1270"/>
      <c r="G103" s="1268"/>
      <c r="H103" s="1270"/>
    </row>
    <row r="104" spans="1:8" ht="14.25" customHeight="1" x14ac:dyDescent="0.25">
      <c r="A104" s="881"/>
      <c r="B104" s="1271"/>
      <c r="C104" s="1271"/>
      <c r="D104" s="1271"/>
      <c r="E104" s="1283"/>
      <c r="F104" s="1284"/>
      <c r="G104" s="1274"/>
      <c r="H104" s="1275"/>
    </row>
    <row r="105" spans="1:8" ht="14.25" customHeight="1" x14ac:dyDescent="0.25">
      <c r="A105" s="881"/>
      <c r="B105" s="1271"/>
      <c r="C105" s="1271"/>
      <c r="D105" s="1271"/>
      <c r="E105" s="1283"/>
      <c r="F105" s="1284"/>
      <c r="G105" s="1274"/>
      <c r="H105" s="1275"/>
    </row>
    <row r="106" spans="1:8" ht="14.25" customHeight="1" x14ac:dyDescent="0.25">
      <c r="A106" s="881"/>
      <c r="B106" s="1271"/>
      <c r="C106" s="1271"/>
      <c r="D106" s="1271"/>
      <c r="E106" s="1283"/>
      <c r="F106" s="1284"/>
      <c r="G106" s="1274"/>
      <c r="H106" s="1275"/>
    </row>
    <row r="107" spans="1:8" ht="14.25" customHeight="1" x14ac:dyDescent="0.25">
      <c r="A107" s="881"/>
      <c r="B107" s="1271"/>
      <c r="C107" s="1271"/>
      <c r="D107" s="1271"/>
      <c r="E107" s="1283"/>
      <c r="F107" s="1284"/>
      <c r="G107" s="1274"/>
      <c r="H107" s="1275"/>
    </row>
    <row r="108" spans="1:8" ht="14.25" customHeight="1" x14ac:dyDescent="0.25">
      <c r="A108" s="881"/>
      <c r="B108" s="1271"/>
      <c r="C108" s="1271"/>
      <c r="D108" s="1271"/>
      <c r="E108" s="1283"/>
      <c r="F108" s="1284"/>
      <c r="G108" s="1274"/>
      <c r="H108" s="1275"/>
    </row>
    <row r="109" spans="1:8" ht="12.75" customHeight="1" x14ac:dyDescent="0.25">
      <c r="A109" s="881"/>
      <c r="B109" s="1271"/>
      <c r="C109" s="1271"/>
      <c r="D109" s="1271"/>
      <c r="E109" s="1283"/>
      <c r="F109" s="1284"/>
      <c r="G109" s="1274"/>
      <c r="H109" s="1275"/>
    </row>
    <row r="110" spans="1:8" ht="15.5" x14ac:dyDescent="0.25">
      <c r="A110" s="881"/>
      <c r="B110" s="900"/>
      <c r="C110" s="875"/>
      <c r="D110" s="875"/>
      <c r="E110" s="875"/>
      <c r="F110" s="875"/>
      <c r="G110" s="875"/>
      <c r="H110" s="875"/>
    </row>
    <row r="111" spans="1:8" ht="20" x14ac:dyDescent="0.4">
      <c r="A111" s="881"/>
      <c r="B111" s="901"/>
      <c r="C111" s="881"/>
      <c r="D111" s="881"/>
      <c r="E111" s="881"/>
      <c r="F111" s="881"/>
      <c r="G111" s="881"/>
      <c r="H111" s="881"/>
    </row>
    <row r="112" spans="1:8" ht="17.75" customHeight="1" x14ac:dyDescent="0.25">
      <c r="A112" s="881"/>
      <c r="B112" s="881"/>
      <c r="C112" s="881"/>
      <c r="D112" s="881"/>
      <c r="E112" s="881"/>
      <c r="F112" s="881"/>
      <c r="G112" s="881"/>
      <c r="H112" s="881"/>
    </row>
    <row r="113" spans="1:8" ht="17.75" customHeight="1" x14ac:dyDescent="0.3">
      <c r="A113" s="1253"/>
      <c r="B113" s="1439"/>
      <c r="C113" s="1440"/>
      <c r="D113" s="1440"/>
      <c r="E113" s="1440"/>
      <c r="F113" s="1440"/>
      <c r="G113" s="1440"/>
      <c r="H113" s="1440"/>
    </row>
    <row r="114" spans="1:8" ht="25.5" customHeight="1" x14ac:dyDescent="0.3">
      <c r="A114" s="1253"/>
      <c r="B114" s="1439"/>
      <c r="C114" s="1440"/>
      <c r="D114" s="1440"/>
      <c r="E114" s="1440"/>
      <c r="F114" s="1440"/>
      <c r="G114" s="1440"/>
      <c r="H114" s="1440"/>
    </row>
    <row r="115" spans="1:8" ht="44.75" customHeight="1" x14ac:dyDescent="0.25">
      <c r="A115" s="1258"/>
      <c r="B115" s="1268"/>
      <c r="C115" s="1269"/>
      <c r="D115" s="1268"/>
      <c r="E115" s="1270"/>
      <c r="F115" s="1270"/>
      <c r="G115" s="1268"/>
      <c r="H115" s="1270"/>
    </row>
    <row r="116" spans="1:8" ht="14.25" customHeight="1" x14ac:dyDescent="0.25">
      <c r="A116" s="881"/>
      <c r="B116" s="1271"/>
      <c r="C116" s="1271"/>
      <c r="D116" s="1271"/>
      <c r="E116" s="1283"/>
      <c r="F116" s="1284"/>
      <c r="G116" s="1274"/>
      <c r="H116" s="1275"/>
    </row>
    <row r="117" spans="1:8" ht="14.25" customHeight="1" x14ac:dyDescent="0.25">
      <c r="A117" s="881"/>
      <c r="B117" s="1271"/>
      <c r="C117" s="1271"/>
      <c r="D117" s="1271"/>
      <c r="E117" s="1283"/>
      <c r="F117" s="1284"/>
      <c r="G117" s="1274"/>
      <c r="H117" s="1275"/>
    </row>
    <row r="118" spans="1:8" ht="14.25" customHeight="1" x14ac:dyDescent="0.25">
      <c r="A118" s="881"/>
      <c r="B118" s="1271"/>
      <c r="C118" s="1271"/>
      <c r="D118" s="1271"/>
      <c r="E118" s="1283"/>
      <c r="F118" s="1284"/>
      <c r="G118" s="1274"/>
      <c r="H118" s="1275"/>
    </row>
    <row r="119" spans="1:8" ht="14.25" customHeight="1" x14ac:dyDescent="0.25">
      <c r="A119" s="881"/>
      <c r="B119" s="1271"/>
      <c r="C119" s="1271"/>
      <c r="D119" s="1271"/>
      <c r="E119" s="1283"/>
      <c r="F119" s="1284"/>
      <c r="G119" s="1274"/>
      <c r="H119" s="1275"/>
    </row>
    <row r="120" spans="1:8" ht="14.25" customHeight="1" x14ac:dyDescent="0.25">
      <c r="A120" s="881"/>
      <c r="B120" s="1271"/>
      <c r="C120" s="1271"/>
      <c r="D120" s="1271"/>
      <c r="E120" s="1283"/>
      <c r="F120" s="1284"/>
      <c r="G120" s="1274"/>
      <c r="H120" s="1275"/>
    </row>
    <row r="121" spans="1:8" ht="14" x14ac:dyDescent="0.25">
      <c r="A121" s="881"/>
      <c r="B121" s="1271"/>
      <c r="C121" s="1271"/>
      <c r="D121" s="1271"/>
      <c r="E121" s="1283"/>
      <c r="F121" s="1284"/>
      <c r="G121" s="1274"/>
      <c r="H121" s="1275"/>
    </row>
    <row r="122" spans="1:8" ht="15.5" x14ac:dyDescent="0.25">
      <c r="A122" s="881"/>
      <c r="B122" s="900"/>
      <c r="C122" s="881"/>
      <c r="D122" s="881"/>
      <c r="E122" s="881"/>
      <c r="F122" s="881"/>
      <c r="G122" s="881"/>
      <c r="H122" s="881"/>
    </row>
    <row r="123" spans="1:8" ht="20" x14ac:dyDescent="0.4">
      <c r="A123" s="881"/>
      <c r="B123" s="901"/>
      <c r="C123" s="881"/>
      <c r="D123" s="881"/>
      <c r="E123" s="881"/>
      <c r="F123" s="881"/>
      <c r="G123" s="881"/>
      <c r="H123" s="881"/>
    </row>
    <row r="124" spans="1:8" x14ac:dyDescent="0.25">
      <c r="A124" s="881"/>
      <c r="B124" s="881"/>
      <c r="C124" s="881"/>
      <c r="D124" s="881"/>
      <c r="E124" s="881"/>
      <c r="F124" s="881"/>
      <c r="G124" s="881"/>
      <c r="H124" s="881"/>
    </row>
    <row r="125" spans="1:8" x14ac:dyDescent="0.25">
      <c r="A125" s="881"/>
      <c r="B125" s="881"/>
      <c r="C125" s="881"/>
      <c r="D125" s="881"/>
      <c r="E125" s="881"/>
      <c r="F125" s="881"/>
      <c r="G125" s="881"/>
      <c r="H125" s="881"/>
    </row>
    <row r="126" spans="1:8" x14ac:dyDescent="0.25">
      <c r="A126" s="881"/>
      <c r="B126" s="881"/>
      <c r="C126" s="881"/>
      <c r="D126" s="881"/>
      <c r="E126" s="881"/>
      <c r="F126" s="881"/>
      <c r="G126" s="881"/>
      <c r="H126" s="881"/>
    </row>
    <row r="127" spans="1:8" x14ac:dyDescent="0.25">
      <c r="A127" s="881"/>
      <c r="B127" s="881"/>
      <c r="C127" s="881"/>
      <c r="D127" s="881"/>
      <c r="E127" s="881"/>
      <c r="F127" s="881"/>
      <c r="G127" s="881"/>
      <c r="H127" s="881"/>
    </row>
    <row r="128" spans="1:8" x14ac:dyDescent="0.25">
      <c r="A128" s="881"/>
      <c r="B128" s="881"/>
      <c r="C128" s="881"/>
      <c r="D128" s="881"/>
      <c r="E128" s="881"/>
      <c r="F128" s="881"/>
      <c r="G128" s="881"/>
      <c r="H128" s="881"/>
    </row>
    <row r="129" spans="1:8" x14ac:dyDescent="0.25">
      <c r="A129" s="881"/>
      <c r="B129" s="881"/>
      <c r="C129" s="881"/>
      <c r="D129" s="881"/>
      <c r="E129" s="881"/>
      <c r="F129" s="881"/>
      <c r="G129" s="881"/>
      <c r="H129" s="881"/>
    </row>
    <row r="130" spans="1:8" x14ac:dyDescent="0.25">
      <c r="A130" s="881"/>
      <c r="B130" s="881"/>
      <c r="C130" s="881"/>
      <c r="D130" s="881"/>
      <c r="E130" s="881"/>
      <c r="F130" s="881"/>
      <c r="G130" s="881"/>
      <c r="H130" s="881"/>
    </row>
    <row r="131" spans="1:8" x14ac:dyDescent="0.25">
      <c r="A131" s="881"/>
      <c r="B131" s="881"/>
      <c r="C131" s="881"/>
      <c r="D131" s="881"/>
      <c r="E131" s="881"/>
      <c r="F131" s="881"/>
      <c r="G131" s="881"/>
      <c r="H131" s="881"/>
    </row>
  </sheetData>
  <mergeCells count="13">
    <mergeCell ref="AE2:AG3"/>
    <mergeCell ref="B75:H75"/>
    <mergeCell ref="B89:H89"/>
    <mergeCell ref="B76:H76"/>
    <mergeCell ref="R25:T25"/>
    <mergeCell ref="B114:H114"/>
    <mergeCell ref="B88:H88"/>
    <mergeCell ref="B63:H63"/>
    <mergeCell ref="B101:H101"/>
    <mergeCell ref="B2:H3"/>
    <mergeCell ref="B113:H113"/>
    <mergeCell ref="B64:H64"/>
    <mergeCell ref="B102:H102"/>
  </mergeCells>
  <printOptions horizontalCentered="1"/>
  <pageMargins left="0.5" right="0.5" top="1" bottom="0.5" header="0.3" footer="0.511811023622047"/>
  <pageSetup paperSize="9" scale="33"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rgb="FFFFFF00"/>
    <pageSetUpPr fitToPage="1"/>
  </sheetPr>
  <dimension ref="A1:AG109"/>
  <sheetViews>
    <sheetView topLeftCell="D1" zoomScale="70" zoomScaleNormal="70" workbookViewId="0">
      <selection activeCell="T28" sqref="S28:T30"/>
    </sheetView>
  </sheetViews>
  <sheetFormatPr defaultColWidth="12.5" defaultRowHeight="12.5" x14ac:dyDescent="0.25"/>
  <cols>
    <col min="1" max="1" width="12.5" style="14" customWidth="1"/>
    <col min="2" max="2" width="37.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0" width="12.5" style="14" customWidth="1"/>
    <col min="11" max="11" width="9.1640625" style="14" customWidth="1"/>
    <col min="12" max="12" width="8.33203125" style="14" customWidth="1"/>
    <col min="13" max="17" width="5.08203125" style="14" customWidth="1"/>
    <col min="18" max="18" width="28.1640625" style="14" customWidth="1"/>
    <col min="19" max="19" width="12.5" style="14" customWidth="1"/>
    <col min="20" max="20" width="12.5" style="14"/>
    <col min="21" max="24" width="3.08203125" style="14" customWidth="1"/>
    <col min="25" max="27" width="12.5" style="14"/>
    <col min="28" max="28" width="6.75" style="14" customWidth="1"/>
    <col min="29" max="16384" width="12.5" style="14"/>
  </cols>
  <sheetData>
    <row r="1" spans="1:33" ht="28.5" customHeight="1" x14ac:dyDescent="0.25">
      <c r="B1" s="80" t="s">
        <v>243</v>
      </c>
      <c r="C1" s="81">
        <v>1000</v>
      </c>
      <c r="D1" s="82" t="s">
        <v>244</v>
      </c>
      <c r="E1" s="117">
        <f>S30</f>
        <v>13650</v>
      </c>
      <c r="F1" s="80" t="s">
        <v>245</v>
      </c>
      <c r="G1" s="117">
        <f>E1/C1</f>
        <v>13.65</v>
      </c>
      <c r="H1" s="80" t="s">
        <v>246</v>
      </c>
      <c r="I1" s="117">
        <f>G1/K1</f>
        <v>13.65</v>
      </c>
      <c r="J1" s="326" t="s">
        <v>247</v>
      </c>
      <c r="K1" s="327">
        <v>1</v>
      </c>
      <c r="L1" s="100"/>
      <c r="M1" s="100" t="s">
        <v>415</v>
      </c>
      <c r="N1" s="100"/>
      <c r="O1" s="100"/>
      <c r="P1" s="100"/>
      <c r="Q1" s="100"/>
      <c r="R1" s="100"/>
      <c r="S1" s="100"/>
      <c r="T1" s="100"/>
      <c r="U1" s="100"/>
      <c r="V1" s="100"/>
      <c r="Y1" s="91" t="s">
        <v>479</v>
      </c>
      <c r="Z1" s="847">
        <v>13650</v>
      </c>
      <c r="AA1" s="91" t="s">
        <v>600</v>
      </c>
      <c r="AB1" s="847">
        <v>0</v>
      </c>
      <c r="AC1" s="91" t="s">
        <v>587</v>
      </c>
      <c r="AD1" s="847">
        <v>91</v>
      </c>
    </row>
    <row r="2" spans="1:33" ht="12.75" customHeight="1" x14ac:dyDescent="0.25">
      <c r="A2" s="330"/>
      <c r="B2" s="1408" t="s">
        <v>416</v>
      </c>
      <c r="C2" s="1429"/>
      <c r="D2" s="1429"/>
      <c r="E2" s="1429"/>
      <c r="F2" s="1429"/>
      <c r="G2" s="1429"/>
      <c r="H2" s="1429"/>
      <c r="I2" s="100"/>
      <c r="J2" s="100"/>
      <c r="K2" s="100"/>
      <c r="L2" s="100"/>
      <c r="M2" s="100"/>
      <c r="N2" s="100"/>
      <c r="O2" s="100"/>
      <c r="P2" s="100"/>
      <c r="Q2" s="100"/>
      <c r="R2" s="100"/>
      <c r="S2" s="100"/>
      <c r="T2" s="100"/>
      <c r="U2" s="100"/>
      <c r="AE2" s="1417"/>
      <c r="AF2" s="1389"/>
      <c r="AG2" s="1389"/>
    </row>
    <row r="3" spans="1:33" ht="12.75" customHeight="1" x14ac:dyDescent="0.25">
      <c r="A3" s="330"/>
      <c r="B3" s="1388"/>
      <c r="C3" s="1388"/>
      <c r="D3" s="1388"/>
      <c r="E3" s="1388"/>
      <c r="F3" s="1388"/>
      <c r="G3" s="1388"/>
      <c r="H3" s="1388"/>
      <c r="I3" s="100"/>
      <c r="J3" s="100"/>
      <c r="K3" s="100"/>
      <c r="L3" s="100"/>
      <c r="M3" s="100"/>
      <c r="N3" s="100"/>
      <c r="O3" s="100"/>
      <c r="P3" s="100"/>
      <c r="Q3" s="100"/>
      <c r="R3" s="100"/>
      <c r="S3" s="100"/>
      <c r="T3" s="100"/>
      <c r="U3" s="100"/>
      <c r="AE3" s="1389"/>
      <c r="AF3" s="1389"/>
      <c r="AG3" s="1389"/>
    </row>
    <row r="4" spans="1:33" ht="68.75" customHeight="1" x14ac:dyDescent="0.25">
      <c r="A4" s="91" t="s">
        <v>1</v>
      </c>
      <c r="B4" s="91" t="s">
        <v>253</v>
      </c>
      <c r="C4" s="107" t="s">
        <v>254</v>
      </c>
      <c r="D4" s="91" t="s">
        <v>243</v>
      </c>
      <c r="E4" s="218" t="s">
        <v>246</v>
      </c>
      <c r="F4" s="108" t="s">
        <v>255</v>
      </c>
      <c r="G4" s="91" t="s">
        <v>256</v>
      </c>
      <c r="H4" s="107" t="s">
        <v>347</v>
      </c>
      <c r="I4" s="91" t="s">
        <v>258</v>
      </c>
      <c r="J4" s="91" t="s">
        <v>259</v>
      </c>
      <c r="K4" s="91" t="s">
        <v>260</v>
      </c>
      <c r="L4" s="91" t="s">
        <v>261</v>
      </c>
      <c r="M4" s="100"/>
      <c r="N4" s="100"/>
      <c r="O4" s="100"/>
      <c r="P4" s="100"/>
      <c r="Q4" s="100"/>
      <c r="R4" s="100"/>
      <c r="S4" s="100"/>
      <c r="T4" s="100"/>
      <c r="U4" s="100"/>
    </row>
    <row r="5" spans="1:33" ht="14.25" customHeight="1" x14ac:dyDescent="0.25">
      <c r="A5" s="219"/>
      <c r="B5" s="654"/>
      <c r="C5" s="655"/>
      <c r="D5" s="219"/>
      <c r="E5" s="656"/>
      <c r="F5" s="219"/>
      <c r="G5" s="219"/>
      <c r="H5" s="655"/>
      <c r="I5" s="81"/>
      <c r="J5" s="121"/>
      <c r="K5" s="122"/>
      <c r="L5" s="122"/>
    </row>
    <row r="6" spans="1:33" ht="14.25" customHeight="1" x14ac:dyDescent="0.25">
      <c r="A6" s="295" t="s">
        <v>13</v>
      </c>
      <c r="B6" s="22" t="s">
        <v>19</v>
      </c>
      <c r="C6" s="124" t="s">
        <v>14</v>
      </c>
      <c r="D6" s="1142">
        <v>450</v>
      </c>
      <c r="E6" s="116">
        <f t="shared" ref="E6:E14" si="0">$I$1</f>
        <v>13.65</v>
      </c>
      <c r="F6" s="127">
        <v>1</v>
      </c>
      <c r="G6" s="119">
        <f t="shared" ref="G6:G14" si="1">D6*E6</f>
        <v>6142.5</v>
      </c>
      <c r="H6" s="120">
        <f t="shared" ref="H6:H14" si="2">G6*F6</f>
        <v>6142.5</v>
      </c>
      <c r="I6" s="81">
        <f>VLOOKUP(B6,All_Ingredients!$A$1:$F$151,6,FALSE())</f>
        <v>0.84</v>
      </c>
      <c r="J6" s="121">
        <f>VLOOKUP(B6,All_Ingredients!$A$1:$J$151,10,FALSE())</f>
        <v>2.6</v>
      </c>
      <c r="K6" s="122">
        <f t="shared" ref="K6:K14" si="3">(H6/I6)/1000</f>
        <v>7.3125</v>
      </c>
      <c r="L6" s="122">
        <f t="shared" ref="L6:L14" si="4">K6*J6</f>
        <v>19.012499999999999</v>
      </c>
    </row>
    <row r="7" spans="1:33" ht="14.25" customHeight="1" x14ac:dyDescent="0.25">
      <c r="A7" s="295" t="s">
        <v>13</v>
      </c>
      <c r="B7" s="22" t="s">
        <v>47</v>
      </c>
      <c r="C7" s="124" t="s">
        <v>14</v>
      </c>
      <c r="D7" s="1142">
        <v>450</v>
      </c>
      <c r="E7" s="116">
        <f t="shared" si="0"/>
        <v>13.65</v>
      </c>
      <c r="F7" s="127">
        <v>1</v>
      </c>
      <c r="G7" s="119">
        <f t="shared" si="1"/>
        <v>6142.5</v>
      </c>
      <c r="H7" s="120">
        <f t="shared" si="2"/>
        <v>6142.5</v>
      </c>
      <c r="I7" s="81">
        <f>VLOOKUP(B7,All_Ingredients!$A$1:$F$151,6,FALSE())</f>
        <v>0.78</v>
      </c>
      <c r="J7" s="121">
        <f>VLOOKUP(B7,All_Ingredients!$A$1:$J$151,10,FALSE())</f>
        <v>3.7</v>
      </c>
      <c r="K7" s="122">
        <f t="shared" si="3"/>
        <v>7.875</v>
      </c>
      <c r="L7" s="122">
        <f t="shared" si="4"/>
        <v>29.137500000000003</v>
      </c>
    </row>
    <row r="8" spans="1:33" ht="14.25" customHeight="1" x14ac:dyDescent="0.25">
      <c r="A8" s="295" t="s">
        <v>13</v>
      </c>
      <c r="B8" s="22" t="s">
        <v>28</v>
      </c>
      <c r="C8" s="124" t="s">
        <v>14</v>
      </c>
      <c r="D8" s="1142">
        <v>80</v>
      </c>
      <c r="E8" s="116">
        <f t="shared" si="0"/>
        <v>13.65</v>
      </c>
      <c r="F8" s="127">
        <v>1</v>
      </c>
      <c r="G8" s="119">
        <f t="shared" si="1"/>
        <v>1092</v>
      </c>
      <c r="H8" s="120">
        <f t="shared" si="2"/>
        <v>1092</v>
      </c>
      <c r="I8" s="81">
        <f>VLOOKUP(B8,All_Ingredients!$A$1:$F$151,6,FALSE())</f>
        <v>0.56999999999999995</v>
      </c>
      <c r="J8" s="121">
        <f>VLOOKUP(B8,All_Ingredients!$A$1:$J$151,10,FALSE())</f>
        <v>8.5</v>
      </c>
      <c r="K8" s="122">
        <f t="shared" si="3"/>
        <v>1.9157894736842107</v>
      </c>
      <c r="L8" s="122">
        <f t="shared" si="4"/>
        <v>16.284210526315793</v>
      </c>
    </row>
    <row r="9" spans="1:33" ht="14.25" customHeight="1" x14ac:dyDescent="0.25">
      <c r="A9" s="295" t="s">
        <v>13</v>
      </c>
      <c r="B9" s="22" t="s">
        <v>30</v>
      </c>
      <c r="C9" s="124" t="s">
        <v>14</v>
      </c>
      <c r="D9" s="1142">
        <v>80</v>
      </c>
      <c r="E9" s="116">
        <f t="shared" si="0"/>
        <v>13.65</v>
      </c>
      <c r="F9" s="127">
        <v>1</v>
      </c>
      <c r="G9" s="119">
        <f t="shared" si="1"/>
        <v>1092</v>
      </c>
      <c r="H9" s="120">
        <f t="shared" si="2"/>
        <v>1092</v>
      </c>
      <c r="I9" s="81">
        <f>VLOOKUP(B9,All_Ingredients!$A$1:$F$151,6,FALSE())</f>
        <v>0.56999999999999995</v>
      </c>
      <c r="J9" s="121">
        <f>VLOOKUP(B9,All_Ingredients!$A$1:$J$151,10,FALSE())</f>
        <v>8.5</v>
      </c>
      <c r="K9" s="122">
        <f t="shared" si="3"/>
        <v>1.9157894736842107</v>
      </c>
      <c r="L9" s="122">
        <f t="shared" si="4"/>
        <v>16.284210526315793</v>
      </c>
    </row>
    <row r="10" spans="1:33" ht="14.25" customHeight="1" x14ac:dyDescent="0.25">
      <c r="A10" s="295" t="s">
        <v>13</v>
      </c>
      <c r="B10" s="22" t="s">
        <v>32</v>
      </c>
      <c r="C10" s="124" t="s">
        <v>14</v>
      </c>
      <c r="D10" s="1142">
        <v>80</v>
      </c>
      <c r="E10" s="116">
        <f t="shared" si="0"/>
        <v>13.65</v>
      </c>
      <c r="F10" s="127">
        <v>1</v>
      </c>
      <c r="G10" s="119">
        <f t="shared" si="1"/>
        <v>1092</v>
      </c>
      <c r="H10" s="120">
        <f t="shared" si="2"/>
        <v>1092</v>
      </c>
      <c r="I10" s="81">
        <f>VLOOKUP(B10,All_Ingredients!$A$1:$F$151,6,FALSE())</f>
        <v>0.96</v>
      </c>
      <c r="J10" s="121">
        <f>VLOOKUP(B10,All_Ingredients!$A$1:$J$151,10,FALSE())</f>
        <v>4</v>
      </c>
      <c r="K10" s="122">
        <f t="shared" si="3"/>
        <v>1.1375</v>
      </c>
      <c r="L10" s="122">
        <f t="shared" si="4"/>
        <v>4.55</v>
      </c>
    </row>
    <row r="11" spans="1:33" ht="14.25" customHeight="1" x14ac:dyDescent="0.25">
      <c r="A11" s="295" t="s">
        <v>13</v>
      </c>
      <c r="B11" s="22" t="s">
        <v>51</v>
      </c>
      <c r="C11" s="124" t="s">
        <v>14</v>
      </c>
      <c r="D11" s="1142">
        <v>80</v>
      </c>
      <c r="E11" s="116">
        <f t="shared" si="0"/>
        <v>13.65</v>
      </c>
      <c r="F11" s="127">
        <v>1</v>
      </c>
      <c r="G11" s="119">
        <f t="shared" si="1"/>
        <v>1092</v>
      </c>
      <c r="H11" s="120">
        <f t="shared" si="2"/>
        <v>1092</v>
      </c>
      <c r="I11" s="81">
        <f>VLOOKUP(B11,All_Ingredients!$A$1:$F$151,6,FALSE())</f>
        <v>0.75</v>
      </c>
      <c r="J11" s="121">
        <f>VLOOKUP(B11,All_Ingredients!$A$1:$J$151,10,FALSE())</f>
        <v>20</v>
      </c>
      <c r="K11" s="122">
        <f t="shared" si="3"/>
        <v>1.456</v>
      </c>
      <c r="L11" s="122">
        <f t="shared" si="4"/>
        <v>29.119999999999997</v>
      </c>
    </row>
    <row r="12" spans="1:33" ht="14.25" customHeight="1" x14ac:dyDescent="0.25">
      <c r="A12" s="295" t="s">
        <v>225</v>
      </c>
      <c r="B12" s="22" t="s">
        <v>563</v>
      </c>
      <c r="C12" s="124" t="s">
        <v>14</v>
      </c>
      <c r="D12" s="1142">
        <v>80</v>
      </c>
      <c r="E12" s="116">
        <f t="shared" si="0"/>
        <v>13.65</v>
      </c>
      <c r="F12" s="127">
        <v>1</v>
      </c>
      <c r="G12" s="119">
        <f t="shared" si="1"/>
        <v>1092</v>
      </c>
      <c r="H12" s="120">
        <f t="shared" si="2"/>
        <v>1092</v>
      </c>
      <c r="I12" s="81">
        <f>VLOOKUP(B12,All_Ingredients!$A$1:$F$151,6,FALSE())</f>
        <v>1</v>
      </c>
      <c r="J12" s="121">
        <f>VLOOKUP(B12,All_Ingredients!$A$1:$J$151,10,FALSE())</f>
        <v>10.196078431372548</v>
      </c>
      <c r="K12" s="122">
        <f t="shared" si="3"/>
        <v>1.0920000000000001</v>
      </c>
      <c r="L12" s="122">
        <f t="shared" si="4"/>
        <v>11.134117647058824</v>
      </c>
    </row>
    <row r="13" spans="1:33" ht="14.25" customHeight="1" x14ac:dyDescent="0.25">
      <c r="A13" s="295" t="s">
        <v>97</v>
      </c>
      <c r="B13" s="323" t="s">
        <v>96</v>
      </c>
      <c r="C13" s="124" t="s">
        <v>14</v>
      </c>
      <c r="D13" s="116">
        <v>4</v>
      </c>
      <c r="E13" s="116">
        <f t="shared" si="0"/>
        <v>13.65</v>
      </c>
      <c r="F13" s="127">
        <v>0.75</v>
      </c>
      <c r="G13" s="119">
        <f t="shared" si="1"/>
        <v>54.6</v>
      </c>
      <c r="H13" s="120">
        <f t="shared" si="2"/>
        <v>40.950000000000003</v>
      </c>
      <c r="I13" s="81">
        <f>VLOOKUP(B13,All_Ingredients!$A$1:$F$151,6,FALSE())</f>
        <v>1</v>
      </c>
      <c r="J13" s="121">
        <f>VLOOKUP(B13,All_Ingredients!$A$1:$J$151,10,FALSE())</f>
        <v>0.74</v>
      </c>
      <c r="K13" s="122">
        <f t="shared" si="3"/>
        <v>4.095E-2</v>
      </c>
      <c r="L13" s="122">
        <f t="shared" si="4"/>
        <v>3.0303E-2</v>
      </c>
    </row>
    <row r="14" spans="1:33" ht="14.25" customHeight="1" x14ac:dyDescent="0.25">
      <c r="A14" s="295" t="s">
        <v>97</v>
      </c>
      <c r="B14" s="323" t="s">
        <v>102</v>
      </c>
      <c r="C14" s="124" t="s">
        <v>14</v>
      </c>
      <c r="D14" s="197">
        <v>0.5</v>
      </c>
      <c r="E14" s="116">
        <f t="shared" si="0"/>
        <v>13.65</v>
      </c>
      <c r="F14" s="127">
        <v>1</v>
      </c>
      <c r="G14" s="119">
        <f t="shared" si="1"/>
        <v>6.8250000000000002</v>
      </c>
      <c r="H14" s="120">
        <f t="shared" si="2"/>
        <v>6.8250000000000002</v>
      </c>
      <c r="I14" s="81">
        <f>VLOOKUP(B14,All_Ingredients!$A$1:$F$151,6,FALSE())</f>
        <v>1</v>
      </c>
      <c r="J14" s="121">
        <f>VLOOKUP(B14,All_Ingredients!$A$1:$J$151,10,FALSE())</f>
        <v>31</v>
      </c>
      <c r="K14" s="122">
        <f t="shared" si="3"/>
        <v>6.8250000000000003E-3</v>
      </c>
      <c r="L14" s="122">
        <f t="shared" si="4"/>
        <v>0.21157500000000001</v>
      </c>
    </row>
    <row r="15" spans="1:33" ht="14.25" customHeight="1" x14ac:dyDescent="0.25">
      <c r="B15" s="356"/>
      <c r="C15" s="357"/>
      <c r="D15" s="359"/>
      <c r="E15" s="359"/>
      <c r="F15" s="360"/>
      <c r="G15" s="361"/>
      <c r="H15" s="362"/>
    </row>
    <row r="16" spans="1:33" ht="14.25" customHeight="1" x14ac:dyDescent="0.25">
      <c r="E16" s="225"/>
      <c r="F16" s="136"/>
      <c r="G16" s="140"/>
      <c r="H16" s="138"/>
    </row>
    <row r="17" spans="2:29" ht="14.25" customHeight="1" x14ac:dyDescent="0.25">
      <c r="E17" s="100"/>
      <c r="F17" s="100"/>
    </row>
    <row r="18" spans="2:29" ht="14.25" customHeight="1" x14ac:dyDescent="0.25">
      <c r="E18" s="100"/>
      <c r="F18" s="100"/>
    </row>
    <row r="19" spans="2:29" ht="14.25" customHeight="1" x14ac:dyDescent="0.25">
      <c r="E19" s="100"/>
      <c r="F19" s="100"/>
    </row>
    <row r="20" spans="2:29" ht="14.25" customHeight="1" x14ac:dyDescent="0.25">
      <c r="E20" s="100"/>
      <c r="F20" s="100"/>
    </row>
    <row r="21" spans="2:29" ht="14.25" customHeight="1" x14ac:dyDescent="0.25">
      <c r="E21" s="100"/>
      <c r="F21" s="100"/>
    </row>
    <row r="22" spans="2:29" ht="14.25" customHeight="1" x14ac:dyDescent="0.3">
      <c r="B22" s="11"/>
      <c r="C22" s="336"/>
      <c r="D22" s="337"/>
      <c r="E22" s="100"/>
      <c r="F22" s="100"/>
    </row>
    <row r="23" spans="2:29" ht="14.25" customHeight="1" x14ac:dyDescent="0.3">
      <c r="B23" s="11"/>
      <c r="C23" s="336"/>
      <c r="D23" s="337"/>
      <c r="E23" s="100"/>
      <c r="F23" s="100"/>
    </row>
    <row r="24" spans="2:29" ht="14.25" customHeight="1" x14ac:dyDescent="0.3">
      <c r="B24" s="11"/>
      <c r="C24" s="336"/>
      <c r="D24" s="337"/>
      <c r="E24" s="100"/>
      <c r="F24" s="100"/>
      <c r="Z24" s="1234"/>
    </row>
    <row r="25" spans="2:29" ht="14.25" customHeight="1" x14ac:dyDescent="0.3">
      <c r="B25" s="11"/>
      <c r="C25" s="336"/>
      <c r="D25" s="337"/>
      <c r="E25" s="100"/>
      <c r="F25" s="100"/>
      <c r="R25" s="1430" t="s">
        <v>417</v>
      </c>
      <c r="S25" s="1388"/>
      <c r="T25" s="1388"/>
      <c r="Z25" s="141" t="s">
        <v>14</v>
      </c>
      <c r="AA25" s="142">
        <v>18000</v>
      </c>
      <c r="AB25" s="141" t="s">
        <v>261</v>
      </c>
      <c r="AC25" s="143">
        <f>(S31/S30)*AA25</f>
        <v>165.8431868567346</v>
      </c>
    </row>
    <row r="26" spans="2:29" ht="14.25" customHeight="1" x14ac:dyDescent="0.3">
      <c r="B26" s="11"/>
      <c r="C26" s="336"/>
      <c r="D26" s="337"/>
      <c r="E26" s="100"/>
      <c r="F26" s="100"/>
      <c r="R26" s="1438" t="s">
        <v>350</v>
      </c>
      <c r="S26" s="1410"/>
      <c r="T26" s="1410"/>
    </row>
    <row r="27" spans="2:29" ht="14.25" customHeight="1" x14ac:dyDescent="0.3">
      <c r="B27" s="11"/>
      <c r="C27" s="336"/>
      <c r="D27" s="337"/>
      <c r="E27" s="100"/>
      <c r="F27" s="100"/>
      <c r="R27" s="145" t="s">
        <v>266</v>
      </c>
      <c r="S27" s="145" t="s">
        <v>351</v>
      </c>
      <c r="T27" s="145" t="s">
        <v>269</v>
      </c>
    </row>
    <row r="28" spans="2:29" ht="14.25" customHeight="1" x14ac:dyDescent="0.3">
      <c r="B28" s="11"/>
      <c r="C28" s="336"/>
      <c r="D28" s="337"/>
      <c r="E28" s="100"/>
      <c r="F28" s="100"/>
      <c r="R28" s="145" t="s">
        <v>275</v>
      </c>
      <c r="S28" s="791">
        <f>T28</f>
        <v>13650</v>
      </c>
      <c r="T28" s="790">
        <f>$Z$1</f>
        <v>13650</v>
      </c>
    </row>
    <row r="29" spans="2:29" ht="14.25" customHeight="1" x14ac:dyDescent="0.3">
      <c r="B29" s="11"/>
      <c r="C29" s="336"/>
      <c r="D29" s="337"/>
      <c r="E29" s="100"/>
      <c r="F29" s="100"/>
      <c r="R29" s="145" t="s">
        <v>277</v>
      </c>
      <c r="S29" s="790">
        <f>$AB$1</f>
        <v>0</v>
      </c>
      <c r="T29" s="793">
        <f>S29</f>
        <v>0</v>
      </c>
    </row>
    <row r="30" spans="2:29" ht="14.25" customHeight="1" thickBot="1" x14ac:dyDescent="0.35">
      <c r="B30" s="11"/>
      <c r="C30" s="336"/>
      <c r="D30" s="337"/>
      <c r="E30" s="100"/>
      <c r="F30" s="100"/>
      <c r="R30" s="145" t="s">
        <v>269</v>
      </c>
      <c r="S30" s="339">
        <f>SUM(S28:S29)</f>
        <v>13650</v>
      </c>
      <c r="T30" s="339">
        <f>S30</f>
        <v>13650</v>
      </c>
    </row>
    <row r="31" spans="2:29" ht="14.25" customHeight="1" thickBot="1" x14ac:dyDescent="0.35">
      <c r="B31" s="11"/>
      <c r="C31" s="336"/>
      <c r="D31" s="337"/>
      <c r="E31" s="100"/>
      <c r="F31" s="100"/>
      <c r="R31" s="163" t="s">
        <v>261</v>
      </c>
      <c r="S31" s="1144">
        <f>SUM(L6:L14)</f>
        <v>125.7644166996904</v>
      </c>
      <c r="T31" s="1220">
        <f>S31</f>
        <v>125.7644166996904</v>
      </c>
    </row>
    <row r="32" spans="2:29" ht="14.25" customHeight="1" x14ac:dyDescent="0.3">
      <c r="B32" s="11"/>
      <c r="C32" s="336"/>
      <c r="D32" s="337"/>
      <c r="E32" s="100"/>
      <c r="F32" s="100"/>
    </row>
    <row r="33" spans="2:6" ht="14.25" customHeight="1" x14ac:dyDescent="0.3">
      <c r="B33" s="11"/>
      <c r="C33" s="336"/>
      <c r="D33" s="337"/>
      <c r="E33" s="100"/>
      <c r="F33" s="100"/>
    </row>
    <row r="34" spans="2:6" ht="14.25" customHeight="1" x14ac:dyDescent="0.3">
      <c r="B34" s="11"/>
      <c r="C34" s="336"/>
      <c r="D34" s="337"/>
      <c r="E34" s="100"/>
      <c r="F34" s="100"/>
    </row>
    <row r="35" spans="2:6" ht="14.25" customHeight="1" x14ac:dyDescent="0.3">
      <c r="B35" s="11"/>
      <c r="C35" s="336"/>
      <c r="D35" s="337"/>
      <c r="E35" s="100"/>
      <c r="F35" s="100"/>
    </row>
    <row r="36" spans="2:6" ht="14.25" customHeight="1" x14ac:dyDescent="0.3">
      <c r="B36" s="11"/>
      <c r="C36" s="336"/>
      <c r="D36" s="337"/>
      <c r="E36" s="100"/>
      <c r="F36" s="100"/>
    </row>
    <row r="37" spans="2:6" ht="14.25" customHeight="1" x14ac:dyDescent="0.3">
      <c r="B37" s="11"/>
      <c r="C37" s="336"/>
      <c r="D37" s="337"/>
      <c r="E37" s="100"/>
      <c r="F37" s="100"/>
    </row>
    <row r="38" spans="2:6" ht="14.25" customHeight="1" x14ac:dyDescent="0.3">
      <c r="B38" s="11"/>
      <c r="C38" s="336"/>
      <c r="D38" s="337"/>
      <c r="E38" s="100"/>
      <c r="F38" s="100"/>
    </row>
    <row r="39" spans="2:6" ht="14.25" customHeight="1" x14ac:dyDescent="0.3">
      <c r="B39" s="11"/>
      <c r="C39" s="336"/>
      <c r="D39" s="337"/>
      <c r="E39" s="100"/>
      <c r="F39" s="100"/>
    </row>
    <row r="40" spans="2:6" ht="14.25" customHeight="1" x14ac:dyDescent="0.3">
      <c r="B40" s="11"/>
      <c r="C40" s="336"/>
      <c r="D40" s="337"/>
      <c r="E40" s="100"/>
      <c r="F40" s="100"/>
    </row>
    <row r="41" spans="2:6" ht="14.25" customHeight="1" x14ac:dyDescent="0.3">
      <c r="B41" s="11"/>
      <c r="C41" s="336"/>
      <c r="D41" s="337"/>
      <c r="E41" s="100"/>
      <c r="F41" s="100"/>
    </row>
    <row r="42" spans="2:6" ht="14.25" customHeight="1" x14ac:dyDescent="0.3">
      <c r="B42" s="11"/>
      <c r="C42" s="336"/>
      <c r="D42" s="337"/>
      <c r="E42" s="100"/>
      <c r="F42" s="100"/>
    </row>
    <row r="43" spans="2:6" ht="14" customHeight="1" x14ac:dyDescent="0.3">
      <c r="B43" s="11"/>
      <c r="C43" s="336"/>
      <c r="D43" s="337"/>
      <c r="E43" s="100"/>
      <c r="F43" s="100"/>
    </row>
    <row r="44" spans="2:6" ht="14" customHeight="1" x14ac:dyDescent="0.3">
      <c r="B44" s="11"/>
      <c r="C44" s="336"/>
      <c r="D44" s="337"/>
      <c r="E44" s="100"/>
      <c r="F44" s="100"/>
    </row>
    <row r="45" spans="2:6" ht="14.25" customHeight="1" x14ac:dyDescent="0.3">
      <c r="B45" s="11"/>
      <c r="C45" s="336"/>
      <c r="D45" s="337"/>
      <c r="E45" s="100"/>
      <c r="F45" s="100"/>
    </row>
    <row r="46" spans="2:6" ht="14.25" customHeight="1" x14ac:dyDescent="0.3">
      <c r="B46" s="11"/>
      <c r="C46" s="336"/>
      <c r="D46" s="337"/>
      <c r="E46" s="100"/>
      <c r="F46" s="100"/>
    </row>
    <row r="47" spans="2:6" ht="19.5" customHeight="1" x14ac:dyDescent="0.3">
      <c r="B47" s="11"/>
      <c r="C47" s="336"/>
      <c r="D47" s="337"/>
      <c r="E47" s="100"/>
      <c r="F47" s="100"/>
    </row>
    <row r="48" spans="2:6" ht="14.25" customHeight="1" x14ac:dyDescent="0.3">
      <c r="B48" s="11"/>
      <c r="C48" s="336"/>
      <c r="D48" s="337"/>
      <c r="E48" s="100"/>
      <c r="F48" s="100"/>
    </row>
    <row r="49" spans="1:8" ht="12" customHeight="1" x14ac:dyDescent="0.3">
      <c r="B49" s="11"/>
      <c r="C49" s="336"/>
      <c r="D49" s="337"/>
      <c r="E49" s="100"/>
      <c r="F49" s="100"/>
    </row>
    <row r="50" spans="1:8" ht="14.25" customHeight="1" x14ac:dyDescent="0.3">
      <c r="B50" s="226"/>
      <c r="C50" s="226" t="s">
        <v>245</v>
      </c>
      <c r="D50" s="226" t="s">
        <v>291</v>
      </c>
      <c r="E50" s="100"/>
      <c r="F50" s="100"/>
    </row>
    <row r="51" spans="1:8" ht="14" x14ac:dyDescent="0.3">
      <c r="B51" s="180" t="s">
        <v>295</v>
      </c>
      <c r="C51" s="181">
        <f>10/$K$1</f>
        <v>10</v>
      </c>
      <c r="D51" s="182">
        <f>$C$1*10</f>
        <v>10000</v>
      </c>
      <c r="E51" s="100"/>
      <c r="F51" s="100"/>
    </row>
    <row r="52" spans="1:8" ht="14.25" customHeight="1" x14ac:dyDescent="0.3">
      <c r="B52" s="231" t="s">
        <v>269</v>
      </c>
      <c r="C52" s="233">
        <f>G1</f>
        <v>13.65</v>
      </c>
      <c r="D52" s="233">
        <f>E1</f>
        <v>13650</v>
      </c>
      <c r="E52" s="100"/>
      <c r="F52" s="100"/>
    </row>
    <row r="53" spans="1:8" ht="14.25" customHeight="1" x14ac:dyDescent="0.3">
      <c r="B53" s="231" t="s">
        <v>296</v>
      </c>
      <c r="C53" s="234">
        <f>MIN($C$52, $C$51)</f>
        <v>10</v>
      </c>
      <c r="D53" s="233">
        <f>(C53*$K$1)*$C$1</f>
        <v>10000</v>
      </c>
      <c r="E53" s="100"/>
      <c r="F53" s="100"/>
    </row>
    <row r="54" spans="1:8" ht="14.25" customHeight="1" x14ac:dyDescent="0.3">
      <c r="B54" s="231" t="s">
        <v>297</v>
      </c>
      <c r="C54" s="234">
        <f>MIN(MAX($C$52-C53,0),$C$51)</f>
        <v>3.6500000000000004</v>
      </c>
      <c r="D54" s="233">
        <f>(C54*$K$1)*$C$1</f>
        <v>3650.0000000000005</v>
      </c>
      <c r="E54" s="100"/>
      <c r="F54" s="100"/>
    </row>
    <row r="55" spans="1:8" ht="14.25" customHeight="1" x14ac:dyDescent="0.3">
      <c r="B55" s="231" t="s">
        <v>298</v>
      </c>
      <c r="C55" s="234">
        <f>MIN(MAX($C$52-C53-C54,0),$C$51)</f>
        <v>0</v>
      </c>
      <c r="D55" s="233">
        <f>(C55*$K$1)*$C$1</f>
        <v>0</v>
      </c>
      <c r="E55" s="100"/>
      <c r="F55" s="100"/>
    </row>
    <row r="56" spans="1:8" ht="14.25" customHeight="1" x14ac:dyDescent="0.3">
      <c r="B56" s="11"/>
      <c r="C56" s="336"/>
      <c r="D56" s="337"/>
      <c r="E56" s="100"/>
      <c r="F56" s="100"/>
    </row>
    <row r="57" spans="1:8" ht="14.25" customHeight="1" x14ac:dyDescent="0.3">
      <c r="B57" s="11"/>
      <c r="C57" s="336"/>
      <c r="D57" s="337"/>
      <c r="E57" s="100"/>
      <c r="F57" s="100"/>
    </row>
    <row r="58" spans="1:8" ht="14.25" customHeight="1" x14ac:dyDescent="0.3">
      <c r="B58" s="11"/>
      <c r="C58" s="336"/>
      <c r="D58" s="337"/>
      <c r="E58" s="100"/>
      <c r="F58" s="100"/>
    </row>
    <row r="59" spans="1:8" ht="14.25" customHeight="1" x14ac:dyDescent="0.3">
      <c r="B59" s="11"/>
      <c r="C59" s="336"/>
      <c r="D59" s="337"/>
      <c r="E59" s="100"/>
      <c r="F59" s="100"/>
    </row>
    <row r="60" spans="1:8" ht="12.75" customHeight="1" x14ac:dyDescent="0.3">
      <c r="B60" s="11"/>
      <c r="C60" s="336"/>
      <c r="D60" s="337"/>
      <c r="E60" s="100"/>
      <c r="F60" s="100"/>
    </row>
    <row r="61" spans="1:8" ht="12.75" customHeight="1" x14ac:dyDescent="0.25">
      <c r="E61" s="100"/>
      <c r="F61" s="100"/>
    </row>
    <row r="62" spans="1:8" ht="12.75" customHeight="1" x14ac:dyDescent="0.3">
      <c r="A62" s="942"/>
      <c r="B62" s="1382" t="s">
        <v>861</v>
      </c>
      <c r="C62" s="1383"/>
      <c r="D62" s="1383"/>
      <c r="E62" s="1383"/>
      <c r="F62" s="1383"/>
      <c r="G62" s="1383"/>
      <c r="H62" s="1383"/>
    </row>
    <row r="63" spans="1:8" ht="17.75" customHeight="1" x14ac:dyDescent="0.3">
      <c r="A63" s="942"/>
      <c r="B63" s="1384" t="s">
        <v>416</v>
      </c>
      <c r="C63" s="1385"/>
      <c r="D63" s="1385"/>
      <c r="E63" s="1385"/>
      <c r="F63" s="1385"/>
      <c r="G63" s="1385"/>
      <c r="H63" s="1385"/>
    </row>
    <row r="64" spans="1:8" ht="27.5" customHeight="1" x14ac:dyDescent="0.25">
      <c r="A64" s="91"/>
      <c r="B64" s="243" t="s">
        <v>253</v>
      </c>
      <c r="C64" s="244" t="s">
        <v>254</v>
      </c>
      <c r="D64" s="245" t="s">
        <v>243</v>
      </c>
      <c r="E64" s="218" t="s">
        <v>246</v>
      </c>
      <c r="F64" s="218" t="s">
        <v>255</v>
      </c>
      <c r="G64" s="245" t="s">
        <v>256</v>
      </c>
      <c r="H64" s="218" t="s">
        <v>257</v>
      </c>
    </row>
    <row r="65" spans="1:8" ht="14" x14ac:dyDescent="0.25">
      <c r="A65" s="295" t="s">
        <v>13</v>
      </c>
      <c r="B65" s="323" t="str">
        <f t="shared" ref="B65:D73" si="5">B6</f>
        <v>Carrot - جزر</v>
      </c>
      <c r="C65" s="124" t="str">
        <f t="shared" si="5"/>
        <v>gm</v>
      </c>
      <c r="D65" s="116">
        <f t="shared" si="5"/>
        <v>450</v>
      </c>
      <c r="E65" s="116">
        <f>$C$52</f>
        <v>13.65</v>
      </c>
      <c r="F65" s="127">
        <f t="shared" ref="F65:F73" si="6">F6</f>
        <v>1</v>
      </c>
      <c r="G65" s="119">
        <f t="shared" ref="G65:G73" si="7">D65*E65</f>
        <v>6142.5</v>
      </c>
      <c r="H65" s="120">
        <f t="shared" ref="H65:H73" si="8">G65*F65</f>
        <v>6142.5</v>
      </c>
    </row>
    <row r="66" spans="1:8" ht="14" x14ac:dyDescent="0.25">
      <c r="A66" s="295" t="s">
        <v>13</v>
      </c>
      <c r="B66" s="323" t="str">
        <f t="shared" si="5"/>
        <v>Zucchini - كوسة</v>
      </c>
      <c r="C66" s="124" t="str">
        <f t="shared" si="5"/>
        <v>gm</v>
      </c>
      <c r="D66" s="116">
        <f t="shared" si="5"/>
        <v>450</v>
      </c>
      <c r="E66" s="116">
        <f t="shared" ref="E66:E73" si="9">$C$52</f>
        <v>13.65</v>
      </c>
      <c r="F66" s="127">
        <f t="shared" si="6"/>
        <v>1</v>
      </c>
      <c r="G66" s="119">
        <f t="shared" si="7"/>
        <v>6142.5</v>
      </c>
      <c r="H66" s="120">
        <f t="shared" si="8"/>
        <v>6142.5</v>
      </c>
    </row>
    <row r="67" spans="1:8" ht="14.25" customHeight="1" x14ac:dyDescent="0.25">
      <c r="A67" s="295" t="s">
        <v>13</v>
      </c>
      <c r="B67" s="323" t="str">
        <f t="shared" si="5"/>
        <v xml:space="preserve">Red Bell Pepper - فلفل أحمر </v>
      </c>
      <c r="C67" s="124" t="str">
        <f t="shared" si="5"/>
        <v>gm</v>
      </c>
      <c r="D67" s="116">
        <f t="shared" si="5"/>
        <v>80</v>
      </c>
      <c r="E67" s="116">
        <f t="shared" si="9"/>
        <v>13.65</v>
      </c>
      <c r="F67" s="127">
        <f t="shared" si="6"/>
        <v>1</v>
      </c>
      <c r="G67" s="119">
        <f t="shared" si="7"/>
        <v>1092</v>
      </c>
      <c r="H67" s="120">
        <f t="shared" si="8"/>
        <v>1092</v>
      </c>
    </row>
    <row r="68" spans="1:8" ht="14.25" customHeight="1" x14ac:dyDescent="0.25">
      <c r="A68" s="295" t="s">
        <v>13</v>
      </c>
      <c r="B68" s="323" t="str">
        <f t="shared" si="5"/>
        <v xml:space="preserve">Yellow Bell Pepper - فلفل أصفر </v>
      </c>
      <c r="C68" s="124" t="str">
        <f t="shared" si="5"/>
        <v>gm</v>
      </c>
      <c r="D68" s="116">
        <f t="shared" si="5"/>
        <v>80</v>
      </c>
      <c r="E68" s="116">
        <f t="shared" si="9"/>
        <v>13.65</v>
      </c>
      <c r="F68" s="127">
        <f t="shared" si="6"/>
        <v>1</v>
      </c>
      <c r="G68" s="119">
        <f t="shared" si="7"/>
        <v>1092</v>
      </c>
      <c r="H68" s="120">
        <f t="shared" si="8"/>
        <v>1092</v>
      </c>
    </row>
    <row r="69" spans="1:8" ht="14.25" customHeight="1" x14ac:dyDescent="0.25">
      <c r="A69" s="295" t="s">
        <v>13</v>
      </c>
      <c r="B69" s="323" t="str">
        <f t="shared" si="5"/>
        <v>Green Bell Pepper - فلفل أخضر رومى</v>
      </c>
      <c r="C69" s="124" t="str">
        <f t="shared" si="5"/>
        <v>gm</v>
      </c>
      <c r="D69" s="116">
        <f t="shared" si="5"/>
        <v>80</v>
      </c>
      <c r="E69" s="116">
        <f t="shared" si="9"/>
        <v>13.65</v>
      </c>
      <c r="F69" s="127">
        <f t="shared" si="6"/>
        <v>1</v>
      </c>
      <c r="G69" s="119">
        <f t="shared" si="7"/>
        <v>1092</v>
      </c>
      <c r="H69" s="120">
        <f t="shared" si="8"/>
        <v>1092</v>
      </c>
    </row>
    <row r="70" spans="1:8" ht="14.25" customHeight="1" x14ac:dyDescent="0.25">
      <c r="A70" s="295" t="s">
        <v>13</v>
      </c>
      <c r="B70" s="323" t="str">
        <f t="shared" si="5"/>
        <v>Chinese Cabbage - ملفوف صيني</v>
      </c>
      <c r="C70" s="124" t="str">
        <f t="shared" si="5"/>
        <v>gm</v>
      </c>
      <c r="D70" s="116">
        <f t="shared" si="5"/>
        <v>80</v>
      </c>
      <c r="E70" s="116">
        <f t="shared" si="9"/>
        <v>13.65</v>
      </c>
      <c r="F70" s="127">
        <f t="shared" si="6"/>
        <v>1</v>
      </c>
      <c r="G70" s="119">
        <f t="shared" si="7"/>
        <v>1092</v>
      </c>
      <c r="H70" s="120">
        <f t="shared" si="8"/>
        <v>1092</v>
      </c>
    </row>
    <row r="71" spans="1:8" ht="14.25" customHeight="1" x14ac:dyDescent="0.25">
      <c r="A71" s="295" t="s">
        <v>225</v>
      </c>
      <c r="B71" s="323" t="str">
        <f t="shared" si="5"/>
        <v>Sweet Corn - ذرة حلوة</v>
      </c>
      <c r="C71" s="124" t="str">
        <f t="shared" si="5"/>
        <v>gm</v>
      </c>
      <c r="D71" s="116">
        <f t="shared" si="5"/>
        <v>80</v>
      </c>
      <c r="E71" s="116">
        <f t="shared" si="9"/>
        <v>13.65</v>
      </c>
      <c r="F71" s="127">
        <f t="shared" si="6"/>
        <v>1</v>
      </c>
      <c r="G71" s="119">
        <f t="shared" si="7"/>
        <v>1092</v>
      </c>
      <c r="H71" s="120">
        <f t="shared" si="8"/>
        <v>1092</v>
      </c>
    </row>
    <row r="72" spans="1:8" ht="14.25" customHeight="1" x14ac:dyDescent="0.25">
      <c r="A72" s="295" t="s">
        <v>97</v>
      </c>
      <c r="B72" s="323" t="str">
        <f t="shared" si="5"/>
        <v>Salt - ملح</v>
      </c>
      <c r="C72" s="124" t="str">
        <f t="shared" si="5"/>
        <v>gm</v>
      </c>
      <c r="D72" s="116">
        <f t="shared" si="5"/>
        <v>4</v>
      </c>
      <c r="E72" s="116">
        <f t="shared" si="9"/>
        <v>13.65</v>
      </c>
      <c r="F72" s="127">
        <f t="shared" si="6"/>
        <v>0.75</v>
      </c>
      <c r="G72" s="119">
        <f t="shared" si="7"/>
        <v>54.6</v>
      </c>
      <c r="H72" s="120">
        <f t="shared" si="8"/>
        <v>40.950000000000003</v>
      </c>
    </row>
    <row r="73" spans="1:8" ht="14.25" customHeight="1" x14ac:dyDescent="0.25">
      <c r="A73" s="295" t="s">
        <v>97</v>
      </c>
      <c r="B73" s="323" t="str">
        <f t="shared" si="5"/>
        <v>Black Pepper Powder - فلفل أسود مطحون</v>
      </c>
      <c r="C73" s="124" t="str">
        <f t="shared" si="5"/>
        <v>gm</v>
      </c>
      <c r="D73" s="197">
        <f t="shared" si="5"/>
        <v>0.5</v>
      </c>
      <c r="E73" s="116">
        <f t="shared" si="9"/>
        <v>13.65</v>
      </c>
      <c r="F73" s="127">
        <f t="shared" si="6"/>
        <v>1</v>
      </c>
      <c r="G73" s="119">
        <f t="shared" si="7"/>
        <v>6.8250000000000002</v>
      </c>
      <c r="H73" s="120">
        <f t="shared" si="8"/>
        <v>6.8250000000000002</v>
      </c>
    </row>
    <row r="74" spans="1:8" ht="14.25" customHeight="1" x14ac:dyDescent="0.25">
      <c r="B74" s="198" t="s">
        <v>770</v>
      </c>
      <c r="E74" s="100"/>
      <c r="F74" s="100"/>
    </row>
    <row r="75" spans="1:8" ht="23.75" customHeight="1" x14ac:dyDescent="0.4">
      <c r="B75" s="199">
        <f>D52</f>
        <v>13650</v>
      </c>
      <c r="C75" s="208"/>
      <c r="D75" s="4"/>
      <c r="E75" s="100"/>
      <c r="F75" s="183"/>
    </row>
    <row r="76" spans="1:8" ht="14.25" customHeight="1" x14ac:dyDescent="0.25">
      <c r="B76" s="100"/>
      <c r="E76" s="100"/>
      <c r="F76" s="100"/>
    </row>
    <row r="77" spans="1:8" ht="12.75" customHeight="1" x14ac:dyDescent="0.25">
      <c r="B77" s="100"/>
      <c r="C77" s="100"/>
      <c r="D77" s="346"/>
      <c r="E77" s="100"/>
      <c r="F77" s="100"/>
      <c r="G77" s="100"/>
      <c r="H77" s="100"/>
    </row>
    <row r="78" spans="1:8" ht="12.75" customHeight="1" x14ac:dyDescent="0.25"/>
    <row r="79" spans="1:8" ht="18" x14ac:dyDescent="0.3">
      <c r="A79" s="1253"/>
      <c r="B79" s="1439"/>
      <c r="C79" s="1440"/>
      <c r="D79" s="1440"/>
      <c r="E79" s="1440"/>
      <c r="F79" s="1440"/>
      <c r="G79" s="1440"/>
      <c r="H79" s="1440"/>
    </row>
    <row r="80" spans="1:8" ht="17.75" customHeight="1" x14ac:dyDescent="0.3">
      <c r="A80" s="1253"/>
      <c r="B80" s="1439"/>
      <c r="C80" s="1440"/>
      <c r="D80" s="1440"/>
      <c r="E80" s="1440"/>
      <c r="F80" s="1440"/>
      <c r="G80" s="1440"/>
      <c r="H80" s="1440"/>
    </row>
    <row r="81" spans="1:8" ht="35" customHeight="1" x14ac:dyDescent="0.25">
      <c r="A81" s="1258"/>
      <c r="B81" s="1268"/>
      <c r="C81" s="1269"/>
      <c r="D81" s="1268"/>
      <c r="E81" s="1270"/>
      <c r="F81" s="1270"/>
      <c r="G81" s="1268"/>
      <c r="H81" s="1270"/>
    </row>
    <row r="82" spans="1:8" ht="14" x14ac:dyDescent="0.25">
      <c r="A82" s="881"/>
      <c r="B82" s="1271"/>
      <c r="C82" s="1271"/>
      <c r="D82" s="1276"/>
      <c r="E82" s="1276"/>
      <c r="F82" s="1273"/>
      <c r="G82" s="1274"/>
      <c r="H82" s="1275"/>
    </row>
    <row r="83" spans="1:8" ht="14" x14ac:dyDescent="0.25">
      <c r="A83" s="881"/>
      <c r="B83" s="1271"/>
      <c r="C83" s="1271"/>
      <c r="D83" s="1276"/>
      <c r="E83" s="1276"/>
      <c r="F83" s="1273"/>
      <c r="G83" s="1274"/>
      <c r="H83" s="1275"/>
    </row>
    <row r="84" spans="1:8" ht="17.75" customHeight="1" x14ac:dyDescent="0.25">
      <c r="A84" s="881"/>
      <c r="B84" s="1271"/>
      <c r="C84" s="1271"/>
      <c r="D84" s="1276"/>
      <c r="E84" s="1276"/>
      <c r="F84" s="1273"/>
      <c r="G84" s="1274"/>
      <c r="H84" s="1275"/>
    </row>
    <row r="85" spans="1:8" ht="17.75" customHeight="1" x14ac:dyDescent="0.25">
      <c r="A85" s="881"/>
      <c r="B85" s="1271"/>
      <c r="C85" s="1271"/>
      <c r="D85" s="1276"/>
      <c r="E85" s="1276"/>
      <c r="F85" s="1273"/>
      <c r="G85" s="1274"/>
      <c r="H85" s="1275"/>
    </row>
    <row r="86" spans="1:8" ht="17.75" customHeight="1" x14ac:dyDescent="0.25">
      <c r="A86" s="881"/>
      <c r="B86" s="1271"/>
      <c r="C86" s="1271"/>
      <c r="D86" s="1276"/>
      <c r="E86" s="1276"/>
      <c r="F86" s="1273"/>
      <c r="G86" s="1274"/>
      <c r="H86" s="1275"/>
    </row>
    <row r="87" spans="1:8" ht="14.25" customHeight="1" x14ac:dyDescent="0.25">
      <c r="A87" s="881"/>
      <c r="B87" s="1271"/>
      <c r="C87" s="1271"/>
      <c r="D87" s="1276"/>
      <c r="E87" s="1276"/>
      <c r="F87" s="1273"/>
      <c r="G87" s="1274"/>
      <c r="H87" s="1275"/>
    </row>
    <row r="88" spans="1:8" ht="14.25" customHeight="1" x14ac:dyDescent="0.25">
      <c r="A88" s="881"/>
      <c r="B88" s="1271"/>
      <c r="C88" s="1271"/>
      <c r="D88" s="1276"/>
      <c r="E88" s="1276"/>
      <c r="F88" s="1273"/>
      <c r="G88" s="1274"/>
      <c r="H88" s="1275"/>
    </row>
    <row r="89" spans="1:8" ht="14.25" customHeight="1" x14ac:dyDescent="0.25">
      <c r="A89" s="881"/>
      <c r="B89" s="1271"/>
      <c r="C89" s="1271"/>
      <c r="D89" s="1276"/>
      <c r="E89" s="1276"/>
      <c r="F89" s="1273"/>
      <c r="G89" s="1274"/>
      <c r="H89" s="1275"/>
    </row>
    <row r="90" spans="1:8" ht="14.25" customHeight="1" x14ac:dyDescent="0.25">
      <c r="A90" s="881"/>
      <c r="B90" s="1271"/>
      <c r="C90" s="1271"/>
      <c r="D90" s="1278"/>
      <c r="E90" s="1276"/>
      <c r="F90" s="1273"/>
      <c r="G90" s="1274"/>
      <c r="H90" s="1275"/>
    </row>
    <row r="91" spans="1:8" ht="14.25" customHeight="1" x14ac:dyDescent="0.25">
      <c r="A91" s="881"/>
      <c r="B91" s="900"/>
      <c r="C91" s="881"/>
      <c r="D91" s="881"/>
      <c r="E91" s="875"/>
      <c r="F91" s="875"/>
      <c r="G91" s="881"/>
      <c r="H91" s="881"/>
    </row>
    <row r="92" spans="1:8" ht="21.5" customHeight="1" x14ac:dyDescent="0.4">
      <c r="A92" s="881"/>
      <c r="B92" s="901"/>
      <c r="C92" s="905"/>
      <c r="D92" s="1279"/>
      <c r="E92" s="875"/>
      <c r="F92" s="1280"/>
      <c r="G92" s="881"/>
      <c r="H92" s="881"/>
    </row>
    <row r="93" spans="1:8" ht="14.25" customHeight="1" x14ac:dyDescent="0.25">
      <c r="A93" s="881"/>
      <c r="B93" s="881"/>
      <c r="C93" s="881"/>
      <c r="D93" s="881"/>
      <c r="E93" s="881"/>
      <c r="F93" s="881"/>
      <c r="G93" s="881"/>
      <c r="H93" s="881"/>
    </row>
    <row r="94" spans="1:8" x14ac:dyDescent="0.25">
      <c r="A94" s="881"/>
      <c r="B94" s="881"/>
      <c r="C94" s="881"/>
      <c r="D94" s="881"/>
      <c r="E94" s="881"/>
      <c r="F94" s="881"/>
      <c r="G94" s="881"/>
      <c r="H94" s="881"/>
    </row>
    <row r="95" spans="1:8" ht="18" x14ac:dyDescent="0.3">
      <c r="A95" s="1253"/>
      <c r="B95" s="1439"/>
      <c r="C95" s="1440"/>
      <c r="D95" s="1440"/>
      <c r="E95" s="1440"/>
      <c r="F95" s="1440"/>
      <c r="G95" s="1440"/>
      <c r="H95" s="1440"/>
    </row>
    <row r="96" spans="1:8" ht="17.75" customHeight="1" x14ac:dyDescent="0.3">
      <c r="A96" s="1253"/>
      <c r="B96" s="1439"/>
      <c r="C96" s="1440"/>
      <c r="D96" s="1440"/>
      <c r="E96" s="1440"/>
      <c r="F96" s="1440"/>
      <c r="G96" s="1440"/>
      <c r="H96" s="1440"/>
    </row>
    <row r="97" spans="1:8" ht="43.5" customHeight="1" x14ac:dyDescent="0.25">
      <c r="A97" s="1258"/>
      <c r="B97" s="1268"/>
      <c r="C97" s="1269"/>
      <c r="D97" s="1268"/>
      <c r="E97" s="1270"/>
      <c r="F97" s="1270"/>
      <c r="G97" s="1268"/>
      <c r="H97" s="1270"/>
    </row>
    <row r="98" spans="1:8" ht="14" x14ac:dyDescent="0.25">
      <c r="A98" s="881"/>
      <c r="B98" s="1271"/>
      <c r="C98" s="1271"/>
      <c r="D98" s="1271"/>
      <c r="E98" s="1272"/>
      <c r="F98" s="1273"/>
      <c r="G98" s="1274"/>
      <c r="H98" s="1275"/>
    </row>
    <row r="99" spans="1:8" ht="14" x14ac:dyDescent="0.25">
      <c r="A99" s="881"/>
      <c r="B99" s="1271"/>
      <c r="C99" s="1271"/>
      <c r="D99" s="1271"/>
      <c r="E99" s="1272"/>
      <c r="F99" s="1273"/>
      <c r="G99" s="1274"/>
      <c r="H99" s="1275"/>
    </row>
    <row r="100" spans="1:8" ht="14.25" customHeight="1" x14ac:dyDescent="0.25">
      <c r="A100" s="881"/>
      <c r="B100" s="1271"/>
      <c r="C100" s="1271"/>
      <c r="D100" s="1271"/>
      <c r="E100" s="1272"/>
      <c r="F100" s="1273"/>
      <c r="G100" s="1274"/>
      <c r="H100" s="1275"/>
    </row>
    <row r="101" spans="1:8" ht="14.25" customHeight="1" x14ac:dyDescent="0.25">
      <c r="A101" s="881"/>
      <c r="B101" s="1271"/>
      <c r="C101" s="1271"/>
      <c r="D101" s="1271"/>
      <c r="E101" s="1272"/>
      <c r="F101" s="1273"/>
      <c r="G101" s="1274"/>
      <c r="H101" s="1275"/>
    </row>
    <row r="102" spans="1:8" ht="14.25" customHeight="1" x14ac:dyDescent="0.25">
      <c r="A102" s="881"/>
      <c r="B102" s="1271"/>
      <c r="C102" s="1271"/>
      <c r="D102" s="1271"/>
      <c r="E102" s="1272"/>
      <c r="F102" s="1273"/>
      <c r="G102" s="1274"/>
      <c r="H102" s="1275"/>
    </row>
    <row r="103" spans="1:8" ht="14.25" customHeight="1" x14ac:dyDescent="0.25">
      <c r="A103" s="881"/>
      <c r="B103" s="1271"/>
      <c r="C103" s="1271"/>
      <c r="D103" s="1271"/>
      <c r="E103" s="1272"/>
      <c r="F103" s="1273"/>
      <c r="G103" s="1274"/>
      <c r="H103" s="1275"/>
    </row>
    <row r="104" spans="1:8" ht="14.25" customHeight="1" x14ac:dyDescent="0.25">
      <c r="A104" s="881"/>
      <c r="B104" s="1271"/>
      <c r="C104" s="1271"/>
      <c r="D104" s="1271"/>
      <c r="E104" s="1272"/>
      <c r="F104" s="1273"/>
      <c r="G104" s="1274"/>
      <c r="H104" s="1275"/>
    </row>
    <row r="105" spans="1:8" ht="14.25" customHeight="1" x14ac:dyDescent="0.25">
      <c r="A105" s="881"/>
      <c r="B105" s="1271"/>
      <c r="C105" s="1271"/>
      <c r="D105" s="1271"/>
      <c r="E105" s="1272"/>
      <c r="F105" s="1273"/>
      <c r="G105" s="1274"/>
      <c r="H105" s="1275"/>
    </row>
    <row r="106" spans="1:8" ht="14.25" customHeight="1" x14ac:dyDescent="0.25">
      <c r="A106" s="881"/>
      <c r="B106" s="1271"/>
      <c r="C106" s="1271"/>
      <c r="D106" s="1271"/>
      <c r="E106" s="1272"/>
      <c r="F106" s="1273"/>
      <c r="G106" s="1274"/>
      <c r="H106" s="1275"/>
    </row>
    <row r="107" spans="1:8" ht="14.25" customHeight="1" x14ac:dyDescent="0.25">
      <c r="A107" s="881"/>
      <c r="B107" s="900"/>
      <c r="C107" s="881"/>
      <c r="D107" s="881"/>
      <c r="E107" s="875"/>
      <c r="F107" s="875"/>
      <c r="G107" s="881"/>
      <c r="H107" s="881"/>
    </row>
    <row r="108" spans="1:8" ht="21.5" customHeight="1" x14ac:dyDescent="0.4">
      <c r="A108" s="881"/>
      <c r="B108" s="901"/>
      <c r="C108" s="905"/>
      <c r="D108" s="1279"/>
      <c r="E108" s="875"/>
      <c r="F108" s="1280"/>
      <c r="G108" s="881"/>
      <c r="H108" s="881"/>
    </row>
    <row r="109" spans="1:8" ht="14.25" customHeight="1" x14ac:dyDescent="0.25">
      <c r="A109" s="881"/>
      <c r="B109" s="881"/>
      <c r="C109" s="881"/>
      <c r="D109" s="881"/>
      <c r="E109" s="881"/>
      <c r="F109" s="881"/>
      <c r="G109" s="881"/>
      <c r="H109" s="881"/>
    </row>
  </sheetData>
  <mergeCells count="10">
    <mergeCell ref="AE2:AG3"/>
    <mergeCell ref="B95:H95"/>
    <mergeCell ref="B96:H96"/>
    <mergeCell ref="B79:H79"/>
    <mergeCell ref="R26:T26"/>
    <mergeCell ref="B63:H63"/>
    <mergeCell ref="B2:H3"/>
    <mergeCell ref="R25:T25"/>
    <mergeCell ref="B80:H80"/>
    <mergeCell ref="B62:H62"/>
  </mergeCells>
  <printOptions horizontalCentered="1"/>
  <pageMargins left="0.5" right="0.5" top="1" bottom="0.5" header="0.3" footer="0.511811023622047"/>
  <pageSetup paperSize="9" scale="33" orientation="portrait"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rgb="FF7C7C7C"/>
    <pageSetUpPr fitToPage="1"/>
  </sheetPr>
  <dimension ref="A1:AT93"/>
  <sheetViews>
    <sheetView topLeftCell="A8" zoomScale="70" zoomScaleNormal="70" workbookViewId="0">
      <selection activeCell="I36" sqref="I36:L37"/>
    </sheetView>
  </sheetViews>
  <sheetFormatPr defaultColWidth="12.5" defaultRowHeight="14" x14ac:dyDescent="0.3"/>
  <cols>
    <col min="1" max="1" width="12.5" style="1" customWidth="1"/>
    <col min="2" max="2" width="26.75" customWidth="1"/>
    <col min="3" max="3" width="23.9140625" customWidth="1"/>
    <col min="4" max="4" width="19" customWidth="1"/>
    <col min="5" max="5" width="16.1640625" customWidth="1"/>
    <col min="6" max="6" width="23.08203125" customWidth="1"/>
    <col min="7" max="7" width="25.1640625" customWidth="1"/>
    <col min="8" max="8" width="36.1640625" customWidth="1"/>
    <col min="9" max="9" width="14.9140625" customWidth="1"/>
    <col min="12" max="12" width="8.33203125" customWidth="1"/>
    <col min="13" max="14" width="4.33203125" customWidth="1"/>
    <col min="18" max="18" width="30.5" customWidth="1"/>
    <col min="19" max="19" width="21.08203125" customWidth="1"/>
    <col min="28" max="28" width="11.58203125" bestFit="1" customWidth="1"/>
    <col min="29" max="29" width="13.1640625" bestFit="1" customWidth="1"/>
    <col min="30" max="30" width="9.83203125" bestFit="1" customWidth="1"/>
    <col min="31" max="31" width="11.58203125" bestFit="1" customWidth="1"/>
    <col min="32" max="35" width="5.5" customWidth="1"/>
    <col min="36" max="36" width="35.6640625" customWidth="1"/>
  </cols>
  <sheetData>
    <row r="1" spans="1:46" ht="53.75" customHeight="1" x14ac:dyDescent="0.3">
      <c r="B1" s="80" t="s">
        <v>243</v>
      </c>
      <c r="C1" s="81">
        <v>1000</v>
      </c>
      <c r="D1" s="82" t="s">
        <v>244</v>
      </c>
      <c r="E1" s="117">
        <f>T32</f>
        <v>4956.503999999999</v>
      </c>
      <c r="F1" s="80" t="s">
        <v>245</v>
      </c>
      <c r="G1" s="249">
        <f>E1/C1</f>
        <v>4.9565039999999989</v>
      </c>
      <c r="H1" s="80" t="s">
        <v>246</v>
      </c>
      <c r="I1" s="249">
        <f>(G1/K1)</f>
        <v>4.9565039999999989</v>
      </c>
      <c r="J1" s="86" t="s">
        <v>247</v>
      </c>
      <c r="K1" s="249">
        <v>1</v>
      </c>
      <c r="L1" s="100"/>
      <c r="M1" s="89"/>
      <c r="N1" s="90"/>
      <c r="O1" s="91" t="s">
        <v>248</v>
      </c>
      <c r="P1" s="92" t="s">
        <v>249</v>
      </c>
      <c r="Q1" s="93" t="s">
        <v>250</v>
      </c>
      <c r="R1" s="92">
        <v>0.59</v>
      </c>
      <c r="Y1" s="91" t="s">
        <v>479</v>
      </c>
      <c r="Z1" s="847">
        <v>37510</v>
      </c>
      <c r="AA1" s="91" t="s">
        <v>600</v>
      </c>
      <c r="AB1" s="847">
        <v>500</v>
      </c>
      <c r="AC1" s="91" t="s">
        <v>587</v>
      </c>
      <c r="AD1" s="847">
        <v>253</v>
      </c>
      <c r="AE1" s="250"/>
      <c r="AF1" s="252"/>
      <c r="AG1" s="92"/>
      <c r="AJ1" s="94" t="s">
        <v>262</v>
      </c>
      <c r="AK1" s="94">
        <v>10000</v>
      </c>
      <c r="AL1" s="628" t="s">
        <v>520</v>
      </c>
      <c r="AM1" s="629">
        <f>$S$32</f>
        <v>33053.495999999999</v>
      </c>
      <c r="AN1" s="94" t="s">
        <v>251</v>
      </c>
      <c r="AO1" s="96">
        <f>($S$32/$R$1)/$AK$1</f>
        <v>5.6022874576271189</v>
      </c>
      <c r="AP1" s="95"/>
    </row>
    <row r="2" spans="1:46" ht="12.75" customHeight="1" x14ac:dyDescent="0.3">
      <c r="A2" s="265"/>
      <c r="B2" s="1477" t="s">
        <v>418</v>
      </c>
      <c r="C2" s="1422"/>
      <c r="D2" s="1422"/>
      <c r="E2" s="1422"/>
      <c r="F2" s="1422"/>
      <c r="G2" s="1422"/>
      <c r="H2" s="1422"/>
      <c r="I2" s="1422"/>
      <c r="J2" s="1422"/>
      <c r="K2" s="1387"/>
      <c r="L2" s="293"/>
      <c r="M2" s="100"/>
      <c r="N2" s="100"/>
      <c r="O2" s="100"/>
      <c r="P2" s="100"/>
      <c r="Q2" s="100"/>
      <c r="R2" s="100"/>
      <c r="AC2" s="99"/>
      <c r="AD2" s="99"/>
      <c r="AE2" s="1391"/>
      <c r="AF2" s="1422"/>
      <c r="AG2" s="1422"/>
      <c r="AJ2" s="101"/>
      <c r="AK2" s="1386" t="s">
        <v>420</v>
      </c>
      <c r="AL2" s="1386"/>
      <c r="AM2" s="1386"/>
      <c r="AN2" s="102"/>
      <c r="AO2" s="101"/>
      <c r="AP2" s="101"/>
    </row>
    <row r="3" spans="1:46" ht="12.75" customHeight="1" x14ac:dyDescent="0.3">
      <c r="A3" s="265"/>
      <c r="B3" s="1388"/>
      <c r="C3" s="1388"/>
      <c r="D3" s="1388"/>
      <c r="E3" s="1388"/>
      <c r="F3" s="1388"/>
      <c r="G3" s="1388"/>
      <c r="H3" s="1388"/>
      <c r="I3" s="1388"/>
      <c r="J3" s="1388"/>
      <c r="K3" s="1388"/>
      <c r="L3" s="293"/>
      <c r="M3" s="100"/>
      <c r="N3" s="100"/>
      <c r="O3" s="100"/>
      <c r="P3" s="100"/>
      <c r="Q3" s="100"/>
      <c r="R3" s="100"/>
      <c r="AC3" s="99"/>
      <c r="AD3" s="99"/>
      <c r="AE3" s="1422"/>
      <c r="AF3" s="1422"/>
      <c r="AG3" s="1422"/>
      <c r="AJ3" s="373"/>
      <c r="AK3" s="104"/>
      <c r="AL3" s="105"/>
      <c r="AM3" s="105"/>
      <c r="AN3" s="105"/>
      <c r="AO3" s="104"/>
      <c r="AP3" s="104"/>
    </row>
    <row r="4" spans="1:46" ht="69" customHeight="1" x14ac:dyDescent="0.3">
      <c r="A4" s="91" t="s">
        <v>1</v>
      </c>
      <c r="B4" s="91" t="s">
        <v>253</v>
      </c>
      <c r="C4" s="107" t="s">
        <v>254</v>
      </c>
      <c r="D4" s="91" t="s">
        <v>243</v>
      </c>
      <c r="E4" s="108" t="s">
        <v>246</v>
      </c>
      <c r="F4" s="108" t="s">
        <v>255</v>
      </c>
      <c r="G4" s="91" t="s">
        <v>256</v>
      </c>
      <c r="H4" s="331" t="s">
        <v>347</v>
      </c>
      <c r="I4" s="91" t="s">
        <v>258</v>
      </c>
      <c r="J4" s="91" t="s">
        <v>259</v>
      </c>
      <c r="K4" s="91" t="s">
        <v>260</v>
      </c>
      <c r="L4" s="91" t="s">
        <v>261</v>
      </c>
      <c r="M4" s="100"/>
      <c r="N4" s="100"/>
      <c r="O4" s="100"/>
      <c r="P4" s="100"/>
      <c r="AA4" s="251"/>
      <c r="AB4" s="253"/>
      <c r="AC4" s="251"/>
      <c r="AD4" s="251"/>
      <c r="AE4" s="251"/>
      <c r="AJ4" s="110" t="s">
        <v>253</v>
      </c>
      <c r="AK4" s="111" t="s">
        <v>254</v>
      </c>
      <c r="AL4" s="110" t="s">
        <v>262</v>
      </c>
      <c r="AM4" s="110" t="s">
        <v>246</v>
      </c>
      <c r="AN4" s="110" t="s">
        <v>255</v>
      </c>
      <c r="AO4" s="110" t="s">
        <v>256</v>
      </c>
      <c r="AP4" s="112" t="s">
        <v>257</v>
      </c>
      <c r="AQ4" s="91" t="s">
        <v>258</v>
      </c>
      <c r="AR4" s="91" t="s">
        <v>259</v>
      </c>
      <c r="AS4" s="91" t="s">
        <v>260</v>
      </c>
      <c r="AT4" s="91" t="s">
        <v>261</v>
      </c>
    </row>
    <row r="5" spans="1:46" ht="14.25" customHeight="1" x14ac:dyDescent="0.3">
      <c r="A5" s="493" t="s">
        <v>230</v>
      </c>
      <c r="B5" s="494" t="s">
        <v>229</v>
      </c>
      <c r="C5" s="495" t="s">
        <v>14</v>
      </c>
      <c r="D5" s="121">
        <f>I51/10</f>
        <v>11303.389830508475</v>
      </c>
      <c r="E5" s="117">
        <f>H52</f>
        <v>4.9562896986054881</v>
      </c>
      <c r="F5" s="127">
        <v>1</v>
      </c>
      <c r="G5" s="119">
        <f t="shared" ref="G5:G14" si="0">D5*E5</f>
        <v>56022.874576271191</v>
      </c>
      <c r="H5" s="120">
        <f t="shared" ref="H5:H14" si="1">G5*F5</f>
        <v>56022.874576271191</v>
      </c>
      <c r="I5" s="81">
        <f>VLOOKUP(B5,All_Ingredients!$A$1:$F$151,6,FALSE())</f>
        <v>0.86</v>
      </c>
      <c r="J5" s="121">
        <f>VLOOKUP(B5,All_Ingredients!$A$1:$J$151,10,FALSE())</f>
        <v>17.100000000000001</v>
      </c>
      <c r="K5" s="122">
        <f t="shared" ref="K5" si="2">(H5/I5)/1000</f>
        <v>65.142877414268824</v>
      </c>
      <c r="L5" s="122">
        <f t="shared" ref="L5" si="3">K5*J5</f>
        <v>1113.943203783997</v>
      </c>
      <c r="M5" s="100"/>
      <c r="N5" s="100"/>
      <c r="O5" s="100"/>
      <c r="P5" s="100"/>
      <c r="AA5" s="92"/>
      <c r="AB5" s="133"/>
      <c r="AC5" s="254"/>
      <c r="AD5" s="135"/>
      <c r="AE5" s="136"/>
      <c r="AJ5" s="374" t="s">
        <v>229</v>
      </c>
      <c r="AK5" s="124" t="s">
        <v>238</v>
      </c>
      <c r="AL5" s="375">
        <v>10</v>
      </c>
      <c r="AM5" s="376">
        <f>$AO$1</f>
        <v>5.6022874576271189</v>
      </c>
      <c r="AN5" s="377">
        <v>1</v>
      </c>
      <c r="AO5" s="378">
        <f t="shared" ref="AO5:AO12" si="4">AL5*AM5</f>
        <v>56.022874576271192</v>
      </c>
      <c r="AP5" s="379">
        <f t="shared" ref="AP5:AP12" si="5">AO5*AN5</f>
        <v>56.022874576271192</v>
      </c>
      <c r="AQ5" s="295"/>
      <c r="AR5" s="1171"/>
      <c r="AS5" s="175"/>
      <c r="AT5" s="1172"/>
    </row>
    <row r="6" spans="1:46" ht="14.25" customHeight="1" x14ac:dyDescent="0.3">
      <c r="A6" s="496" t="s">
        <v>158</v>
      </c>
      <c r="B6" s="327" t="s">
        <v>157</v>
      </c>
      <c r="C6" s="495" t="s">
        <v>14</v>
      </c>
      <c r="D6" s="125">
        <v>40</v>
      </c>
      <c r="E6" s="223">
        <f t="shared" ref="E6:E14" si="6">$I$1</f>
        <v>4.9565039999999989</v>
      </c>
      <c r="F6" s="127">
        <v>1</v>
      </c>
      <c r="G6" s="119">
        <f t="shared" si="0"/>
        <v>198.26015999999996</v>
      </c>
      <c r="H6" s="120">
        <f t="shared" si="1"/>
        <v>198.26015999999996</v>
      </c>
      <c r="I6" s="81">
        <f>VLOOKUP(B6,All_Ingredients!$A$1:$F$151,6,FALSE())</f>
        <v>1</v>
      </c>
      <c r="J6" s="121">
        <f>VLOOKUP(B6,All_Ingredients!$A$1:$J$151,10,FALSE())</f>
        <v>30</v>
      </c>
      <c r="K6" s="122">
        <f t="shared" ref="K6:K14" si="7">(H6/I6)/1000</f>
        <v>0.19826015999999996</v>
      </c>
      <c r="L6" s="122">
        <f t="shared" ref="L6:L14" si="8">K6*J6</f>
        <v>5.9478047999999992</v>
      </c>
      <c r="AJ6" s="374" t="s">
        <v>56</v>
      </c>
      <c r="AK6" s="334" t="s">
        <v>14</v>
      </c>
      <c r="AL6" s="116">
        <v>100</v>
      </c>
      <c r="AM6" s="376">
        <f t="shared" ref="AM6:AM12" si="9">$AO$1</f>
        <v>5.6022874576271189</v>
      </c>
      <c r="AN6" s="377">
        <v>1</v>
      </c>
      <c r="AO6" s="378">
        <f t="shared" si="4"/>
        <v>560.22874576271192</v>
      </c>
      <c r="AP6" s="379">
        <f t="shared" si="5"/>
        <v>560.22874576271192</v>
      </c>
      <c r="AQ6" s="1172">
        <f>VLOOKUP(AJ6,Marination_Ordering!$A:$J,6,FALSE)</f>
        <v>0.87</v>
      </c>
      <c r="AR6" s="1172">
        <f>VLOOKUP(AJ6,Marination_Ordering!$A:$J,10,FALSE)</f>
        <v>3.2</v>
      </c>
      <c r="AS6" s="175">
        <f>AP6/AQ6</f>
        <v>643.94108708357692</v>
      </c>
      <c r="AT6" s="1172">
        <f>AR6*(AS6/1000)</f>
        <v>2.0606114786674463</v>
      </c>
    </row>
    <row r="7" spans="1:46" ht="14.25" customHeight="1" x14ac:dyDescent="0.3">
      <c r="A7" s="496" t="s">
        <v>13</v>
      </c>
      <c r="B7" s="327" t="s">
        <v>792</v>
      </c>
      <c r="C7" s="495" t="s">
        <v>14</v>
      </c>
      <c r="D7" s="125">
        <v>40</v>
      </c>
      <c r="E7" s="223">
        <f t="shared" si="6"/>
        <v>4.9565039999999989</v>
      </c>
      <c r="F7" s="127">
        <v>1</v>
      </c>
      <c r="G7" s="119">
        <f t="shared" si="0"/>
        <v>198.26015999999996</v>
      </c>
      <c r="H7" s="120">
        <f t="shared" si="1"/>
        <v>198.26015999999996</v>
      </c>
      <c r="I7" s="81">
        <f>VLOOKUP(B7,All_Ingredients!$A$1:$F$151,6,FALSE())</f>
        <v>1</v>
      </c>
      <c r="J7" s="121">
        <f>VLOOKUP(B7,All_Ingredients!$A$1:$J$151,10,FALSE())</f>
        <v>10.5</v>
      </c>
      <c r="K7" s="122">
        <f t="shared" si="7"/>
        <v>0.19826015999999996</v>
      </c>
      <c r="L7" s="122">
        <f t="shared" si="8"/>
        <v>2.0817316799999994</v>
      </c>
      <c r="AJ7" s="374" t="s">
        <v>792</v>
      </c>
      <c r="AK7" s="334" t="s">
        <v>14</v>
      </c>
      <c r="AL7" s="116">
        <v>150</v>
      </c>
      <c r="AM7" s="376">
        <f t="shared" si="9"/>
        <v>5.6022874576271189</v>
      </c>
      <c r="AN7" s="377">
        <v>1</v>
      </c>
      <c r="AO7" s="378">
        <f t="shared" si="4"/>
        <v>840.34311864406789</v>
      </c>
      <c r="AP7" s="379">
        <f t="shared" si="5"/>
        <v>840.34311864406789</v>
      </c>
      <c r="AQ7" s="1172">
        <f>VLOOKUP(AJ7,Marination_Ordering!$A:$J,6,FALSE)</f>
        <v>1</v>
      </c>
      <c r="AR7" s="1172">
        <f>VLOOKUP(AJ7,Marination_Ordering!$A:$J,10,FALSE)</f>
        <v>10.5</v>
      </c>
      <c r="AS7" s="175">
        <f t="shared" ref="AS7:AS8" si="10">AP7/AQ7</f>
        <v>840.34311864406789</v>
      </c>
      <c r="AT7" s="1172">
        <f t="shared" ref="AT7:AT8" si="11">AR7*(AS7/1000)</f>
        <v>8.8236027457627131</v>
      </c>
    </row>
    <row r="8" spans="1:46" ht="14.25" customHeight="1" x14ac:dyDescent="0.35">
      <c r="A8" s="270" t="s">
        <v>196</v>
      </c>
      <c r="B8" s="327" t="s">
        <v>204</v>
      </c>
      <c r="C8" s="1010" t="s">
        <v>165</v>
      </c>
      <c r="D8" s="125">
        <v>300</v>
      </c>
      <c r="E8" s="223">
        <f t="shared" si="6"/>
        <v>4.9565039999999989</v>
      </c>
      <c r="F8" s="127">
        <v>1</v>
      </c>
      <c r="G8" s="119">
        <f t="shared" si="0"/>
        <v>1486.9511999999997</v>
      </c>
      <c r="H8" s="120">
        <f t="shared" si="1"/>
        <v>1486.9511999999997</v>
      </c>
      <c r="I8" s="81">
        <f>VLOOKUP(B8,All_Ingredients!$A$1:$F$151,6,FALSE())</f>
        <v>1</v>
      </c>
      <c r="J8" s="121">
        <f>VLOOKUP(B8,All_Ingredients!$A$1:$J$151,10,FALSE())</f>
        <v>3.25</v>
      </c>
      <c r="K8" s="122">
        <f t="shared" si="7"/>
        <v>1.4869511999999998</v>
      </c>
      <c r="L8" s="122">
        <f t="shared" si="8"/>
        <v>4.8325913999999992</v>
      </c>
      <c r="AJ8" s="374" t="s">
        <v>219</v>
      </c>
      <c r="AK8" s="334" t="s">
        <v>165</v>
      </c>
      <c r="AL8" s="116">
        <v>150</v>
      </c>
      <c r="AM8" s="376">
        <f t="shared" si="9"/>
        <v>5.6022874576271189</v>
      </c>
      <c r="AN8" s="377">
        <v>1</v>
      </c>
      <c r="AO8" s="378">
        <f t="shared" si="4"/>
        <v>840.34311864406789</v>
      </c>
      <c r="AP8" s="379">
        <f t="shared" si="5"/>
        <v>840.34311864406789</v>
      </c>
      <c r="AQ8" s="1172">
        <f>VLOOKUP(AJ8,Marination_Ordering!$A:$J,6,FALSE)</f>
        <v>1</v>
      </c>
      <c r="AR8" s="1172">
        <f>VLOOKUP(AJ8,Marination_Ordering!$A:$J,10,FALSE)</f>
        <v>5</v>
      </c>
      <c r="AS8" s="175">
        <f t="shared" si="10"/>
        <v>840.34311864406789</v>
      </c>
      <c r="AT8" s="1172">
        <f t="shared" si="11"/>
        <v>4.2017155932203396</v>
      </c>
    </row>
    <row r="9" spans="1:46" ht="14.25" customHeight="1" x14ac:dyDescent="0.3">
      <c r="A9" s="270" t="s">
        <v>196</v>
      </c>
      <c r="B9" s="327" t="s">
        <v>208</v>
      </c>
      <c r="C9" s="115" t="s">
        <v>14</v>
      </c>
      <c r="D9" s="125">
        <v>90</v>
      </c>
      <c r="E9" s="223">
        <f t="shared" si="6"/>
        <v>4.9565039999999989</v>
      </c>
      <c r="F9" s="127">
        <v>1</v>
      </c>
      <c r="G9" s="119">
        <f t="shared" si="0"/>
        <v>446.08535999999992</v>
      </c>
      <c r="H9" s="120">
        <f t="shared" si="1"/>
        <v>446.08535999999992</v>
      </c>
      <c r="I9" s="81">
        <f>VLOOKUP(B9,All_Ingredients!$A$1:$F$151,6,FALSE())</f>
        <v>1</v>
      </c>
      <c r="J9" s="121">
        <f>VLOOKUP(B9,All_Ingredients!$A$1:$J$151,10,FALSE())</f>
        <v>11.243386243386244</v>
      </c>
      <c r="K9" s="122">
        <f t="shared" si="7"/>
        <v>0.44608535999999993</v>
      </c>
      <c r="L9" s="122">
        <f t="shared" si="8"/>
        <v>5.015509999999999</v>
      </c>
      <c r="AJ9" s="374" t="s">
        <v>215</v>
      </c>
      <c r="AK9" s="124" t="s">
        <v>165</v>
      </c>
      <c r="AL9" s="116">
        <v>100</v>
      </c>
      <c r="AM9" s="376">
        <f t="shared" si="9"/>
        <v>5.6022874576271189</v>
      </c>
      <c r="AN9" s="377">
        <v>1</v>
      </c>
      <c r="AO9" s="378">
        <f t="shared" si="4"/>
        <v>560.22874576271192</v>
      </c>
      <c r="AP9" s="379">
        <f t="shared" si="5"/>
        <v>560.22874576271192</v>
      </c>
      <c r="AQ9" s="1172">
        <f>VLOOKUP(AJ9,Marination_Ordering!$A:$J,6,FALSE)</f>
        <v>1</v>
      </c>
      <c r="AR9" s="1172">
        <f>VLOOKUP(AJ9,Marination_Ordering!$A:$J,10,FALSE)</f>
        <v>2.1621621621621623</v>
      </c>
      <c r="AS9" s="175">
        <f t="shared" ref="AS9:AS12" si="12">AP9/AQ9</f>
        <v>560.22874576271192</v>
      </c>
      <c r="AT9" s="1172">
        <f t="shared" ref="AT9:AT12" si="13">AR9*(AS9/1000)</f>
        <v>1.2113053962437017</v>
      </c>
    </row>
    <row r="10" spans="1:46" ht="14.25" customHeight="1" x14ac:dyDescent="0.3">
      <c r="A10" s="270" t="s">
        <v>196</v>
      </c>
      <c r="B10" s="327" t="s">
        <v>761</v>
      </c>
      <c r="C10" s="115" t="s">
        <v>14</v>
      </c>
      <c r="D10" s="125">
        <v>90</v>
      </c>
      <c r="E10" s="223">
        <f t="shared" si="6"/>
        <v>4.9565039999999989</v>
      </c>
      <c r="F10" s="127">
        <v>1</v>
      </c>
      <c r="G10" s="119">
        <f t="shared" si="0"/>
        <v>446.08535999999992</v>
      </c>
      <c r="H10" s="120">
        <f t="shared" si="1"/>
        <v>446.08535999999992</v>
      </c>
      <c r="I10" s="81">
        <f>VLOOKUP(B10,All_Ingredients!$A$1:$F$151,6,FALSE())</f>
        <v>1</v>
      </c>
      <c r="J10" s="121">
        <f>VLOOKUP(B10,All_Ingredients!$A$1:$J$151,10,FALSE())</f>
        <v>8.1520833333333336</v>
      </c>
      <c r="K10" s="122">
        <f t="shared" si="7"/>
        <v>0.44608535999999993</v>
      </c>
      <c r="L10" s="122">
        <f t="shared" si="8"/>
        <v>3.6365250284999995</v>
      </c>
      <c r="AJ10" s="374" t="s">
        <v>96</v>
      </c>
      <c r="AK10" s="334" t="s">
        <v>14</v>
      </c>
      <c r="AL10" s="116">
        <v>5</v>
      </c>
      <c r="AM10" s="376">
        <f t="shared" si="9"/>
        <v>5.6022874576271189</v>
      </c>
      <c r="AN10" s="377">
        <v>1</v>
      </c>
      <c r="AO10" s="378">
        <f t="shared" si="4"/>
        <v>28.011437288135596</v>
      </c>
      <c r="AP10" s="379">
        <f t="shared" si="5"/>
        <v>28.011437288135596</v>
      </c>
      <c r="AQ10" s="1172">
        <f>VLOOKUP(AJ10,Marination_Ordering!$A:$J,6,FALSE)</f>
        <v>1</v>
      </c>
      <c r="AR10" s="1172">
        <f>VLOOKUP(AJ10,Marination_Ordering!$A:$J,10,FALSE)</f>
        <v>0.74</v>
      </c>
      <c r="AS10" s="175">
        <f t="shared" si="12"/>
        <v>28.011437288135596</v>
      </c>
      <c r="AT10" s="1172">
        <f t="shared" si="13"/>
        <v>2.072846359322034E-2</v>
      </c>
    </row>
    <row r="11" spans="1:46" ht="13.5" customHeight="1" x14ac:dyDescent="0.3">
      <c r="A11" s="270" t="s">
        <v>196</v>
      </c>
      <c r="B11" s="327" t="s">
        <v>198</v>
      </c>
      <c r="C11" s="115" t="s">
        <v>165</v>
      </c>
      <c r="D11" s="125">
        <v>40</v>
      </c>
      <c r="E11" s="223">
        <f t="shared" si="6"/>
        <v>4.9565039999999989</v>
      </c>
      <c r="F11" s="127">
        <v>1</v>
      </c>
      <c r="G11" s="119">
        <f t="shared" si="0"/>
        <v>198.26015999999996</v>
      </c>
      <c r="H11" s="120">
        <f t="shared" si="1"/>
        <v>198.26015999999996</v>
      </c>
      <c r="I11" s="81">
        <f>VLOOKUP(B11,All_Ingredients!$A$1:$F$151,6,FALSE())</f>
        <v>1</v>
      </c>
      <c r="J11" s="121">
        <f>VLOOKUP(B11,All_Ingredients!$A$1:$J$151,10,FALSE())</f>
        <v>58.685446009389672</v>
      </c>
      <c r="K11" s="122">
        <f t="shared" si="7"/>
        <v>0.19826015999999996</v>
      </c>
      <c r="L11" s="122">
        <f t="shared" si="8"/>
        <v>11.634985915492956</v>
      </c>
      <c r="AJ11" s="374" t="s">
        <v>102</v>
      </c>
      <c r="AK11" s="334" t="s">
        <v>14</v>
      </c>
      <c r="AL11" s="116">
        <v>5</v>
      </c>
      <c r="AM11" s="376">
        <f t="shared" si="9"/>
        <v>5.6022874576271189</v>
      </c>
      <c r="AN11" s="377">
        <v>1</v>
      </c>
      <c r="AO11" s="378">
        <f t="shared" si="4"/>
        <v>28.011437288135596</v>
      </c>
      <c r="AP11" s="379">
        <f t="shared" si="5"/>
        <v>28.011437288135596</v>
      </c>
      <c r="AQ11" s="1172">
        <f>VLOOKUP(AJ11,Marination_Ordering!$A:$J,6,FALSE)</f>
        <v>1</v>
      </c>
      <c r="AR11" s="1172">
        <f>VLOOKUP(AJ11,Marination_Ordering!$A:$J,10,FALSE)</f>
        <v>31</v>
      </c>
      <c r="AS11" s="175">
        <f t="shared" si="12"/>
        <v>28.011437288135596</v>
      </c>
      <c r="AT11" s="1172">
        <f t="shared" si="13"/>
        <v>0.86835455593220345</v>
      </c>
    </row>
    <row r="12" spans="1:46" ht="14.25" customHeight="1" x14ac:dyDescent="0.3">
      <c r="A12" s="270" t="s">
        <v>83</v>
      </c>
      <c r="B12" s="327" t="s">
        <v>85</v>
      </c>
      <c r="C12" s="115" t="s">
        <v>14</v>
      </c>
      <c r="D12" s="125">
        <v>1</v>
      </c>
      <c r="E12" s="223">
        <f t="shared" si="6"/>
        <v>4.9565039999999989</v>
      </c>
      <c r="F12" s="127">
        <v>1</v>
      </c>
      <c r="G12" s="119">
        <f t="shared" si="0"/>
        <v>4.9565039999999989</v>
      </c>
      <c r="H12" s="120">
        <f t="shared" si="1"/>
        <v>4.9565039999999989</v>
      </c>
      <c r="I12" s="81">
        <f>VLOOKUP(B12,All_Ingredients!$A$1:$F$151,6,FALSE())</f>
        <v>1</v>
      </c>
      <c r="J12" s="121">
        <f>VLOOKUP(B12,All_Ingredients!$A$1:$J$151,10,FALSE())</f>
        <v>147.88732394366198</v>
      </c>
      <c r="K12" s="122">
        <f t="shared" si="7"/>
        <v>4.9565039999999987E-3</v>
      </c>
      <c r="L12" s="122">
        <f t="shared" si="8"/>
        <v>0.73300411267605625</v>
      </c>
      <c r="AJ12" s="374" t="s">
        <v>815</v>
      </c>
      <c r="AK12" s="334" t="s">
        <v>14</v>
      </c>
      <c r="AL12" s="125">
        <v>5</v>
      </c>
      <c r="AM12" s="376">
        <f t="shared" si="9"/>
        <v>5.6022874576271189</v>
      </c>
      <c r="AN12" s="377">
        <v>1</v>
      </c>
      <c r="AO12" s="378">
        <f t="shared" si="4"/>
        <v>28.011437288135596</v>
      </c>
      <c r="AP12" s="379">
        <f t="shared" si="5"/>
        <v>28.011437288135596</v>
      </c>
      <c r="AQ12" s="1172">
        <f>VLOOKUP(AJ12,Marination_Ordering!$A:$J,6,FALSE)</f>
        <v>1</v>
      </c>
      <c r="AR12" s="1172">
        <f>VLOOKUP(AJ12,Marination_Ordering!$A:$J,10,FALSE)</f>
        <v>22.5</v>
      </c>
      <c r="AS12" s="175">
        <f t="shared" si="12"/>
        <v>28.011437288135596</v>
      </c>
      <c r="AT12" s="1172">
        <f t="shared" si="13"/>
        <v>0.63025733898305092</v>
      </c>
    </row>
    <row r="13" spans="1:46" ht="14.25" customHeight="1" x14ac:dyDescent="0.3">
      <c r="A13" s="270" t="s">
        <v>192</v>
      </c>
      <c r="B13" s="327" t="s">
        <v>193</v>
      </c>
      <c r="C13" s="115" t="s">
        <v>14</v>
      </c>
      <c r="D13" s="125">
        <v>10</v>
      </c>
      <c r="E13" s="223">
        <f t="shared" si="6"/>
        <v>4.9565039999999989</v>
      </c>
      <c r="F13" s="127">
        <v>1</v>
      </c>
      <c r="G13" s="119">
        <f t="shared" si="0"/>
        <v>49.565039999999989</v>
      </c>
      <c r="H13" s="120">
        <f t="shared" si="1"/>
        <v>49.565039999999989</v>
      </c>
      <c r="I13" s="81">
        <f>VLOOKUP(B13,All_Ingredients!$A$1:$F$151,6,FALSE())</f>
        <v>0.9</v>
      </c>
      <c r="J13" s="121">
        <f>VLOOKUP(B13,All_Ingredients!$A$1:$J$151,10,FALSE())</f>
        <v>2.3199999999999998</v>
      </c>
      <c r="K13" s="122">
        <f t="shared" si="7"/>
        <v>5.5072266666666647E-2</v>
      </c>
      <c r="L13" s="122">
        <f t="shared" si="8"/>
        <v>0.12776765866666662</v>
      </c>
    </row>
    <row r="14" spans="1:46" ht="14.25" customHeight="1" x14ac:dyDescent="0.3">
      <c r="A14" s="270" t="s">
        <v>158</v>
      </c>
      <c r="B14" s="327" t="s">
        <v>171</v>
      </c>
      <c r="C14" s="115" t="s">
        <v>165</v>
      </c>
      <c r="D14" s="125">
        <v>400</v>
      </c>
      <c r="E14" s="223">
        <f t="shared" si="6"/>
        <v>4.9565039999999989</v>
      </c>
      <c r="F14" s="127">
        <v>1</v>
      </c>
      <c r="G14" s="119">
        <f t="shared" si="0"/>
        <v>1982.6015999999995</v>
      </c>
      <c r="H14" s="120">
        <f t="shared" si="1"/>
        <v>1982.6015999999995</v>
      </c>
      <c r="I14" s="81">
        <f>VLOOKUP(B14,All_Ingredients!$A$1:$F$151,6,FALSE())</f>
        <v>1</v>
      </c>
      <c r="J14" s="121">
        <f>VLOOKUP(B14,All_Ingredients!$A$1:$J$151,10,FALSE())</f>
        <v>12.666666666666666</v>
      </c>
      <c r="K14" s="122">
        <f t="shared" si="7"/>
        <v>1.9826015999999995</v>
      </c>
      <c r="L14" s="122">
        <f t="shared" si="8"/>
        <v>25.112953599999994</v>
      </c>
    </row>
    <row r="17" spans="2:31" ht="14.25" customHeight="1" x14ac:dyDescent="0.3">
      <c r="L17" s="209"/>
    </row>
    <row r="18" spans="2:31" ht="14.25" customHeight="1" x14ac:dyDescent="0.3">
      <c r="L18" s="209"/>
      <c r="S18" s="129" t="s">
        <v>419</v>
      </c>
    </row>
    <row r="19" spans="2:31" ht="14.25" customHeight="1" x14ac:dyDescent="0.3">
      <c r="L19" s="209"/>
      <c r="R19" s="5"/>
      <c r="S19" s="275" t="s">
        <v>321</v>
      </c>
    </row>
    <row r="20" spans="2:31" ht="14.25" customHeight="1" x14ac:dyDescent="0.3">
      <c r="L20" s="209"/>
    </row>
    <row r="21" spans="2:31" ht="14.25" customHeight="1" x14ac:dyDescent="0.3">
      <c r="L21" s="209"/>
    </row>
    <row r="22" spans="2:31" ht="14.25" customHeight="1" x14ac:dyDescent="0.3">
      <c r="L22" s="209"/>
    </row>
    <row r="23" spans="2:31" ht="14.25" customHeight="1" x14ac:dyDescent="0.3">
      <c r="B23" s="100"/>
      <c r="E23" s="100"/>
      <c r="F23" s="100"/>
      <c r="L23" s="209"/>
    </row>
    <row r="24" spans="2:31" ht="14.25" customHeight="1" x14ac:dyDescent="0.3">
      <c r="B24" s="100"/>
      <c r="E24" s="100"/>
      <c r="F24" s="100"/>
      <c r="L24" s="209"/>
      <c r="Z24" s="1294"/>
    </row>
    <row r="25" spans="2:31" ht="14.75" customHeight="1" x14ac:dyDescent="0.35">
      <c r="B25" s="100"/>
      <c r="E25" s="100"/>
      <c r="F25" s="100"/>
      <c r="L25" s="209"/>
      <c r="R25" s="1411" t="s">
        <v>420</v>
      </c>
      <c r="S25" s="1388"/>
      <c r="T25" s="1388"/>
      <c r="U25" s="1388"/>
      <c r="V25" s="1151"/>
      <c r="Z25" s="141" t="s">
        <v>264</v>
      </c>
      <c r="AA25" s="142">
        <v>43110</v>
      </c>
      <c r="AB25" s="141" t="s">
        <v>261</v>
      </c>
      <c r="AC25" s="143">
        <f>(AA25*AE30)+(AA30*(AB28/R1))</f>
        <v>1352.0601781312589</v>
      </c>
      <c r="AD25" s="14"/>
    </row>
    <row r="26" spans="2:31" ht="19.5" customHeight="1" x14ac:dyDescent="0.3">
      <c r="B26" s="100"/>
      <c r="E26" s="100"/>
      <c r="F26" s="100"/>
      <c r="L26" s="209"/>
      <c r="R26" s="1478" t="s">
        <v>373</v>
      </c>
      <c r="S26" s="1410"/>
      <c r="T26" s="1410"/>
      <c r="U26" s="1410"/>
      <c r="V26" s="1151"/>
      <c r="Z26" s="14"/>
      <c r="AA26" s="14"/>
      <c r="AB26" s="14"/>
      <c r="AC26" s="14"/>
      <c r="AD26" s="14"/>
    </row>
    <row r="27" spans="2:31" ht="20.75" customHeight="1" thickBot="1" x14ac:dyDescent="0.35">
      <c r="B27" s="100"/>
      <c r="E27" s="100"/>
      <c r="F27" s="100"/>
      <c r="R27" s="145" t="s">
        <v>266</v>
      </c>
      <c r="S27" s="146" t="s">
        <v>421</v>
      </c>
      <c r="T27" s="146" t="s">
        <v>268</v>
      </c>
      <c r="U27" s="146" t="s">
        <v>269</v>
      </c>
      <c r="V27" s="146" t="s">
        <v>839</v>
      </c>
      <c r="W27" s="146" t="s">
        <v>848</v>
      </c>
      <c r="Z27" s="141" t="s">
        <v>270</v>
      </c>
      <c r="AA27" s="1185" t="s">
        <v>324</v>
      </c>
      <c r="AB27" s="147" t="s">
        <v>271</v>
      </c>
      <c r="AC27" s="147" t="s">
        <v>272</v>
      </c>
      <c r="AD27" s="1186" t="s">
        <v>848</v>
      </c>
      <c r="AE27" s="147" t="s">
        <v>274</v>
      </c>
    </row>
    <row r="28" spans="2:31" ht="14.25" customHeight="1" thickBot="1" x14ac:dyDescent="0.35">
      <c r="B28" s="100"/>
      <c r="E28" s="100"/>
      <c r="F28" s="100"/>
      <c r="R28" s="148" t="s">
        <v>275</v>
      </c>
      <c r="S28" s="149">
        <f>U28*S40</f>
        <v>32618.696</v>
      </c>
      <c r="T28" s="149">
        <f>U28*U40</f>
        <v>4891.3039999999992</v>
      </c>
      <c r="U28" s="150">
        <f>$Z$1</f>
        <v>37510</v>
      </c>
      <c r="V28" s="149">
        <f>SUM(AP5:AP12)</f>
        <v>2941.2009152542382</v>
      </c>
      <c r="W28" s="149">
        <f>H37</f>
        <v>17.71</v>
      </c>
      <c r="Z28" s="151"/>
      <c r="AA28" s="1188"/>
      <c r="AB28" s="152">
        <f>AA25*$S$40</f>
        <v>37488.455999999998</v>
      </c>
      <c r="AC28" s="152">
        <f>AA25*$U$40</f>
        <v>5621.5439999999999</v>
      </c>
      <c r="AD28" s="1188"/>
      <c r="AE28" s="154">
        <f>SUM(AB28:AD28)</f>
        <v>43110</v>
      </c>
    </row>
    <row r="29" spans="2:31" ht="14.25" customHeight="1" thickBot="1" x14ac:dyDescent="0.35">
      <c r="B29" s="100"/>
      <c r="E29" s="100"/>
      <c r="F29" s="100"/>
      <c r="R29" s="148" t="s">
        <v>276</v>
      </c>
      <c r="S29" s="155"/>
      <c r="T29" s="304"/>
      <c r="U29" s="149">
        <f>T29</f>
        <v>0</v>
      </c>
      <c r="V29" s="149"/>
      <c r="W29" s="149"/>
      <c r="Z29" s="151"/>
      <c r="AA29" s="1192"/>
      <c r="AB29" s="156">
        <f>AB28/$AE$28</f>
        <v>0.86959999999999993</v>
      </c>
      <c r="AC29" s="156">
        <f>AC28/$AE$28</f>
        <v>0.13039999999999999</v>
      </c>
      <c r="AD29" s="1192"/>
      <c r="AE29" s="156">
        <f>AE28/$AE$28</f>
        <v>1</v>
      </c>
    </row>
    <row r="30" spans="2:31" ht="14.25" customHeight="1" thickBot="1" x14ac:dyDescent="0.35">
      <c r="R30" s="148" t="s">
        <v>277</v>
      </c>
      <c r="S30" s="155">
        <f>U30*S40</f>
        <v>434.8</v>
      </c>
      <c r="T30" s="155">
        <f>U30*U40</f>
        <v>65.199999999999989</v>
      </c>
      <c r="U30" s="1236">
        <f>$AB$1</f>
        <v>500</v>
      </c>
      <c r="V30" s="1143"/>
      <c r="W30" s="1143"/>
      <c r="Z30" s="141" t="s">
        <v>278</v>
      </c>
      <c r="AA30" s="1196">
        <f>V35/(S32/R1)</f>
        <v>3.1802323081702387E-4</v>
      </c>
      <c r="AB30" s="157">
        <f>S35/(S32)</f>
        <v>3.3701221915648408E-2</v>
      </c>
      <c r="AC30" s="158">
        <f>T35/T32</f>
        <v>1.1928341870668456E-2</v>
      </c>
      <c r="AD30" s="1199">
        <f>W35/U32</f>
        <v>3.2256693582660432E-5</v>
      </c>
      <c r="AE30" s="1201">
        <f>SUMPRODUCT(AB30:AC30,AB29:AC29)+AD30</f>
        <v>3.0894295051365681E-2</v>
      </c>
    </row>
    <row r="31" spans="2:31" ht="14.25" customHeight="1" thickBot="1" x14ac:dyDescent="0.35">
      <c r="R31" s="148" t="s">
        <v>279</v>
      </c>
      <c r="S31" s="155"/>
      <c r="T31" s="149"/>
      <c r="U31" s="149"/>
      <c r="V31" s="149"/>
      <c r="W31" s="149"/>
    </row>
    <row r="32" spans="2:31" ht="14.25" customHeight="1" thickBot="1" x14ac:dyDescent="0.35">
      <c r="R32" s="160" t="s">
        <v>269</v>
      </c>
      <c r="S32" s="149">
        <f>SUM(S28:S30)</f>
        <v>33053.495999999999</v>
      </c>
      <c r="T32" s="149">
        <f>SUM(T28:T30)</f>
        <v>4956.503999999999</v>
      </c>
      <c r="U32" s="149">
        <f>SUM(U28:U30)</f>
        <v>38010</v>
      </c>
      <c r="V32" s="149"/>
      <c r="W32" s="149">
        <f>SUM(W28:W30)</f>
        <v>17.71</v>
      </c>
    </row>
    <row r="33" spans="2:23" ht="14.25" customHeight="1" thickBot="1" x14ac:dyDescent="0.35">
      <c r="B33" s="100"/>
      <c r="E33" s="100"/>
      <c r="F33" s="100"/>
      <c r="R33" s="161" t="s">
        <v>280</v>
      </c>
      <c r="S33" s="155"/>
      <c r="T33" s="155"/>
      <c r="U33" s="155"/>
      <c r="V33" s="155"/>
      <c r="W33" s="155"/>
    </row>
    <row r="34" spans="2:23" ht="14.25" customHeight="1" thickBot="1" x14ac:dyDescent="0.35">
      <c r="R34" s="162" t="s">
        <v>281</v>
      </c>
      <c r="S34" s="155"/>
      <c r="T34" s="149"/>
      <c r="U34" s="155"/>
      <c r="V34" s="155"/>
      <c r="W34" s="155"/>
    </row>
    <row r="35" spans="2:23" ht="14.25" customHeight="1" thickBot="1" x14ac:dyDescent="0.35">
      <c r="B35" s="1394" t="s">
        <v>713</v>
      </c>
      <c r="C35" s="1394"/>
      <c r="D35" s="1394"/>
      <c r="E35" s="1394"/>
      <c r="F35" s="1394"/>
      <c r="G35" s="882"/>
      <c r="H35" s="882"/>
      <c r="I35" s="889"/>
      <c r="J35" s="889"/>
      <c r="K35" s="889"/>
      <c r="L35" s="889"/>
      <c r="R35" s="163" t="s">
        <v>261</v>
      </c>
      <c r="S35" s="1144">
        <f>$L$5</f>
        <v>1113.943203783997</v>
      </c>
      <c r="T35" s="1144">
        <f>SUM(L6:L14)</f>
        <v>59.122874195335669</v>
      </c>
      <c r="U35" s="1144">
        <f>S35+T35+V35+W35</f>
        <v>1192.1087304748123</v>
      </c>
      <c r="V35" s="1144">
        <f>SUM(AT6:AT12)</f>
        <v>17.816575572402673</v>
      </c>
      <c r="W35" s="1144">
        <f>L37</f>
        <v>1.2260769230769231</v>
      </c>
    </row>
    <row r="36" spans="2:23" ht="46.5" x14ac:dyDescent="0.3">
      <c r="B36" s="860" t="s">
        <v>253</v>
      </c>
      <c r="C36" s="860" t="s">
        <v>329</v>
      </c>
      <c r="D36" s="862" t="s">
        <v>671</v>
      </c>
      <c r="E36" s="859" t="s">
        <v>672</v>
      </c>
      <c r="F36" s="862" t="s">
        <v>673</v>
      </c>
      <c r="G36" s="882"/>
      <c r="H36" s="862" t="s">
        <v>673</v>
      </c>
      <c r="I36" s="862" t="s">
        <v>258</v>
      </c>
      <c r="J36" s="862" t="s">
        <v>259</v>
      </c>
      <c r="K36" s="862" t="s">
        <v>260</v>
      </c>
      <c r="L36" s="862" t="s">
        <v>261</v>
      </c>
    </row>
    <row r="37" spans="2:23" x14ac:dyDescent="0.3">
      <c r="B37" s="855" t="s">
        <v>746</v>
      </c>
      <c r="C37" s="856" t="s">
        <v>14</v>
      </c>
      <c r="D37" s="857">
        <v>7.0000000000000007E-2</v>
      </c>
      <c r="E37" s="855">
        <f>$AD$1</f>
        <v>253</v>
      </c>
      <c r="F37" s="855">
        <f>D37*E37</f>
        <v>17.71</v>
      </c>
      <c r="G37" s="881"/>
      <c r="H37" s="855">
        <f>F37</f>
        <v>17.71</v>
      </c>
      <c r="I37" s="855">
        <f>VLOOKUP(B37,All_Ingredients!$A$1:$F$151,6,FALSE())</f>
        <v>0.65</v>
      </c>
      <c r="J37" s="855">
        <f>VLOOKUP(B37,All_Ingredients!$A$1:$J$151,10,FALSE())</f>
        <v>45</v>
      </c>
      <c r="K37" s="855">
        <f>(H37/I37)/1000</f>
        <v>2.7246153846153844E-2</v>
      </c>
      <c r="L37" s="855">
        <f>K37*J37</f>
        <v>1.2260769230769231</v>
      </c>
    </row>
    <row r="38" spans="2:23" ht="14.25" customHeight="1" x14ac:dyDescent="0.3">
      <c r="S38" s="437"/>
    </row>
    <row r="40" spans="2:23" ht="15.75" customHeight="1" x14ac:dyDescent="0.3">
      <c r="Q40" s="14"/>
      <c r="R40" s="165" t="s">
        <v>282</v>
      </c>
      <c r="S40" s="239">
        <v>0.86960000000000004</v>
      </c>
      <c r="T40" s="165" t="s">
        <v>283</v>
      </c>
      <c r="U40" s="239">
        <v>0.13039999999999999</v>
      </c>
      <c r="V40" s="168">
        <f>S40+U40</f>
        <v>1</v>
      </c>
      <c r="W40" s="14"/>
    </row>
    <row r="41" spans="2:23" ht="14.25" customHeight="1" x14ac:dyDescent="0.3">
      <c r="Q41" s="14"/>
      <c r="R41" s="14"/>
      <c r="S41" s="14"/>
      <c r="T41" s="14"/>
      <c r="U41" s="169"/>
      <c r="V41" s="14"/>
      <c r="W41" s="14"/>
    </row>
    <row r="42" spans="2:23" ht="14.25" customHeight="1" x14ac:dyDescent="0.3">
      <c r="Q42" s="14"/>
      <c r="R42" s="14"/>
      <c r="S42" s="14"/>
      <c r="T42" s="14"/>
      <c r="U42" s="14"/>
      <c r="V42" s="14"/>
      <c r="W42" s="14"/>
    </row>
    <row r="43" spans="2:23" ht="14.25" customHeight="1" x14ac:dyDescent="0.3">
      <c r="Q43" s="170" t="s">
        <v>284</v>
      </c>
      <c r="R43" s="170" t="s">
        <v>285</v>
      </c>
      <c r="S43" s="170" t="s">
        <v>286</v>
      </c>
      <c r="T43" s="170" t="s">
        <v>287</v>
      </c>
      <c r="U43" s="170" t="s">
        <v>288</v>
      </c>
      <c r="V43" s="170" t="s">
        <v>289</v>
      </c>
      <c r="W43" s="258" t="s">
        <v>290</v>
      </c>
    </row>
    <row r="44" spans="2:23" ht="14.25" customHeight="1" x14ac:dyDescent="0.3">
      <c r="Q44" s="172">
        <v>76690</v>
      </c>
      <c r="R44" s="173">
        <f>D51</f>
        <v>10000</v>
      </c>
      <c r="S44" s="497">
        <v>1</v>
      </c>
      <c r="T44" s="241">
        <v>0</v>
      </c>
      <c r="U44" s="242">
        <f>R44*S44</f>
        <v>10000</v>
      </c>
      <c r="V44" s="176">
        <f>R44*T44</f>
        <v>0</v>
      </c>
      <c r="W44" s="260">
        <f>Q44-U44</f>
        <v>66690</v>
      </c>
    </row>
    <row r="50" spans="1:10" x14ac:dyDescent="0.3">
      <c r="B50" s="276"/>
      <c r="C50" s="145" t="s">
        <v>245</v>
      </c>
      <c r="D50" s="145" t="s">
        <v>291</v>
      </c>
      <c r="E50" s="100"/>
      <c r="F50" s="100"/>
      <c r="G50" s="145" t="s">
        <v>292</v>
      </c>
      <c r="H50" s="145" t="s">
        <v>245</v>
      </c>
      <c r="I50" s="145" t="s">
        <v>293</v>
      </c>
      <c r="J50" s="145" t="s">
        <v>294</v>
      </c>
    </row>
    <row r="51" spans="1:10" x14ac:dyDescent="0.3">
      <c r="B51" s="180" t="s">
        <v>295</v>
      </c>
      <c r="C51" s="181">
        <f>10/$K$1</f>
        <v>10</v>
      </c>
      <c r="D51" s="182">
        <f>$C$1*10</f>
        <v>10000</v>
      </c>
      <c r="E51" s="183"/>
      <c r="F51" s="100"/>
      <c r="G51" s="180" t="s">
        <v>295</v>
      </c>
      <c r="H51" s="277">
        <f>I51/$D$5</f>
        <v>10</v>
      </c>
      <c r="I51" s="181">
        <f>J51/$R$1</f>
        <v>113033.89830508475</v>
      </c>
      <c r="J51" s="181">
        <f>$W$44</f>
        <v>66690</v>
      </c>
    </row>
    <row r="52" spans="1:10" x14ac:dyDescent="0.3">
      <c r="B52" s="231" t="s">
        <v>274</v>
      </c>
      <c r="C52" s="232">
        <f>$I$1</f>
        <v>4.9565039999999989</v>
      </c>
      <c r="D52" s="233">
        <f>$E$1</f>
        <v>4956.503999999999</v>
      </c>
      <c r="E52" s="100"/>
      <c r="F52" s="100"/>
      <c r="G52" s="148" t="s">
        <v>274</v>
      </c>
      <c r="H52" s="210">
        <f>I52/$D$5</f>
        <v>4.9562896986054881</v>
      </c>
      <c r="I52" s="176">
        <f>J52/$R$1</f>
        <v>56022.874576271191</v>
      </c>
      <c r="J52" s="184">
        <f>$S$32</f>
        <v>33053.495999999999</v>
      </c>
    </row>
    <row r="53" spans="1:10" x14ac:dyDescent="0.3">
      <c r="B53" s="231" t="s">
        <v>296</v>
      </c>
      <c r="C53" s="234">
        <f>MIN(C52, C51)</f>
        <v>4.9565039999999989</v>
      </c>
      <c r="D53" s="233">
        <f>(C53*$K$1)*$C$1</f>
        <v>4956.503999999999</v>
      </c>
      <c r="E53" s="100"/>
      <c r="F53" s="100"/>
      <c r="G53" s="148" t="s">
        <v>296</v>
      </c>
      <c r="H53" s="187">
        <f>MIN(H52,H51)</f>
        <v>4.9562896986054881</v>
      </c>
      <c r="I53" s="176">
        <f>J53/$R$1</f>
        <v>56022.874576271191</v>
      </c>
      <c r="J53" s="176">
        <f>MIN(J52,J51)</f>
        <v>33053.495999999999</v>
      </c>
    </row>
    <row r="54" spans="1:10" x14ac:dyDescent="0.3">
      <c r="B54" s="231" t="s">
        <v>297</v>
      </c>
      <c r="C54" s="234">
        <f>MIN(MAX(C52-C53,0),C51)</f>
        <v>0</v>
      </c>
      <c r="D54" s="233">
        <f>(C54*$K$1)*$C$1</f>
        <v>0</v>
      </c>
      <c r="E54" s="100"/>
      <c r="F54" s="100"/>
      <c r="G54" s="148" t="s">
        <v>297</v>
      </c>
      <c r="H54" s="187">
        <f>MIN(MAX(H52-H53),H51)</f>
        <v>0</v>
      </c>
      <c r="I54" s="176">
        <f>J54/$R$1</f>
        <v>0</v>
      </c>
      <c r="J54" s="176">
        <f>MIN(MAX(J52-J53),J51)</f>
        <v>0</v>
      </c>
    </row>
    <row r="55" spans="1:10" x14ac:dyDescent="0.3">
      <c r="B55" s="231" t="s">
        <v>298</v>
      </c>
      <c r="C55" s="234">
        <f>MIN(MAX(C52-C53-C54,0),C51)</f>
        <v>0</v>
      </c>
      <c r="D55" s="233">
        <f>(C55*$K$1)*$C$1</f>
        <v>0</v>
      </c>
      <c r="E55" s="100"/>
      <c r="F55" s="100"/>
      <c r="G55" s="145" t="s">
        <v>298</v>
      </c>
      <c r="H55" s="187">
        <f>MIN(MAX(H52-H53-H54),H51)</f>
        <v>0</v>
      </c>
      <c r="I55" s="176">
        <f>J55/$R$1</f>
        <v>0</v>
      </c>
      <c r="J55" s="176">
        <f>MIN(MAX(J52-J53-J54),J51)</f>
        <v>0</v>
      </c>
    </row>
    <row r="62" spans="1:10" ht="18" customHeight="1" x14ac:dyDescent="0.3">
      <c r="A62" s="938"/>
      <c r="B62" s="1382" t="str">
        <f>"ستيك دجاج صوص ميكس  1 / " &amp; COUNTIF($C$53:$C$55, "&gt;0")</f>
        <v>ستيك دجاج صوص ميكس  1 / 1</v>
      </c>
      <c r="C62" s="1383"/>
      <c r="D62" s="1383"/>
      <c r="E62" s="1383"/>
      <c r="F62" s="1383"/>
      <c r="G62" s="1383"/>
      <c r="H62" s="1383"/>
    </row>
    <row r="63" spans="1:10" ht="18" customHeight="1" x14ac:dyDescent="0.3">
      <c r="A63" s="938"/>
      <c r="B63" s="1384" t="str">
        <f>"Chicken Steak Mix 1 / " &amp; COUNTIF($C$53:$C$55, "&gt;0")</f>
        <v>Chicken Steak Mix 1 / 1</v>
      </c>
      <c r="C63" s="1385"/>
      <c r="D63" s="1385"/>
      <c r="E63" s="1385"/>
      <c r="F63" s="1385"/>
      <c r="G63" s="1385"/>
      <c r="H63" s="1385"/>
    </row>
    <row r="64" spans="1:10" ht="25.5" customHeight="1" x14ac:dyDescent="0.3">
      <c r="A64" s="91"/>
      <c r="B64" s="243" t="s">
        <v>253</v>
      </c>
      <c r="C64" s="244" t="s">
        <v>254</v>
      </c>
      <c r="D64" s="245" t="s">
        <v>243</v>
      </c>
      <c r="E64" s="218" t="s">
        <v>246</v>
      </c>
      <c r="F64" s="218" t="s">
        <v>255</v>
      </c>
      <c r="G64" s="245" t="s">
        <v>256</v>
      </c>
      <c r="H64" s="218" t="s">
        <v>257</v>
      </c>
    </row>
    <row r="65" spans="1:8" ht="14.25" customHeight="1" x14ac:dyDescent="0.3">
      <c r="A65" s="270" t="s">
        <v>230</v>
      </c>
      <c r="B65" s="294" t="str">
        <f t="shared" ref="B65:D74" si="14">B5</f>
        <v>Chicken - دجاج</v>
      </c>
      <c r="C65" s="294" t="str">
        <f t="shared" si="14"/>
        <v>gm</v>
      </c>
      <c r="D65" s="498">
        <f t="shared" si="14"/>
        <v>11303.389830508475</v>
      </c>
      <c r="E65" s="281">
        <f>H53</f>
        <v>4.9562896986054881</v>
      </c>
      <c r="F65" s="127">
        <f t="shared" ref="F65:F74" si="15">F5</f>
        <v>1</v>
      </c>
      <c r="G65" s="119">
        <f t="shared" ref="G65:G74" si="16">D65*E65</f>
        <v>56022.874576271191</v>
      </c>
      <c r="H65" s="120">
        <f t="shared" ref="H65:H74" si="17">G65*F65</f>
        <v>56022.874576271191</v>
      </c>
    </row>
    <row r="66" spans="1:8" ht="14.25" customHeight="1" x14ac:dyDescent="0.3">
      <c r="A66" s="270" t="s">
        <v>158</v>
      </c>
      <c r="B66" s="294" t="str">
        <f t="shared" si="14"/>
        <v>Butter - زبدة</v>
      </c>
      <c r="C66" s="294" t="str">
        <f t="shared" si="14"/>
        <v>gm</v>
      </c>
      <c r="D66" s="294">
        <f t="shared" si="14"/>
        <v>40</v>
      </c>
      <c r="E66" s="281">
        <f>$C$53</f>
        <v>4.9565039999999989</v>
      </c>
      <c r="F66" s="127">
        <f t="shared" si="15"/>
        <v>1</v>
      </c>
      <c r="G66" s="119">
        <f t="shared" si="16"/>
        <v>198.26015999999996</v>
      </c>
      <c r="H66" s="120">
        <f t="shared" si="17"/>
        <v>198.26015999999996</v>
      </c>
    </row>
    <row r="67" spans="1:8" ht="14.25" customHeight="1" x14ac:dyDescent="0.3">
      <c r="A67" s="270" t="s">
        <v>13</v>
      </c>
      <c r="B67" s="294" t="str">
        <f t="shared" si="14"/>
        <v>Garlic - ثوم مقشر</v>
      </c>
      <c r="C67" s="294" t="str">
        <f t="shared" si="14"/>
        <v>gm</v>
      </c>
      <c r="D67" s="294">
        <f t="shared" si="14"/>
        <v>40</v>
      </c>
      <c r="E67" s="281">
        <f t="shared" ref="E67:E74" si="18">$C$53</f>
        <v>4.9565039999999989</v>
      </c>
      <c r="F67" s="127">
        <f t="shared" si="15"/>
        <v>1</v>
      </c>
      <c r="G67" s="119">
        <f t="shared" si="16"/>
        <v>198.26015999999996</v>
      </c>
      <c r="H67" s="120">
        <f t="shared" si="17"/>
        <v>198.26015999999996</v>
      </c>
    </row>
    <row r="68" spans="1:8" ht="14.25" customHeight="1" x14ac:dyDescent="0.3">
      <c r="A68" s="270" t="s">
        <v>196</v>
      </c>
      <c r="B68" s="294" t="str">
        <f t="shared" si="14"/>
        <v>Tomato Ketchup - كاتشب طماطم</v>
      </c>
      <c r="C68" s="294" t="str">
        <f t="shared" si="14"/>
        <v>ml</v>
      </c>
      <c r="D68" s="294">
        <f t="shared" si="14"/>
        <v>300</v>
      </c>
      <c r="E68" s="281">
        <f>$C$53</f>
        <v>4.9565039999999989</v>
      </c>
      <c r="F68" s="127">
        <f t="shared" si="15"/>
        <v>1</v>
      </c>
      <c r="G68" s="119">
        <f t="shared" si="16"/>
        <v>1486.9511999999997</v>
      </c>
      <c r="H68" s="120">
        <f t="shared" si="17"/>
        <v>1486.9511999999997</v>
      </c>
    </row>
    <row r="69" spans="1:8" ht="14.25" customHeight="1" x14ac:dyDescent="0.3">
      <c r="A69" s="270" t="s">
        <v>196</v>
      </c>
      <c r="B69" s="294" t="str">
        <f t="shared" si="14"/>
        <v>Mustard - خردل</v>
      </c>
      <c r="C69" s="294" t="str">
        <f t="shared" si="14"/>
        <v>gm</v>
      </c>
      <c r="D69" s="294">
        <f t="shared" si="14"/>
        <v>90</v>
      </c>
      <c r="E69" s="281">
        <f t="shared" si="18"/>
        <v>4.9565039999999989</v>
      </c>
      <c r="F69" s="127">
        <f t="shared" si="15"/>
        <v>1</v>
      </c>
      <c r="G69" s="119">
        <f t="shared" si="16"/>
        <v>446.08535999999992</v>
      </c>
      <c r="H69" s="120">
        <f t="shared" si="17"/>
        <v>446.08535999999992</v>
      </c>
    </row>
    <row r="70" spans="1:8" ht="14.25" customHeight="1" x14ac:dyDescent="0.3">
      <c r="A70" s="270" t="s">
        <v>196</v>
      </c>
      <c r="B70" s="294" t="str">
        <f t="shared" si="14"/>
        <v>Tomato Paste - صلصة طماطم</v>
      </c>
      <c r="C70" s="294" t="str">
        <f t="shared" si="14"/>
        <v>gm</v>
      </c>
      <c r="D70" s="294">
        <f t="shared" si="14"/>
        <v>90</v>
      </c>
      <c r="E70" s="281">
        <f t="shared" si="18"/>
        <v>4.9565039999999989</v>
      </c>
      <c r="F70" s="127">
        <f t="shared" si="15"/>
        <v>1</v>
      </c>
      <c r="G70" s="119">
        <f t="shared" si="16"/>
        <v>446.08535999999992</v>
      </c>
      <c r="H70" s="120">
        <f t="shared" si="17"/>
        <v>446.08535999999992</v>
      </c>
    </row>
    <row r="71" spans="1:8" ht="14.25" customHeight="1" x14ac:dyDescent="0.3">
      <c r="A71" s="270" t="s">
        <v>196</v>
      </c>
      <c r="B71" s="294" t="str">
        <f t="shared" si="14"/>
        <v>Sriracha Sauce - صوص سريراتشا</v>
      </c>
      <c r="C71" s="294" t="str">
        <f t="shared" si="14"/>
        <v>ml</v>
      </c>
      <c r="D71" s="294">
        <f t="shared" si="14"/>
        <v>40</v>
      </c>
      <c r="E71" s="281">
        <f t="shared" si="18"/>
        <v>4.9565039999999989</v>
      </c>
      <c r="F71" s="127">
        <f t="shared" si="15"/>
        <v>1</v>
      </c>
      <c r="G71" s="119">
        <f t="shared" si="16"/>
        <v>198.26015999999996</v>
      </c>
      <c r="H71" s="120">
        <f t="shared" si="17"/>
        <v>198.26015999999996</v>
      </c>
    </row>
    <row r="72" spans="1:8" ht="14.25" customHeight="1" x14ac:dyDescent="0.3">
      <c r="A72" s="270" t="s">
        <v>83</v>
      </c>
      <c r="B72" s="294" t="str">
        <f t="shared" si="14"/>
        <v>Dry Oregano - أوريجانو مجفف</v>
      </c>
      <c r="C72" s="294" t="str">
        <f t="shared" si="14"/>
        <v>gm</v>
      </c>
      <c r="D72" s="294">
        <f t="shared" si="14"/>
        <v>1</v>
      </c>
      <c r="E72" s="281">
        <f t="shared" si="18"/>
        <v>4.9565039999999989</v>
      </c>
      <c r="F72" s="127">
        <f t="shared" si="15"/>
        <v>1</v>
      </c>
      <c r="G72" s="119">
        <f t="shared" si="16"/>
        <v>4.9565039999999989</v>
      </c>
      <c r="H72" s="120">
        <f t="shared" si="17"/>
        <v>4.9565039999999989</v>
      </c>
    </row>
    <row r="73" spans="1:8" ht="14.25" customHeight="1" x14ac:dyDescent="0.3">
      <c r="A73" s="270" t="s">
        <v>192</v>
      </c>
      <c r="B73" s="294" t="str">
        <f t="shared" si="14"/>
        <v>Corn Starch - نشا ذرة</v>
      </c>
      <c r="C73" s="294" t="str">
        <f t="shared" si="14"/>
        <v>gm</v>
      </c>
      <c r="D73" s="294">
        <f t="shared" si="14"/>
        <v>10</v>
      </c>
      <c r="E73" s="281">
        <f t="shared" si="18"/>
        <v>4.9565039999999989</v>
      </c>
      <c r="F73" s="127">
        <f t="shared" si="15"/>
        <v>1</v>
      </c>
      <c r="G73" s="119">
        <f t="shared" si="16"/>
        <v>49.565039999999989</v>
      </c>
      <c r="H73" s="120">
        <f t="shared" si="17"/>
        <v>49.565039999999989</v>
      </c>
    </row>
    <row r="74" spans="1:8" ht="14.25" customHeight="1" x14ac:dyDescent="0.3">
      <c r="A74" s="270" t="s">
        <v>158</v>
      </c>
      <c r="B74" s="294" t="str">
        <f t="shared" si="14"/>
        <v>Cooking Cream - كريمة طبخ</v>
      </c>
      <c r="C74" s="294" t="str">
        <f t="shared" si="14"/>
        <v>ml</v>
      </c>
      <c r="D74" s="294">
        <f t="shared" si="14"/>
        <v>400</v>
      </c>
      <c r="E74" s="281">
        <f t="shared" si="18"/>
        <v>4.9565039999999989</v>
      </c>
      <c r="F74" s="127">
        <f t="shared" si="15"/>
        <v>1</v>
      </c>
      <c r="G74" s="119">
        <f t="shared" si="16"/>
        <v>1982.6015999999995</v>
      </c>
      <c r="H74" s="120">
        <f t="shared" si="17"/>
        <v>1982.6015999999995</v>
      </c>
    </row>
    <row r="75" spans="1:8" ht="20.25" customHeight="1" x14ac:dyDescent="0.3">
      <c r="A75" s="211"/>
      <c r="B75" s="198" t="s">
        <v>299</v>
      </c>
      <c r="C75" s="200" t="s">
        <v>285</v>
      </c>
      <c r="D75" s="14"/>
      <c r="E75" s="200" t="s">
        <v>300</v>
      </c>
      <c r="F75" s="14"/>
      <c r="G75" s="890" t="s">
        <v>276</v>
      </c>
      <c r="H75" s="890" t="s">
        <v>733</v>
      </c>
    </row>
    <row r="76" spans="1:8" ht="28.25" customHeight="1" x14ac:dyDescent="0.4">
      <c r="A76" s="211"/>
      <c r="B76" s="199">
        <f>$J$53</f>
        <v>33053.495999999999</v>
      </c>
      <c r="C76" s="199">
        <f>E76+G76</f>
        <v>4956.503999999999</v>
      </c>
      <c r="D76" s="930"/>
      <c r="E76" s="199">
        <f>$D$53*$S$44</f>
        <v>4956.503999999999</v>
      </c>
      <c r="F76" s="934"/>
      <c r="G76" s="199">
        <f>$D$53*$T$44</f>
        <v>0</v>
      </c>
      <c r="H76" s="199">
        <f>B76+E76</f>
        <v>38010</v>
      </c>
    </row>
    <row r="77" spans="1:8" x14ac:dyDescent="0.3">
      <c r="C77" s="930"/>
      <c r="D77" s="930"/>
      <c r="E77" s="930"/>
      <c r="F77" s="930"/>
      <c r="G77" s="930"/>
      <c r="H77" s="930"/>
    </row>
    <row r="78" spans="1:8" ht="17.75" customHeight="1" x14ac:dyDescent="0.3">
      <c r="A78" s="265"/>
      <c r="B78" s="1382" t="str">
        <f>"ستيك دجاج ميكس 2 / " &amp; COUNTIF($C$53:$C$55, "&gt;0")</f>
        <v>ستيك دجاج ميكس 2 / 1</v>
      </c>
      <c r="C78" s="1388"/>
      <c r="D78" s="1388"/>
      <c r="E78" s="1388"/>
      <c r="F78" s="1388"/>
      <c r="G78" s="1388"/>
      <c r="H78" s="1388"/>
    </row>
    <row r="79" spans="1:8" ht="17.75" customHeight="1" x14ac:dyDescent="0.3">
      <c r="A79" s="265"/>
      <c r="B79" s="1384" t="str">
        <f>"Chicken Steak 2 / " &amp; COUNTIF($C$53:$C$55, "&gt;0")</f>
        <v>Chicken Steak 2 / 1</v>
      </c>
      <c r="C79" s="1410"/>
      <c r="D79" s="1410"/>
      <c r="E79" s="1410"/>
      <c r="F79" s="1410"/>
      <c r="G79" s="1410"/>
      <c r="H79" s="1410"/>
    </row>
    <row r="80" spans="1:8" ht="25.5" customHeight="1" x14ac:dyDescent="0.3">
      <c r="A80" s="91"/>
      <c r="B80" s="243" t="s">
        <v>253</v>
      </c>
      <c r="C80" s="244" t="s">
        <v>254</v>
      </c>
      <c r="D80" s="245" t="s">
        <v>243</v>
      </c>
      <c r="E80" s="218" t="s">
        <v>246</v>
      </c>
      <c r="F80" s="218" t="s">
        <v>255</v>
      </c>
      <c r="G80" s="245" t="s">
        <v>256</v>
      </c>
      <c r="H80" s="218" t="s">
        <v>257</v>
      </c>
    </row>
    <row r="81" spans="1:9" ht="14.25" customHeight="1" x14ac:dyDescent="0.3">
      <c r="A81" s="270" t="s">
        <v>230</v>
      </c>
      <c r="B81" s="294" t="str">
        <f t="shared" ref="B81:D90" si="19">B5</f>
        <v>Chicken - دجاج</v>
      </c>
      <c r="C81" s="294" t="str">
        <f t="shared" si="19"/>
        <v>gm</v>
      </c>
      <c r="D81" s="417">
        <f t="shared" si="19"/>
        <v>11303.389830508475</v>
      </c>
      <c r="E81" s="197">
        <f>H54</f>
        <v>0</v>
      </c>
      <c r="F81" s="127">
        <f t="shared" ref="F81:F90" si="20">F5</f>
        <v>1</v>
      </c>
      <c r="G81" s="119">
        <f t="shared" ref="G81:G90" si="21">D81*E81</f>
        <v>0</v>
      </c>
      <c r="H81" s="120">
        <f t="shared" ref="H81:H90" si="22">G81*F81</f>
        <v>0</v>
      </c>
    </row>
    <row r="82" spans="1:9" ht="14.25" customHeight="1" x14ac:dyDescent="0.3">
      <c r="A82" s="270" t="s">
        <v>158</v>
      </c>
      <c r="B82" s="294" t="str">
        <f t="shared" si="19"/>
        <v>Butter - زبدة</v>
      </c>
      <c r="C82" s="294" t="str">
        <f t="shared" si="19"/>
        <v>gm</v>
      </c>
      <c r="D82" s="294">
        <f t="shared" si="19"/>
        <v>40</v>
      </c>
      <c r="E82" s="197">
        <f t="shared" ref="E82:E90" si="23">$C$54</f>
        <v>0</v>
      </c>
      <c r="F82" s="127">
        <f t="shared" si="20"/>
        <v>1</v>
      </c>
      <c r="G82" s="119">
        <f t="shared" si="21"/>
        <v>0</v>
      </c>
      <c r="H82" s="120">
        <f t="shared" si="22"/>
        <v>0</v>
      </c>
    </row>
    <row r="83" spans="1:9" ht="14.25" customHeight="1" x14ac:dyDescent="0.3">
      <c r="A83" s="270" t="s">
        <v>13</v>
      </c>
      <c r="B83" s="294" t="str">
        <f t="shared" si="19"/>
        <v>Garlic - ثوم مقشر</v>
      </c>
      <c r="C83" s="294" t="str">
        <f t="shared" si="19"/>
        <v>gm</v>
      </c>
      <c r="D83" s="294">
        <f t="shared" si="19"/>
        <v>40</v>
      </c>
      <c r="E83" s="197">
        <f t="shared" si="23"/>
        <v>0</v>
      </c>
      <c r="F83" s="127">
        <f t="shared" si="20"/>
        <v>1</v>
      </c>
      <c r="G83" s="119">
        <f t="shared" si="21"/>
        <v>0</v>
      </c>
      <c r="H83" s="120">
        <f t="shared" si="22"/>
        <v>0</v>
      </c>
    </row>
    <row r="84" spans="1:9" ht="14.25" customHeight="1" x14ac:dyDescent="0.3">
      <c r="A84" s="270" t="s">
        <v>196</v>
      </c>
      <c r="B84" s="294" t="str">
        <f t="shared" si="19"/>
        <v>Tomato Ketchup - كاتشب طماطم</v>
      </c>
      <c r="C84" s="294" t="str">
        <f t="shared" si="19"/>
        <v>ml</v>
      </c>
      <c r="D84" s="294">
        <f t="shared" si="19"/>
        <v>300</v>
      </c>
      <c r="E84" s="197">
        <f t="shared" si="23"/>
        <v>0</v>
      </c>
      <c r="F84" s="127">
        <f t="shared" si="20"/>
        <v>1</v>
      </c>
      <c r="G84" s="119">
        <f t="shared" si="21"/>
        <v>0</v>
      </c>
      <c r="H84" s="120">
        <f t="shared" si="22"/>
        <v>0</v>
      </c>
    </row>
    <row r="85" spans="1:9" ht="14.25" customHeight="1" x14ac:dyDescent="0.3">
      <c r="A85" s="270" t="s">
        <v>196</v>
      </c>
      <c r="B85" s="294" t="str">
        <f t="shared" si="19"/>
        <v>Mustard - خردل</v>
      </c>
      <c r="C85" s="294" t="str">
        <f t="shared" si="19"/>
        <v>gm</v>
      </c>
      <c r="D85" s="294">
        <f t="shared" si="19"/>
        <v>90</v>
      </c>
      <c r="E85" s="197">
        <f t="shared" si="23"/>
        <v>0</v>
      </c>
      <c r="F85" s="127">
        <f t="shared" si="20"/>
        <v>1</v>
      </c>
      <c r="G85" s="119">
        <f t="shared" si="21"/>
        <v>0</v>
      </c>
      <c r="H85" s="120">
        <f t="shared" si="22"/>
        <v>0</v>
      </c>
    </row>
    <row r="86" spans="1:9" ht="14.25" customHeight="1" x14ac:dyDescent="0.3">
      <c r="A86" s="270" t="s">
        <v>196</v>
      </c>
      <c r="B86" s="294" t="str">
        <f t="shared" si="19"/>
        <v>Tomato Paste - صلصة طماطم</v>
      </c>
      <c r="C86" s="294" t="str">
        <f t="shared" si="19"/>
        <v>gm</v>
      </c>
      <c r="D86" s="294">
        <f t="shared" si="19"/>
        <v>90</v>
      </c>
      <c r="E86" s="197">
        <f t="shared" si="23"/>
        <v>0</v>
      </c>
      <c r="F86" s="127">
        <f t="shared" si="20"/>
        <v>1</v>
      </c>
      <c r="G86" s="119">
        <f t="shared" si="21"/>
        <v>0</v>
      </c>
      <c r="H86" s="120">
        <f t="shared" si="22"/>
        <v>0</v>
      </c>
    </row>
    <row r="87" spans="1:9" ht="14.25" customHeight="1" x14ac:dyDescent="0.3">
      <c r="A87" s="270" t="s">
        <v>196</v>
      </c>
      <c r="B87" s="294" t="str">
        <f t="shared" si="19"/>
        <v>Sriracha Sauce - صوص سريراتشا</v>
      </c>
      <c r="C87" s="294" t="str">
        <f t="shared" si="19"/>
        <v>ml</v>
      </c>
      <c r="D87" s="294">
        <f t="shared" si="19"/>
        <v>40</v>
      </c>
      <c r="E87" s="197">
        <f t="shared" si="23"/>
        <v>0</v>
      </c>
      <c r="F87" s="127">
        <f t="shared" si="20"/>
        <v>1</v>
      </c>
      <c r="G87" s="119">
        <f t="shared" si="21"/>
        <v>0</v>
      </c>
      <c r="H87" s="120">
        <f t="shared" si="22"/>
        <v>0</v>
      </c>
    </row>
    <row r="88" spans="1:9" ht="14.25" customHeight="1" x14ac:dyDescent="0.3">
      <c r="A88" s="270" t="s">
        <v>83</v>
      </c>
      <c r="B88" s="294" t="str">
        <f t="shared" si="19"/>
        <v>Dry Oregano - أوريجانو مجفف</v>
      </c>
      <c r="C88" s="294" t="str">
        <f t="shared" si="19"/>
        <v>gm</v>
      </c>
      <c r="D88" s="294">
        <f t="shared" si="19"/>
        <v>1</v>
      </c>
      <c r="E88" s="197">
        <f t="shared" si="23"/>
        <v>0</v>
      </c>
      <c r="F88" s="127">
        <f t="shared" si="20"/>
        <v>1</v>
      </c>
      <c r="G88" s="119">
        <f t="shared" si="21"/>
        <v>0</v>
      </c>
      <c r="H88" s="120">
        <f t="shared" si="22"/>
        <v>0</v>
      </c>
    </row>
    <row r="89" spans="1:9" ht="14.25" customHeight="1" x14ac:dyDescent="0.3">
      <c r="A89" s="270" t="s">
        <v>192</v>
      </c>
      <c r="B89" s="294" t="str">
        <f t="shared" si="19"/>
        <v>Corn Starch - نشا ذرة</v>
      </c>
      <c r="C89" s="294" t="str">
        <f t="shared" si="19"/>
        <v>gm</v>
      </c>
      <c r="D89" s="294">
        <f t="shared" si="19"/>
        <v>10</v>
      </c>
      <c r="E89" s="197">
        <f t="shared" si="23"/>
        <v>0</v>
      </c>
      <c r="F89" s="127">
        <f t="shared" si="20"/>
        <v>1</v>
      </c>
      <c r="G89" s="119">
        <f t="shared" si="21"/>
        <v>0</v>
      </c>
      <c r="H89" s="120">
        <f t="shared" si="22"/>
        <v>0</v>
      </c>
    </row>
    <row r="90" spans="1:9" ht="14.25" customHeight="1" x14ac:dyDescent="0.3">
      <c r="A90" s="270" t="s">
        <v>158</v>
      </c>
      <c r="B90" s="294" t="str">
        <f t="shared" si="19"/>
        <v>Cooking Cream - كريمة طبخ</v>
      </c>
      <c r="C90" s="294" t="str">
        <f t="shared" si="19"/>
        <v>ml</v>
      </c>
      <c r="D90" s="294">
        <f t="shared" si="19"/>
        <v>400</v>
      </c>
      <c r="E90" s="197">
        <f t="shared" si="23"/>
        <v>0</v>
      </c>
      <c r="F90" s="127">
        <f t="shared" si="20"/>
        <v>1</v>
      </c>
      <c r="G90" s="119">
        <f t="shared" si="21"/>
        <v>0</v>
      </c>
      <c r="H90" s="120">
        <f t="shared" si="22"/>
        <v>0</v>
      </c>
    </row>
    <row r="91" spans="1:9" ht="20.25" customHeight="1" x14ac:dyDescent="0.3">
      <c r="A91" s="211"/>
      <c r="B91" s="198" t="s">
        <v>299</v>
      </c>
      <c r="C91" s="200" t="s">
        <v>285</v>
      </c>
      <c r="D91" s="14"/>
      <c r="E91" s="200" t="s">
        <v>300</v>
      </c>
      <c r="F91" s="14"/>
      <c r="G91" s="890" t="s">
        <v>276</v>
      </c>
      <c r="H91" s="890" t="s">
        <v>733</v>
      </c>
      <c r="I91" s="204"/>
    </row>
    <row r="92" spans="1:9" ht="20" x14ac:dyDescent="0.4">
      <c r="A92" s="211"/>
      <c r="B92" s="199">
        <f>$J$54</f>
        <v>0</v>
      </c>
      <c r="C92" s="199">
        <f>E92+G92</f>
        <v>0</v>
      </c>
      <c r="D92" s="930"/>
      <c r="E92" s="199">
        <f>$D$54*$S$44</f>
        <v>0</v>
      </c>
      <c r="F92" s="934"/>
      <c r="G92" s="199">
        <f>$D$54*$T$44</f>
        <v>0</v>
      </c>
      <c r="H92" s="199">
        <f>B92+E92</f>
        <v>0</v>
      </c>
    </row>
    <row r="93" spans="1:9" x14ac:dyDescent="0.3">
      <c r="C93" s="930"/>
      <c r="D93" s="930"/>
      <c r="E93" s="930"/>
      <c r="F93" s="930"/>
      <c r="G93" s="930"/>
      <c r="H93" s="930"/>
    </row>
  </sheetData>
  <mergeCells count="11">
    <mergeCell ref="AK2:AM2"/>
    <mergeCell ref="B2:J3"/>
    <mergeCell ref="AE2:AG3"/>
    <mergeCell ref="B79:H79"/>
    <mergeCell ref="R26:U26"/>
    <mergeCell ref="R25:U25"/>
    <mergeCell ref="B62:H62"/>
    <mergeCell ref="B78:H78"/>
    <mergeCell ref="K2:K3"/>
    <mergeCell ref="B63:H63"/>
    <mergeCell ref="B35:F35"/>
  </mergeCells>
  <printOptions horizontalCentered="1"/>
  <pageMargins left="0.4" right="0.4" top="1" bottom="0.5" header="0.3" footer="0.511811023622047"/>
  <pageSetup paperSize="9" scale="48" orientation="landscape"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rgb="FF7C7C7C"/>
    <pageSetUpPr fitToPage="1"/>
  </sheetPr>
  <dimension ref="A1:AG101"/>
  <sheetViews>
    <sheetView topLeftCell="A4" zoomScale="55" zoomScaleNormal="55" workbookViewId="0">
      <selection activeCell="Z24" sqref="Z24"/>
    </sheetView>
  </sheetViews>
  <sheetFormatPr defaultColWidth="12.5" defaultRowHeight="14" x14ac:dyDescent="0.3"/>
  <cols>
    <col min="1" max="1" width="12.5" style="1" customWidth="1"/>
    <col min="2" max="2" width="22.58203125" customWidth="1"/>
    <col min="3" max="3" width="23.9140625" customWidth="1"/>
    <col min="4" max="4" width="19" customWidth="1"/>
    <col min="5" max="5" width="16.1640625" customWidth="1"/>
    <col min="6" max="6" width="23.08203125" customWidth="1"/>
    <col min="7" max="7" width="25.1640625" customWidth="1"/>
    <col min="8" max="8" width="36.1640625" customWidth="1"/>
    <col min="9" max="9" width="14.9140625" customWidth="1"/>
    <col min="12" max="12" width="8.33203125" customWidth="1"/>
    <col min="13" max="14" width="5.75" customWidth="1"/>
    <col min="18" max="18" width="30.5" customWidth="1"/>
    <col min="19" max="19" width="21.08203125" customWidth="1"/>
  </cols>
  <sheetData>
    <row r="1" spans="1:33" ht="53.75" customHeight="1" x14ac:dyDescent="0.3">
      <c r="B1" s="80" t="s">
        <v>243</v>
      </c>
      <c r="C1" s="81">
        <v>1000</v>
      </c>
      <c r="D1" s="82" t="s">
        <v>244</v>
      </c>
      <c r="E1" s="117">
        <f>S31</f>
        <v>13003.333333333332</v>
      </c>
      <c r="F1" s="80" t="s">
        <v>245</v>
      </c>
      <c r="G1" s="249">
        <f>E1/C1</f>
        <v>13.003333333333332</v>
      </c>
      <c r="H1" s="80" t="s">
        <v>246</v>
      </c>
      <c r="I1" s="249">
        <f>(G1/K1)</f>
        <v>13.003333333333332</v>
      </c>
      <c r="J1" s="86" t="s">
        <v>247</v>
      </c>
      <c r="K1" s="249">
        <v>1</v>
      </c>
      <c r="L1" s="100"/>
      <c r="M1" s="89"/>
      <c r="N1" s="90"/>
      <c r="O1" s="91" t="s">
        <v>248</v>
      </c>
      <c r="P1" s="92" t="s">
        <v>249</v>
      </c>
      <c r="Q1" s="93" t="s">
        <v>250</v>
      </c>
      <c r="R1" s="92">
        <v>0.59</v>
      </c>
      <c r="Y1" s="91" t="s">
        <v>479</v>
      </c>
      <c r="Z1" s="847">
        <v>37510</v>
      </c>
      <c r="AA1" s="91" t="s">
        <v>600</v>
      </c>
      <c r="AB1" s="847">
        <v>500</v>
      </c>
      <c r="AC1" s="91" t="s">
        <v>587</v>
      </c>
      <c r="AD1" s="847">
        <v>253</v>
      </c>
    </row>
    <row r="2" spans="1:33" ht="12.75" customHeight="1" x14ac:dyDescent="0.3">
      <c r="A2" s="265"/>
      <c r="B2" s="1477" t="s">
        <v>95</v>
      </c>
      <c r="C2" s="1422"/>
      <c r="D2" s="1422"/>
      <c r="E2" s="1422"/>
      <c r="F2" s="1422"/>
      <c r="G2" s="1422"/>
      <c r="H2" s="1422"/>
      <c r="I2" s="1422"/>
      <c r="J2" s="1422"/>
      <c r="K2" s="1387"/>
      <c r="L2" s="293"/>
      <c r="M2" s="100"/>
      <c r="N2" s="100"/>
      <c r="O2" s="100"/>
      <c r="P2" s="100"/>
      <c r="Q2" s="100"/>
      <c r="R2" s="100"/>
      <c r="AE2" s="1396"/>
      <c r="AF2" s="1422"/>
      <c r="AG2" s="1422"/>
    </row>
    <row r="3" spans="1:33" ht="12.75" customHeight="1" x14ac:dyDescent="0.3">
      <c r="A3" s="265"/>
      <c r="B3" s="1388"/>
      <c r="C3" s="1388"/>
      <c r="D3" s="1388"/>
      <c r="E3" s="1388"/>
      <c r="F3" s="1388"/>
      <c r="G3" s="1388"/>
      <c r="H3" s="1388"/>
      <c r="I3" s="1388"/>
      <c r="J3" s="1388"/>
      <c r="K3" s="1388"/>
      <c r="L3" s="293"/>
      <c r="M3" s="100"/>
      <c r="N3" s="100"/>
      <c r="O3" s="100"/>
      <c r="P3" s="100"/>
      <c r="Q3" s="100"/>
      <c r="R3" s="100"/>
      <c r="AE3" s="1422"/>
      <c r="AF3" s="1422"/>
      <c r="AG3" s="1422"/>
    </row>
    <row r="4" spans="1:33" ht="35.25" customHeight="1" x14ac:dyDescent="0.3">
      <c r="A4" s="91" t="s">
        <v>1</v>
      </c>
      <c r="B4" s="91" t="s">
        <v>253</v>
      </c>
      <c r="C4" s="107" t="s">
        <v>254</v>
      </c>
      <c r="D4" s="91" t="s">
        <v>243</v>
      </c>
      <c r="E4" s="108" t="s">
        <v>246</v>
      </c>
      <c r="F4" s="108" t="s">
        <v>255</v>
      </c>
      <c r="G4" s="91" t="s">
        <v>256</v>
      </c>
      <c r="H4" s="331" t="s">
        <v>347</v>
      </c>
      <c r="I4" s="91" t="s">
        <v>258</v>
      </c>
      <c r="J4" s="91" t="s">
        <v>259</v>
      </c>
      <c r="K4" s="91" t="s">
        <v>260</v>
      </c>
      <c r="L4" s="91" t="s">
        <v>261</v>
      </c>
      <c r="M4" s="100"/>
      <c r="N4" s="100"/>
      <c r="O4" s="100"/>
      <c r="P4" s="100"/>
    </row>
    <row r="5" spans="1:33" ht="14.25" customHeight="1" x14ac:dyDescent="0.3">
      <c r="A5" s="270" t="s">
        <v>158</v>
      </c>
      <c r="B5" s="222" t="s">
        <v>164</v>
      </c>
      <c r="C5" s="124" t="s">
        <v>165</v>
      </c>
      <c r="D5" s="125">
        <v>550</v>
      </c>
      <c r="E5" s="223">
        <f t="shared" ref="E5:E12" si="0">$I$1</f>
        <v>13.003333333333332</v>
      </c>
      <c r="F5" s="127">
        <v>1</v>
      </c>
      <c r="G5" s="119">
        <f t="shared" ref="G5:G12" si="1">D5*E5</f>
        <v>7151.833333333333</v>
      </c>
      <c r="H5" s="120">
        <f t="shared" ref="H5:H12" si="2">G5*F5</f>
        <v>7151.833333333333</v>
      </c>
      <c r="I5" s="81">
        <f>VLOOKUP(B5,All_Ingredients!$A$1:$F$151,6,FALSE())</f>
        <v>1</v>
      </c>
      <c r="J5" s="119">
        <f>VLOOKUP(B5,All_Ingredients!$A$1:$J$151,10,FALSE())</f>
        <v>4.2033333333333331</v>
      </c>
      <c r="K5" s="122">
        <f t="shared" ref="K5" si="3">(H5/I5)/1000</f>
        <v>7.1518333333333333</v>
      </c>
      <c r="L5" s="122">
        <f t="shared" ref="L5" si="4">K5*J5</f>
        <v>30.061539444444442</v>
      </c>
      <c r="M5" s="100"/>
      <c r="N5" s="100"/>
      <c r="O5" s="100"/>
      <c r="P5" s="100"/>
    </row>
    <row r="6" spans="1:33" ht="14.25" customHeight="1" x14ac:dyDescent="0.3">
      <c r="A6" s="270" t="s">
        <v>158</v>
      </c>
      <c r="B6" s="222" t="s">
        <v>171</v>
      </c>
      <c r="C6" s="124" t="s">
        <v>165</v>
      </c>
      <c r="D6" s="125">
        <v>550</v>
      </c>
      <c r="E6" s="223">
        <f t="shared" si="0"/>
        <v>13.003333333333332</v>
      </c>
      <c r="F6" s="127">
        <v>1</v>
      </c>
      <c r="G6" s="119">
        <f t="shared" si="1"/>
        <v>7151.833333333333</v>
      </c>
      <c r="H6" s="120">
        <f t="shared" si="2"/>
        <v>7151.833333333333</v>
      </c>
      <c r="I6" s="81">
        <f>VLOOKUP(B6,All_Ingredients!$A$1:$F$151,6,FALSE())</f>
        <v>1</v>
      </c>
      <c r="J6" s="119">
        <f>VLOOKUP(B6,All_Ingredients!$A$1:$J$151,10,FALSE())</f>
        <v>12.666666666666666</v>
      </c>
      <c r="K6" s="122">
        <f t="shared" ref="K6:K12" si="5">(H6/I6)/1000</f>
        <v>7.1518333333333333</v>
      </c>
      <c r="L6" s="122">
        <f t="shared" ref="L6:L12" si="6">K6*J6</f>
        <v>90.589888888888879</v>
      </c>
    </row>
    <row r="7" spans="1:33" ht="14.25" customHeight="1" x14ac:dyDescent="0.3">
      <c r="A7" s="270" t="s">
        <v>158</v>
      </c>
      <c r="B7" s="222" t="s">
        <v>157</v>
      </c>
      <c r="C7" s="124" t="s">
        <v>14</v>
      </c>
      <c r="D7" s="125">
        <v>30</v>
      </c>
      <c r="E7" s="223">
        <f t="shared" si="0"/>
        <v>13.003333333333332</v>
      </c>
      <c r="F7" s="127">
        <v>1</v>
      </c>
      <c r="G7" s="119">
        <f t="shared" si="1"/>
        <v>390.09999999999997</v>
      </c>
      <c r="H7" s="120">
        <f t="shared" si="2"/>
        <v>390.09999999999997</v>
      </c>
      <c r="I7" s="81">
        <f>VLOOKUP(B7,All_Ingredients!$A$1:$F$151,6,FALSE())</f>
        <v>1</v>
      </c>
      <c r="J7" s="119">
        <f>VLOOKUP(B7,All_Ingredients!$A$1:$J$151,10,FALSE())</f>
        <v>30</v>
      </c>
      <c r="K7" s="122">
        <f t="shared" si="5"/>
        <v>0.39009999999999995</v>
      </c>
      <c r="L7" s="122">
        <f t="shared" si="6"/>
        <v>11.702999999999998</v>
      </c>
    </row>
    <row r="8" spans="1:33" ht="14.25" customHeight="1" x14ac:dyDescent="0.3">
      <c r="A8" s="270" t="s">
        <v>192</v>
      </c>
      <c r="B8" s="222" t="s">
        <v>191</v>
      </c>
      <c r="C8" s="124" t="s">
        <v>14</v>
      </c>
      <c r="D8" s="125">
        <v>20</v>
      </c>
      <c r="E8" s="223">
        <f t="shared" si="0"/>
        <v>13.003333333333332</v>
      </c>
      <c r="F8" s="127">
        <v>1</v>
      </c>
      <c r="G8" s="119">
        <f t="shared" si="1"/>
        <v>260.06666666666666</v>
      </c>
      <c r="H8" s="120">
        <f t="shared" si="2"/>
        <v>260.06666666666666</v>
      </c>
      <c r="I8" s="81">
        <f>VLOOKUP(B8,All_Ingredients!$A$1:$F$151,6,FALSE())</f>
        <v>1</v>
      </c>
      <c r="J8" s="119">
        <f>VLOOKUP(B8,All_Ingredients!$A$1:$J$151,10,FALSE())</f>
        <v>1.7</v>
      </c>
      <c r="K8" s="122">
        <f t="shared" si="5"/>
        <v>0.26006666666666667</v>
      </c>
      <c r="L8" s="122">
        <f t="shared" si="6"/>
        <v>0.4421133333333333</v>
      </c>
    </row>
    <row r="9" spans="1:33" ht="14.25" customHeight="1" x14ac:dyDescent="0.3">
      <c r="A9" s="270" t="s">
        <v>97</v>
      </c>
      <c r="B9" s="222" t="s">
        <v>144</v>
      </c>
      <c r="C9" s="124" t="s">
        <v>14</v>
      </c>
      <c r="D9" s="125">
        <v>18</v>
      </c>
      <c r="E9" s="223">
        <f t="shared" si="0"/>
        <v>13.003333333333332</v>
      </c>
      <c r="F9" s="127">
        <v>0.75</v>
      </c>
      <c r="G9" s="119">
        <f t="shared" si="1"/>
        <v>234.05999999999997</v>
      </c>
      <c r="H9" s="120">
        <f t="shared" si="2"/>
        <v>175.54499999999999</v>
      </c>
      <c r="I9" s="81">
        <f>VLOOKUP(B9,All_Ingredients!$A$1:$F$151,6,FALSE())</f>
        <v>1</v>
      </c>
      <c r="J9" s="119">
        <f>VLOOKUP(B9,All_Ingredients!$A$1:$J$151,10,FALSE())</f>
        <v>15.277777777777779</v>
      </c>
      <c r="K9" s="122">
        <f t="shared" si="5"/>
        <v>0.17554499999999998</v>
      </c>
      <c r="L9" s="122">
        <f t="shared" si="6"/>
        <v>2.6819374999999996</v>
      </c>
    </row>
    <row r="10" spans="1:33" ht="14.25" customHeight="1" x14ac:dyDescent="0.3">
      <c r="A10" s="270" t="s">
        <v>97</v>
      </c>
      <c r="B10" s="222" t="s">
        <v>104</v>
      </c>
      <c r="C10" s="124" t="s">
        <v>14</v>
      </c>
      <c r="D10" s="125">
        <v>5</v>
      </c>
      <c r="E10" s="223">
        <f t="shared" si="0"/>
        <v>13.003333333333332</v>
      </c>
      <c r="F10" s="127">
        <v>0.75</v>
      </c>
      <c r="G10" s="119">
        <f t="shared" si="1"/>
        <v>65.016666666666666</v>
      </c>
      <c r="H10" s="120">
        <f t="shared" si="2"/>
        <v>48.762500000000003</v>
      </c>
      <c r="I10" s="81">
        <f>VLOOKUP(B10,All_Ingredients!$A$1:$F$151,6,FALSE())</f>
        <v>1</v>
      </c>
      <c r="J10" s="119">
        <f>VLOOKUP(B10,All_Ingredients!$A$1:$J$151,10,FALSE())</f>
        <v>47</v>
      </c>
      <c r="K10" s="122">
        <f t="shared" si="5"/>
        <v>4.87625E-2</v>
      </c>
      <c r="L10" s="122">
        <f t="shared" si="6"/>
        <v>2.2918375000000002</v>
      </c>
    </row>
    <row r="11" spans="1:33" ht="14.25" customHeight="1" x14ac:dyDescent="0.3">
      <c r="A11" s="270" t="s">
        <v>97</v>
      </c>
      <c r="B11" s="222" t="s">
        <v>96</v>
      </c>
      <c r="C11" s="124" t="s">
        <v>14</v>
      </c>
      <c r="D11" s="125">
        <v>4</v>
      </c>
      <c r="E11" s="223">
        <f t="shared" si="0"/>
        <v>13.003333333333332</v>
      </c>
      <c r="F11" s="127">
        <v>0.75</v>
      </c>
      <c r="G11" s="119">
        <f t="shared" si="1"/>
        <v>52.013333333333328</v>
      </c>
      <c r="H11" s="120">
        <f t="shared" si="2"/>
        <v>39.01</v>
      </c>
      <c r="I11" s="81">
        <f>VLOOKUP(B11,All_Ingredients!$A$1:$F$151,6,FALSE())</f>
        <v>1</v>
      </c>
      <c r="J11" s="119">
        <f>VLOOKUP(B11,All_Ingredients!$A$1:$J$151,10,FALSE())</f>
        <v>0.74</v>
      </c>
      <c r="K11" s="122">
        <f t="shared" si="5"/>
        <v>3.9009999999999996E-2</v>
      </c>
      <c r="L11" s="122">
        <f t="shared" si="6"/>
        <v>2.8867399999999998E-2</v>
      </c>
    </row>
    <row r="12" spans="1:33" ht="14.25" customHeight="1" x14ac:dyDescent="0.3">
      <c r="A12" s="270" t="s">
        <v>13</v>
      </c>
      <c r="B12" s="267" t="s">
        <v>12</v>
      </c>
      <c r="C12" s="124" t="s">
        <v>14</v>
      </c>
      <c r="D12" s="125">
        <v>30</v>
      </c>
      <c r="E12" s="223">
        <f t="shared" si="0"/>
        <v>13.003333333333332</v>
      </c>
      <c r="F12" s="127">
        <v>0.95</v>
      </c>
      <c r="G12" s="119">
        <f t="shared" si="1"/>
        <v>390.09999999999997</v>
      </c>
      <c r="H12" s="120">
        <f t="shared" si="2"/>
        <v>370.59499999999997</v>
      </c>
      <c r="I12" s="81">
        <f>VLOOKUP(B12,All_Ingredients!$A$1:$F$151,6,FALSE())</f>
        <v>0.9</v>
      </c>
      <c r="J12" s="119">
        <f>VLOOKUP(B12,All_Ingredients!$A$1:$J$151,10,FALSE())</f>
        <v>3</v>
      </c>
      <c r="K12" s="122">
        <f t="shared" si="5"/>
        <v>0.41177222222222221</v>
      </c>
      <c r="L12" s="122">
        <f t="shared" si="6"/>
        <v>1.2353166666666666</v>
      </c>
    </row>
    <row r="16" spans="1:33" ht="14.25" customHeight="1" x14ac:dyDescent="0.3">
      <c r="E16" s="100"/>
      <c r="F16" s="100"/>
      <c r="G16" s="179"/>
      <c r="H16" s="179"/>
      <c r="I16" s="179"/>
      <c r="J16" s="179"/>
      <c r="L16" s="209"/>
    </row>
    <row r="17" spans="2:30" ht="14.25" customHeight="1" x14ac:dyDescent="0.3">
      <c r="E17" s="100"/>
      <c r="F17" s="100"/>
      <c r="G17" s="179"/>
      <c r="H17" s="298"/>
      <c r="I17" s="298"/>
      <c r="J17" s="319"/>
      <c r="L17" s="209"/>
    </row>
    <row r="18" spans="2:30" ht="14.25" customHeight="1" x14ac:dyDescent="0.3">
      <c r="E18" s="100"/>
      <c r="F18" s="100"/>
      <c r="G18" s="179"/>
      <c r="H18" s="298"/>
      <c r="I18" s="298"/>
      <c r="J18" s="319"/>
      <c r="L18" s="209"/>
    </row>
    <row r="19" spans="2:30" ht="14.25" customHeight="1" x14ac:dyDescent="0.3">
      <c r="E19" s="100"/>
      <c r="F19" s="100"/>
      <c r="G19" s="179"/>
      <c r="H19" s="298"/>
      <c r="I19" s="298"/>
      <c r="J19" s="319"/>
      <c r="L19" s="209"/>
      <c r="R19" s="5"/>
      <c r="S19" s="275" t="s">
        <v>321</v>
      </c>
    </row>
    <row r="20" spans="2:30" ht="14.25" customHeight="1" x14ac:dyDescent="0.3">
      <c r="E20" s="100"/>
      <c r="F20" s="100"/>
      <c r="G20" s="179"/>
      <c r="H20" s="298"/>
      <c r="I20" s="298"/>
      <c r="J20" s="319"/>
      <c r="L20" s="209"/>
    </row>
    <row r="21" spans="2:30" ht="14.25" customHeight="1" x14ac:dyDescent="0.3">
      <c r="B21" s="100"/>
      <c r="E21" s="100"/>
      <c r="F21" s="100"/>
      <c r="L21" s="209"/>
    </row>
    <row r="22" spans="2:30" ht="14.25" customHeight="1" x14ac:dyDescent="0.3">
      <c r="B22" s="100"/>
      <c r="E22" s="100"/>
      <c r="F22" s="100"/>
      <c r="L22" s="209"/>
    </row>
    <row r="23" spans="2:30" ht="14.25" customHeight="1" x14ac:dyDescent="0.3">
      <c r="B23" s="100"/>
      <c r="E23" s="100"/>
      <c r="F23" s="100"/>
      <c r="L23" s="209"/>
    </row>
    <row r="24" spans="2:30" ht="14.25" customHeight="1" x14ac:dyDescent="0.3">
      <c r="B24" s="100"/>
      <c r="E24" s="100"/>
      <c r="F24" s="100"/>
      <c r="L24" s="209"/>
      <c r="Z24" s="1294"/>
    </row>
    <row r="25" spans="2:30" ht="14.75" customHeight="1" x14ac:dyDescent="0.35">
      <c r="B25" s="100"/>
      <c r="E25" s="100"/>
      <c r="F25" s="100"/>
      <c r="R25" s="1411" t="s">
        <v>711</v>
      </c>
      <c r="S25" s="1388"/>
      <c r="T25" s="1388"/>
      <c r="Z25" s="141" t="s">
        <v>264</v>
      </c>
      <c r="AA25" s="142">
        <v>14203</v>
      </c>
      <c r="AB25" s="141" t="s">
        <v>261</v>
      </c>
      <c r="AC25" s="143">
        <f>(T34/T31)*AA25</f>
        <v>151.86160066000002</v>
      </c>
    </row>
    <row r="26" spans="2:30" ht="19.5" customHeight="1" x14ac:dyDescent="0.3">
      <c r="B26" s="100"/>
      <c r="E26" s="100"/>
      <c r="F26" s="100"/>
      <c r="R26" s="499" t="s">
        <v>265</v>
      </c>
      <c r="S26" s="500"/>
      <c r="T26" s="500"/>
      <c r="AA26" s="14"/>
      <c r="AB26" s="14"/>
      <c r="AC26" s="14"/>
      <c r="AD26" s="14"/>
    </row>
    <row r="27" spans="2:30" ht="20.75" customHeight="1" thickBot="1" x14ac:dyDescent="0.35">
      <c r="B27" s="100"/>
      <c r="E27" s="100"/>
      <c r="F27" s="100"/>
      <c r="R27" s="145" t="s">
        <v>266</v>
      </c>
      <c r="S27" s="146" t="s">
        <v>268</v>
      </c>
      <c r="T27" s="146" t="s">
        <v>269</v>
      </c>
    </row>
    <row r="28" spans="2:30" ht="14.25" customHeight="1" thickBot="1" x14ac:dyDescent="0.35">
      <c r="B28" s="100"/>
      <c r="E28" s="100"/>
      <c r="F28" s="100"/>
      <c r="R28" s="148" t="s">
        <v>275</v>
      </c>
      <c r="S28" s="149"/>
      <c r="T28" s="150">
        <f>$Z$1</f>
        <v>37510</v>
      </c>
    </row>
    <row r="29" spans="2:30" ht="14.25" customHeight="1" thickBot="1" x14ac:dyDescent="0.35">
      <c r="B29" s="100"/>
      <c r="E29" s="100"/>
      <c r="F29" s="100"/>
      <c r="R29" s="148" t="s">
        <v>276</v>
      </c>
      <c r="S29" s="1311">
        <f>T28*(1/3)</f>
        <v>12503.333333333332</v>
      </c>
      <c r="T29" s="149">
        <f>S29</f>
        <v>12503.333333333332</v>
      </c>
    </row>
    <row r="30" spans="2:30" ht="14.25" customHeight="1" thickBot="1" x14ac:dyDescent="0.35">
      <c r="B30" s="100"/>
      <c r="E30" s="100"/>
      <c r="F30" s="100"/>
      <c r="R30" s="148" t="s">
        <v>277</v>
      </c>
      <c r="S30" s="1236">
        <f>$AB$1</f>
        <v>500</v>
      </c>
      <c r="T30" s="155">
        <f>S30</f>
        <v>500</v>
      </c>
    </row>
    <row r="31" spans="2:30" ht="14.25" customHeight="1" thickBot="1" x14ac:dyDescent="0.35">
      <c r="B31" s="100"/>
      <c r="E31" s="100"/>
      <c r="F31" s="100"/>
      <c r="R31" s="160" t="s">
        <v>269</v>
      </c>
      <c r="S31" s="149">
        <f>SUM(S28:S30)</f>
        <v>13003.333333333332</v>
      </c>
      <c r="T31" s="149">
        <f>S31</f>
        <v>13003.333333333332</v>
      </c>
    </row>
    <row r="32" spans="2:30" ht="14.25" customHeight="1" thickBot="1" x14ac:dyDescent="0.35">
      <c r="R32" s="161" t="s">
        <v>280</v>
      </c>
      <c r="S32" s="155"/>
      <c r="T32" s="155"/>
    </row>
    <row r="33" spans="17:20" ht="14.25" customHeight="1" thickBot="1" x14ac:dyDescent="0.35">
      <c r="R33" s="162" t="s">
        <v>281</v>
      </c>
      <c r="S33" s="149"/>
      <c r="T33" s="155"/>
    </row>
    <row r="34" spans="17:20" ht="14.25" customHeight="1" thickBot="1" x14ac:dyDescent="0.35">
      <c r="R34" s="163" t="s">
        <v>261</v>
      </c>
      <c r="S34" s="1144">
        <f>SUM(L5:L12)</f>
        <v>139.03450073333335</v>
      </c>
      <c r="T34" s="1240">
        <f>S34</f>
        <v>139.03450073333335</v>
      </c>
    </row>
    <row r="35" spans="17:20" ht="14.25" customHeight="1" x14ac:dyDescent="0.3"/>
    <row r="39" spans="17:20" x14ac:dyDescent="0.3">
      <c r="R39" s="390"/>
      <c r="S39" s="501"/>
      <c r="T39" s="390"/>
    </row>
    <row r="40" spans="17:20" ht="26.75" customHeight="1" x14ac:dyDescent="0.3">
      <c r="Q40" s="14"/>
      <c r="R40" s="14"/>
      <c r="S40" s="14"/>
      <c r="T40" s="14"/>
    </row>
    <row r="41" spans="17:20" ht="14.25" customHeight="1" x14ac:dyDescent="0.3">
      <c r="Q41" s="14"/>
      <c r="R41" s="14"/>
      <c r="S41" s="14"/>
      <c r="T41" s="14"/>
    </row>
    <row r="42" spans="17:20" ht="14.25" customHeight="1" x14ac:dyDescent="0.3">
      <c r="Q42" s="14"/>
      <c r="R42" s="321"/>
      <c r="S42" s="321"/>
      <c r="T42" s="321"/>
    </row>
    <row r="43" spans="17:20" ht="14.25" customHeight="1" x14ac:dyDescent="0.3">
      <c r="Q43" s="321"/>
      <c r="R43" s="389"/>
      <c r="S43" s="392"/>
      <c r="T43" s="502"/>
    </row>
    <row r="44" spans="17:20" ht="14.25" customHeight="1" x14ac:dyDescent="0.3">
      <c r="Q44" s="14"/>
    </row>
    <row r="50" spans="1:8" x14ac:dyDescent="0.3">
      <c r="B50" s="276"/>
      <c r="C50" s="145" t="s">
        <v>245</v>
      </c>
      <c r="D50" s="145" t="s">
        <v>291</v>
      </c>
    </row>
    <row r="51" spans="1:8" x14ac:dyDescent="0.3">
      <c r="B51" s="180" t="s">
        <v>295</v>
      </c>
      <c r="C51" s="181">
        <f>10/$K$1</f>
        <v>10</v>
      </c>
      <c r="D51" s="182">
        <f>$C$1*10</f>
        <v>10000</v>
      </c>
    </row>
    <row r="52" spans="1:8" x14ac:dyDescent="0.3">
      <c r="B52" s="231" t="s">
        <v>274</v>
      </c>
      <c r="C52" s="232">
        <f>$I$1</f>
        <v>13.003333333333332</v>
      </c>
      <c r="D52" s="233">
        <f>$E$1</f>
        <v>13003.333333333332</v>
      </c>
    </row>
    <row r="53" spans="1:8" x14ac:dyDescent="0.3">
      <c r="B53" s="231" t="s">
        <v>296</v>
      </c>
      <c r="C53" s="234">
        <f>MIN(C52, C51)</f>
        <v>10</v>
      </c>
      <c r="D53" s="233">
        <f>(C53*$K$1)*$C$1</f>
        <v>10000</v>
      </c>
    </row>
    <row r="54" spans="1:8" x14ac:dyDescent="0.3">
      <c r="B54" s="231" t="s">
        <v>297</v>
      </c>
      <c r="C54" s="234">
        <f>MIN(MAX(C52-C53,0),C51)</f>
        <v>3.0033333333333321</v>
      </c>
      <c r="D54" s="233">
        <f>(C54*$K$1)*$C$1</f>
        <v>3003.3333333333321</v>
      </c>
    </row>
    <row r="55" spans="1:8" x14ac:dyDescent="0.3">
      <c r="B55" s="231" t="s">
        <v>298</v>
      </c>
      <c r="C55" s="234">
        <f>MIN(MAX(C52-C53-C54,0),C51)</f>
        <v>0</v>
      </c>
      <c r="D55" s="233">
        <f>(C55*$K$1)*$C$1</f>
        <v>0</v>
      </c>
    </row>
    <row r="62" spans="1:8" ht="17.75" customHeight="1" x14ac:dyDescent="0.3">
      <c r="A62" s="938"/>
      <c r="B62" s="1382" t="str">
        <f>"ستيك دجاج صوص إضافى 1 / " &amp; COUNTIF($C$53:$C$55, "&gt;0")</f>
        <v>ستيك دجاج صوص إضافى 1 / 2</v>
      </c>
      <c r="C62" s="1383"/>
      <c r="D62" s="1383"/>
      <c r="E62" s="1383"/>
      <c r="F62" s="1383"/>
      <c r="G62" s="1383"/>
      <c r="H62" s="1383"/>
    </row>
    <row r="63" spans="1:8" ht="18" customHeight="1" x14ac:dyDescent="0.3">
      <c r="A63" s="938"/>
      <c r="B63" s="1384" t="str">
        <f>"Chicken Steak Topping 1 / " &amp; COUNTIF($C$53:$C$55, "&gt;0")</f>
        <v>Chicken Steak Topping 1 / 2</v>
      </c>
      <c r="C63" s="1385"/>
      <c r="D63" s="1385"/>
      <c r="E63" s="1385"/>
      <c r="F63" s="1385"/>
      <c r="G63" s="1385"/>
      <c r="H63" s="1385"/>
    </row>
    <row r="64" spans="1:8" ht="25.5" customHeight="1" x14ac:dyDescent="0.3">
      <c r="A64" s="91"/>
      <c r="B64" s="243" t="s">
        <v>253</v>
      </c>
      <c r="C64" s="244" t="s">
        <v>254</v>
      </c>
      <c r="D64" s="245" t="s">
        <v>243</v>
      </c>
      <c r="E64" s="218" t="s">
        <v>246</v>
      </c>
      <c r="F64" s="218" t="s">
        <v>255</v>
      </c>
      <c r="G64" s="245" t="s">
        <v>256</v>
      </c>
      <c r="H64" s="218" t="s">
        <v>257</v>
      </c>
    </row>
    <row r="65" spans="1:8" ht="14.25" customHeight="1" x14ac:dyDescent="0.3">
      <c r="A65" s="270" t="s">
        <v>158</v>
      </c>
      <c r="B65" s="294" t="str">
        <f t="shared" ref="B65:D72" si="7">B5</f>
        <v>Milk - حليب</v>
      </c>
      <c r="C65" s="294" t="str">
        <f t="shared" si="7"/>
        <v>ml</v>
      </c>
      <c r="D65" s="294">
        <f t="shared" si="7"/>
        <v>550</v>
      </c>
      <c r="E65" s="281">
        <f>$C$53</f>
        <v>10</v>
      </c>
      <c r="F65" s="127">
        <f t="shared" ref="F65:F72" si="8">F5</f>
        <v>1</v>
      </c>
      <c r="G65" s="81">
        <f t="shared" ref="G65:G72" si="9">D65*E65</f>
        <v>5500</v>
      </c>
      <c r="H65" s="120">
        <f t="shared" ref="H65:H72" si="10">G65*F65</f>
        <v>5500</v>
      </c>
    </row>
    <row r="66" spans="1:8" ht="14.25" customHeight="1" x14ac:dyDescent="0.3">
      <c r="A66" s="270" t="s">
        <v>158</v>
      </c>
      <c r="B66" s="294" t="str">
        <f t="shared" si="7"/>
        <v>Cooking Cream - كريمة طبخ</v>
      </c>
      <c r="C66" s="294" t="str">
        <f t="shared" si="7"/>
        <v>ml</v>
      </c>
      <c r="D66" s="294">
        <f t="shared" si="7"/>
        <v>550</v>
      </c>
      <c r="E66" s="281">
        <f t="shared" ref="E66:E72" si="11">$C$53</f>
        <v>10</v>
      </c>
      <c r="F66" s="127">
        <f t="shared" si="8"/>
        <v>1</v>
      </c>
      <c r="G66" s="81">
        <f t="shared" si="9"/>
        <v>5500</v>
      </c>
      <c r="H66" s="120">
        <f t="shared" si="10"/>
        <v>5500</v>
      </c>
    </row>
    <row r="67" spans="1:8" ht="14.25" customHeight="1" x14ac:dyDescent="0.3">
      <c r="A67" s="270" t="s">
        <v>158</v>
      </c>
      <c r="B67" s="294" t="str">
        <f t="shared" si="7"/>
        <v>Butter - زبدة</v>
      </c>
      <c r="C67" s="294" t="str">
        <f t="shared" si="7"/>
        <v>gm</v>
      </c>
      <c r="D67" s="294">
        <f t="shared" si="7"/>
        <v>30</v>
      </c>
      <c r="E67" s="281">
        <f t="shared" si="11"/>
        <v>10</v>
      </c>
      <c r="F67" s="127">
        <f t="shared" si="8"/>
        <v>1</v>
      </c>
      <c r="G67" s="81">
        <f t="shared" si="9"/>
        <v>300</v>
      </c>
      <c r="H67" s="120">
        <f t="shared" si="10"/>
        <v>300</v>
      </c>
    </row>
    <row r="68" spans="1:8" ht="14.25" customHeight="1" x14ac:dyDescent="0.3">
      <c r="A68" s="270" t="s">
        <v>192</v>
      </c>
      <c r="B68" s="294" t="str">
        <f t="shared" si="7"/>
        <v>Flour - دقيق</v>
      </c>
      <c r="C68" s="294" t="str">
        <f t="shared" si="7"/>
        <v>gm</v>
      </c>
      <c r="D68" s="294">
        <f t="shared" si="7"/>
        <v>20</v>
      </c>
      <c r="E68" s="281">
        <f t="shared" si="11"/>
        <v>10</v>
      </c>
      <c r="F68" s="127">
        <f t="shared" si="8"/>
        <v>1</v>
      </c>
      <c r="G68" s="81">
        <f t="shared" si="9"/>
        <v>200</v>
      </c>
      <c r="H68" s="120">
        <f t="shared" si="10"/>
        <v>200</v>
      </c>
    </row>
    <row r="69" spans="1:8" ht="14.25" customHeight="1" x14ac:dyDescent="0.3">
      <c r="A69" s="270" t="s">
        <v>97</v>
      </c>
      <c r="B69" s="294" t="str">
        <f t="shared" si="7"/>
        <v>Maggi Cubes - مكعبات ماجي</v>
      </c>
      <c r="C69" s="294" t="str">
        <f t="shared" si="7"/>
        <v>gm</v>
      </c>
      <c r="D69" s="294">
        <f t="shared" si="7"/>
        <v>18</v>
      </c>
      <c r="E69" s="281">
        <f t="shared" si="11"/>
        <v>10</v>
      </c>
      <c r="F69" s="127">
        <f t="shared" si="8"/>
        <v>0.75</v>
      </c>
      <c r="G69" s="81">
        <f t="shared" si="9"/>
        <v>180</v>
      </c>
      <c r="H69" s="120">
        <f t="shared" si="10"/>
        <v>135</v>
      </c>
    </row>
    <row r="70" spans="1:8" ht="14.25" customHeight="1" x14ac:dyDescent="0.3">
      <c r="A70" s="270" t="s">
        <v>97</v>
      </c>
      <c r="B70" s="294" t="str">
        <f t="shared" si="7"/>
        <v>White Pepper - فلفل أبيض</v>
      </c>
      <c r="C70" s="294" t="str">
        <f t="shared" si="7"/>
        <v>gm</v>
      </c>
      <c r="D70" s="294">
        <f t="shared" si="7"/>
        <v>5</v>
      </c>
      <c r="E70" s="281">
        <f t="shared" si="11"/>
        <v>10</v>
      </c>
      <c r="F70" s="127">
        <f t="shared" si="8"/>
        <v>0.75</v>
      </c>
      <c r="G70" s="81">
        <f t="shared" si="9"/>
        <v>50</v>
      </c>
      <c r="H70" s="120">
        <f t="shared" si="10"/>
        <v>37.5</v>
      </c>
    </row>
    <row r="71" spans="1:8" ht="14.25" customHeight="1" x14ac:dyDescent="0.3">
      <c r="A71" s="270" t="s">
        <v>97</v>
      </c>
      <c r="B71" s="294" t="str">
        <f t="shared" si="7"/>
        <v>Salt - ملح</v>
      </c>
      <c r="C71" s="294" t="str">
        <f t="shared" si="7"/>
        <v>gm</v>
      </c>
      <c r="D71" s="294">
        <f t="shared" si="7"/>
        <v>4</v>
      </c>
      <c r="E71" s="281">
        <f t="shared" si="11"/>
        <v>10</v>
      </c>
      <c r="F71" s="127">
        <f t="shared" si="8"/>
        <v>0.75</v>
      </c>
      <c r="G71" s="81">
        <f t="shared" si="9"/>
        <v>40</v>
      </c>
      <c r="H71" s="120">
        <f t="shared" si="10"/>
        <v>30</v>
      </c>
    </row>
    <row r="72" spans="1:8" ht="14.25" customHeight="1" x14ac:dyDescent="0.3">
      <c r="A72" s="270" t="s">
        <v>13</v>
      </c>
      <c r="B72" s="294" t="str">
        <f t="shared" si="7"/>
        <v>Onion - بصل</v>
      </c>
      <c r="C72" s="294" t="str">
        <f t="shared" si="7"/>
        <v>gm</v>
      </c>
      <c r="D72" s="294">
        <f t="shared" si="7"/>
        <v>30</v>
      </c>
      <c r="E72" s="281">
        <f t="shared" si="11"/>
        <v>10</v>
      </c>
      <c r="F72" s="127">
        <f t="shared" si="8"/>
        <v>0.95</v>
      </c>
      <c r="G72" s="81">
        <f t="shared" si="9"/>
        <v>300</v>
      </c>
      <c r="H72" s="120">
        <f t="shared" si="10"/>
        <v>285</v>
      </c>
    </row>
    <row r="73" spans="1:8" ht="20.25" customHeight="1" x14ac:dyDescent="0.3">
      <c r="A73" s="907"/>
      <c r="B73" s="900"/>
      <c r="C73" s="902"/>
      <c r="D73" s="881"/>
      <c r="E73" s="902"/>
      <c r="F73" s="881"/>
      <c r="G73" s="902"/>
      <c r="H73" s="902"/>
    </row>
    <row r="74" spans="1:8" ht="14.25" customHeight="1" x14ac:dyDescent="0.4">
      <c r="A74" s="907"/>
      <c r="B74" s="901"/>
      <c r="C74" s="903"/>
      <c r="D74" s="906"/>
      <c r="E74" s="903"/>
      <c r="F74" s="875"/>
      <c r="G74" s="904"/>
      <c r="H74" s="904"/>
    </row>
    <row r="75" spans="1:8" ht="14.25" customHeight="1" x14ac:dyDescent="0.3">
      <c r="A75" s="848"/>
      <c r="B75" s="875"/>
      <c r="C75" s="905"/>
      <c r="D75" s="906"/>
      <c r="E75" s="875"/>
      <c r="F75" s="875"/>
      <c r="G75" s="876"/>
      <c r="H75" s="876"/>
    </row>
    <row r="76" spans="1:8" ht="17.75" customHeight="1" x14ac:dyDescent="0.3">
      <c r="A76" s="938"/>
      <c r="B76" s="1382" t="str">
        <f>"ستيك دجاج صوص إضافى 2 / " &amp; COUNTIF($C$53:$C$55, "&gt;0")</f>
        <v>ستيك دجاج صوص إضافى 2 / 2</v>
      </c>
      <c r="C76" s="1382"/>
      <c r="D76" s="1382"/>
      <c r="E76" s="1382"/>
      <c r="F76" s="1382"/>
      <c r="G76" s="1382"/>
      <c r="H76" s="1382"/>
    </row>
    <row r="77" spans="1:8" ht="18" customHeight="1" x14ac:dyDescent="0.3">
      <c r="A77" s="938"/>
      <c r="B77" s="1384" t="str">
        <f>"Chicken Steak Topping 2 / " &amp; COUNTIF($C$53:$C$55, "&gt;0")</f>
        <v>Chicken Steak Topping 2 / 2</v>
      </c>
      <c r="C77" s="1384"/>
      <c r="D77" s="1384"/>
      <c r="E77" s="1384"/>
      <c r="F77" s="1384"/>
      <c r="G77" s="1384"/>
      <c r="H77" s="1384"/>
    </row>
    <row r="78" spans="1:8" ht="45" customHeight="1" x14ac:dyDescent="0.3">
      <c r="A78" s="91"/>
      <c r="B78" s="243" t="s">
        <v>253</v>
      </c>
      <c r="C78" s="244" t="s">
        <v>254</v>
      </c>
      <c r="D78" s="245" t="s">
        <v>243</v>
      </c>
      <c r="E78" s="218" t="s">
        <v>246</v>
      </c>
      <c r="F78" s="218" t="s">
        <v>255</v>
      </c>
      <c r="G78" s="245" t="s">
        <v>256</v>
      </c>
      <c r="H78" s="218" t="s">
        <v>257</v>
      </c>
    </row>
    <row r="79" spans="1:8" ht="14.25" customHeight="1" x14ac:dyDescent="0.3">
      <c r="A79" s="270" t="s">
        <v>158</v>
      </c>
      <c r="B79" s="294" t="str">
        <f t="shared" ref="B79:D86" si="12">B5</f>
        <v>Milk - حليب</v>
      </c>
      <c r="C79" s="294" t="str">
        <f t="shared" si="12"/>
        <v>ml</v>
      </c>
      <c r="D79" s="294">
        <f t="shared" si="12"/>
        <v>550</v>
      </c>
      <c r="E79" s="197">
        <f>$C$54</f>
        <v>3.0033333333333321</v>
      </c>
      <c r="F79" s="127">
        <f t="shared" ref="F79:F86" si="13">F5</f>
        <v>1</v>
      </c>
      <c r="G79" s="119">
        <f t="shared" ref="G79:G86" si="14">D79*E79</f>
        <v>1651.8333333333326</v>
      </c>
      <c r="H79" s="120">
        <f t="shared" ref="H79:H86" si="15">G79*F79</f>
        <v>1651.8333333333326</v>
      </c>
    </row>
    <row r="80" spans="1:8" ht="14.25" customHeight="1" x14ac:dyDescent="0.3">
      <c r="A80" s="270" t="s">
        <v>158</v>
      </c>
      <c r="B80" s="294" t="str">
        <f t="shared" si="12"/>
        <v>Cooking Cream - كريمة طبخ</v>
      </c>
      <c r="C80" s="294" t="str">
        <f t="shared" si="12"/>
        <v>ml</v>
      </c>
      <c r="D80" s="294">
        <f t="shared" si="12"/>
        <v>550</v>
      </c>
      <c r="E80" s="197">
        <f t="shared" ref="E80:E86" si="16">$C$54</f>
        <v>3.0033333333333321</v>
      </c>
      <c r="F80" s="127">
        <f t="shared" si="13"/>
        <v>1</v>
      </c>
      <c r="G80" s="119">
        <f t="shared" si="14"/>
        <v>1651.8333333333326</v>
      </c>
      <c r="H80" s="120">
        <f t="shared" si="15"/>
        <v>1651.8333333333326</v>
      </c>
    </row>
    <row r="81" spans="1:8" ht="14.25" customHeight="1" x14ac:dyDescent="0.3">
      <c r="A81" s="270" t="s">
        <v>158</v>
      </c>
      <c r="B81" s="294" t="str">
        <f t="shared" si="12"/>
        <v>Butter - زبدة</v>
      </c>
      <c r="C81" s="294" t="str">
        <f t="shared" si="12"/>
        <v>gm</v>
      </c>
      <c r="D81" s="294">
        <f t="shared" si="12"/>
        <v>30</v>
      </c>
      <c r="E81" s="197">
        <f t="shared" si="16"/>
        <v>3.0033333333333321</v>
      </c>
      <c r="F81" s="127">
        <f t="shared" si="13"/>
        <v>1</v>
      </c>
      <c r="G81" s="119">
        <f t="shared" si="14"/>
        <v>90.099999999999966</v>
      </c>
      <c r="H81" s="120">
        <f t="shared" si="15"/>
        <v>90.099999999999966</v>
      </c>
    </row>
    <row r="82" spans="1:8" ht="14.25" customHeight="1" x14ac:dyDescent="0.3">
      <c r="A82" s="270" t="s">
        <v>192</v>
      </c>
      <c r="B82" s="294" t="str">
        <f t="shared" si="12"/>
        <v>Flour - دقيق</v>
      </c>
      <c r="C82" s="294" t="str">
        <f t="shared" si="12"/>
        <v>gm</v>
      </c>
      <c r="D82" s="294">
        <f t="shared" si="12"/>
        <v>20</v>
      </c>
      <c r="E82" s="197">
        <f t="shared" si="16"/>
        <v>3.0033333333333321</v>
      </c>
      <c r="F82" s="127">
        <f t="shared" si="13"/>
        <v>1</v>
      </c>
      <c r="G82" s="119">
        <f t="shared" si="14"/>
        <v>60.066666666666642</v>
      </c>
      <c r="H82" s="120">
        <f t="shared" si="15"/>
        <v>60.066666666666642</v>
      </c>
    </row>
    <row r="83" spans="1:8" ht="14.25" customHeight="1" x14ac:dyDescent="0.3">
      <c r="A83" s="270" t="s">
        <v>97</v>
      </c>
      <c r="B83" s="294" t="str">
        <f t="shared" si="12"/>
        <v>Maggi Cubes - مكعبات ماجي</v>
      </c>
      <c r="C83" s="294" t="str">
        <f t="shared" si="12"/>
        <v>gm</v>
      </c>
      <c r="D83" s="294">
        <f t="shared" si="12"/>
        <v>18</v>
      </c>
      <c r="E83" s="197">
        <f t="shared" si="16"/>
        <v>3.0033333333333321</v>
      </c>
      <c r="F83" s="127">
        <f t="shared" si="13"/>
        <v>0.75</v>
      </c>
      <c r="G83" s="119">
        <f t="shared" si="14"/>
        <v>54.059999999999974</v>
      </c>
      <c r="H83" s="120">
        <f t="shared" si="15"/>
        <v>40.54499999999998</v>
      </c>
    </row>
    <row r="84" spans="1:8" ht="14.25" customHeight="1" x14ac:dyDescent="0.3">
      <c r="A84" s="270" t="s">
        <v>97</v>
      </c>
      <c r="B84" s="294" t="str">
        <f t="shared" si="12"/>
        <v>White Pepper - فلفل أبيض</v>
      </c>
      <c r="C84" s="294" t="str">
        <f t="shared" si="12"/>
        <v>gm</v>
      </c>
      <c r="D84" s="294">
        <f t="shared" si="12"/>
        <v>5</v>
      </c>
      <c r="E84" s="197">
        <f t="shared" si="16"/>
        <v>3.0033333333333321</v>
      </c>
      <c r="F84" s="127">
        <f t="shared" si="13"/>
        <v>0.75</v>
      </c>
      <c r="G84" s="119">
        <f t="shared" si="14"/>
        <v>15.01666666666666</v>
      </c>
      <c r="H84" s="120">
        <f t="shared" si="15"/>
        <v>11.262499999999996</v>
      </c>
    </row>
    <row r="85" spans="1:8" ht="14.25" customHeight="1" x14ac:dyDescent="0.3">
      <c r="A85" s="270" t="s">
        <v>97</v>
      </c>
      <c r="B85" s="294" t="str">
        <f t="shared" si="12"/>
        <v>Salt - ملح</v>
      </c>
      <c r="C85" s="294" t="str">
        <f t="shared" si="12"/>
        <v>gm</v>
      </c>
      <c r="D85" s="294">
        <f t="shared" si="12"/>
        <v>4</v>
      </c>
      <c r="E85" s="197">
        <f t="shared" si="16"/>
        <v>3.0033333333333321</v>
      </c>
      <c r="F85" s="127">
        <f t="shared" si="13"/>
        <v>0.75</v>
      </c>
      <c r="G85" s="119">
        <f t="shared" si="14"/>
        <v>12.013333333333328</v>
      </c>
      <c r="H85" s="120">
        <f t="shared" si="15"/>
        <v>9.0099999999999962</v>
      </c>
    </row>
    <row r="86" spans="1:8" ht="14.25" customHeight="1" x14ac:dyDescent="0.3">
      <c r="A86" s="270" t="s">
        <v>13</v>
      </c>
      <c r="B86" s="294" t="str">
        <f t="shared" si="12"/>
        <v>Onion - بصل</v>
      </c>
      <c r="C86" s="294" t="str">
        <f t="shared" si="12"/>
        <v>gm</v>
      </c>
      <c r="D86" s="294">
        <f t="shared" si="12"/>
        <v>30</v>
      </c>
      <c r="E86" s="197">
        <f t="shared" si="16"/>
        <v>3.0033333333333321</v>
      </c>
      <c r="F86" s="127">
        <f t="shared" si="13"/>
        <v>0.95</v>
      </c>
      <c r="G86" s="119">
        <f t="shared" si="14"/>
        <v>90.099999999999966</v>
      </c>
      <c r="H86" s="120">
        <f t="shared" si="15"/>
        <v>85.59499999999997</v>
      </c>
    </row>
    <row r="87" spans="1:8" ht="20.25" customHeight="1" x14ac:dyDescent="0.3">
      <c r="A87" s="907"/>
      <c r="B87" s="900"/>
      <c r="C87" s="902"/>
      <c r="D87" s="881"/>
      <c r="E87" s="902"/>
      <c r="F87" s="881"/>
      <c r="G87" s="902"/>
      <c r="H87" s="902"/>
    </row>
    <row r="88" spans="1:8" ht="20" x14ac:dyDescent="0.4">
      <c r="A88" s="907"/>
      <c r="B88" s="901"/>
      <c r="C88" s="903"/>
      <c r="D88" s="906"/>
      <c r="E88" s="903"/>
      <c r="F88" s="875"/>
      <c r="G88" s="904"/>
      <c r="H88" s="904"/>
    </row>
    <row r="91" spans="1:8" ht="18" x14ac:dyDescent="0.3">
      <c r="A91" s="938"/>
      <c r="B91" s="1382" t="str">
        <f>"ستيك دجاج صوص إضافى 3 / " &amp; COUNTIF($C$53:$C$55, "&gt;0")</f>
        <v>ستيك دجاج صوص إضافى 3 / 2</v>
      </c>
      <c r="C91" s="1382"/>
      <c r="D91" s="1382"/>
      <c r="E91" s="1382"/>
      <c r="F91" s="1382"/>
      <c r="G91" s="1382"/>
      <c r="H91" s="1382"/>
    </row>
    <row r="92" spans="1:8" ht="18" x14ac:dyDescent="0.3">
      <c r="A92" s="938"/>
      <c r="B92" s="1384" t="str">
        <f>"Chicken Steak Topping 3 / " &amp; COUNTIF($C$53:$C$55, "&gt;0")</f>
        <v>Chicken Steak Topping 3 / 2</v>
      </c>
      <c r="C92" s="1384"/>
      <c r="D92" s="1384"/>
      <c r="E92" s="1384"/>
      <c r="F92" s="1384"/>
      <c r="G92" s="1384"/>
      <c r="H92" s="1384"/>
    </row>
    <row r="93" spans="1:8" ht="26" x14ac:dyDescent="0.3">
      <c r="A93" s="91"/>
      <c r="B93" s="243" t="s">
        <v>253</v>
      </c>
      <c r="C93" s="244" t="s">
        <v>254</v>
      </c>
      <c r="D93" s="245" t="s">
        <v>243</v>
      </c>
      <c r="E93" s="218" t="s">
        <v>246</v>
      </c>
      <c r="F93" s="218" t="s">
        <v>255</v>
      </c>
      <c r="G93" s="245" t="s">
        <v>256</v>
      </c>
      <c r="H93" s="218" t="s">
        <v>257</v>
      </c>
    </row>
    <row r="94" spans="1:8" x14ac:dyDescent="0.3">
      <c r="A94" s="270" t="s">
        <v>158</v>
      </c>
      <c r="B94" s="294" t="str">
        <f>B5</f>
        <v>Milk - حليب</v>
      </c>
      <c r="C94" s="294" t="str">
        <f t="shared" ref="C94:D94" si="17">C5</f>
        <v>ml</v>
      </c>
      <c r="D94" s="294">
        <f t="shared" si="17"/>
        <v>550</v>
      </c>
      <c r="E94" s="197">
        <f>$C$55</f>
        <v>0</v>
      </c>
      <c r="F94" s="127">
        <f>F5</f>
        <v>1</v>
      </c>
      <c r="G94" s="119">
        <f t="shared" ref="G94:G101" si="18">D94*E94</f>
        <v>0</v>
      </c>
      <c r="H94" s="120">
        <f t="shared" ref="H94:H101" si="19">G94*F94</f>
        <v>0</v>
      </c>
    </row>
    <row r="95" spans="1:8" x14ac:dyDescent="0.3">
      <c r="A95" s="270" t="s">
        <v>158</v>
      </c>
      <c r="B95" s="294" t="str">
        <f t="shared" ref="B95:D95" si="20">B6</f>
        <v>Cooking Cream - كريمة طبخ</v>
      </c>
      <c r="C95" s="294" t="str">
        <f t="shared" si="20"/>
        <v>ml</v>
      </c>
      <c r="D95" s="294">
        <f t="shared" si="20"/>
        <v>550</v>
      </c>
      <c r="E95" s="197">
        <f t="shared" ref="E95:E101" si="21">$C$55</f>
        <v>0</v>
      </c>
      <c r="F95" s="127">
        <f t="shared" ref="F95:F101" si="22">F6</f>
        <v>1</v>
      </c>
      <c r="G95" s="119">
        <f t="shared" si="18"/>
        <v>0</v>
      </c>
      <c r="H95" s="120">
        <f t="shared" si="19"/>
        <v>0</v>
      </c>
    </row>
    <row r="96" spans="1:8" x14ac:dyDescent="0.3">
      <c r="A96" s="270" t="s">
        <v>158</v>
      </c>
      <c r="B96" s="294" t="str">
        <f t="shared" ref="B96:D96" si="23">B7</f>
        <v>Butter - زبدة</v>
      </c>
      <c r="C96" s="294" t="str">
        <f t="shared" si="23"/>
        <v>gm</v>
      </c>
      <c r="D96" s="294">
        <f t="shared" si="23"/>
        <v>30</v>
      </c>
      <c r="E96" s="197">
        <f t="shared" si="21"/>
        <v>0</v>
      </c>
      <c r="F96" s="127">
        <f t="shared" si="22"/>
        <v>1</v>
      </c>
      <c r="G96" s="119">
        <f t="shared" si="18"/>
        <v>0</v>
      </c>
      <c r="H96" s="120">
        <f t="shared" si="19"/>
        <v>0</v>
      </c>
    </row>
    <row r="97" spans="1:8" x14ac:dyDescent="0.3">
      <c r="A97" s="270" t="s">
        <v>192</v>
      </c>
      <c r="B97" s="294" t="str">
        <f t="shared" ref="B97:D97" si="24">B8</f>
        <v>Flour - دقيق</v>
      </c>
      <c r="C97" s="294" t="str">
        <f t="shared" si="24"/>
        <v>gm</v>
      </c>
      <c r="D97" s="294">
        <f t="shared" si="24"/>
        <v>20</v>
      </c>
      <c r="E97" s="197">
        <f t="shared" si="21"/>
        <v>0</v>
      </c>
      <c r="F97" s="127">
        <f t="shared" si="22"/>
        <v>1</v>
      </c>
      <c r="G97" s="119">
        <f t="shared" si="18"/>
        <v>0</v>
      </c>
      <c r="H97" s="120">
        <f t="shared" si="19"/>
        <v>0</v>
      </c>
    </row>
    <row r="98" spans="1:8" x14ac:dyDescent="0.3">
      <c r="A98" s="270" t="s">
        <v>97</v>
      </c>
      <c r="B98" s="294" t="str">
        <f t="shared" ref="B98:D98" si="25">B9</f>
        <v>Maggi Cubes - مكعبات ماجي</v>
      </c>
      <c r="C98" s="294" t="str">
        <f t="shared" si="25"/>
        <v>gm</v>
      </c>
      <c r="D98" s="294">
        <f t="shared" si="25"/>
        <v>18</v>
      </c>
      <c r="E98" s="197">
        <f t="shared" si="21"/>
        <v>0</v>
      </c>
      <c r="F98" s="127">
        <f t="shared" si="22"/>
        <v>0.75</v>
      </c>
      <c r="G98" s="119">
        <f t="shared" si="18"/>
        <v>0</v>
      </c>
      <c r="H98" s="120">
        <f t="shared" si="19"/>
        <v>0</v>
      </c>
    </row>
    <row r="99" spans="1:8" x14ac:dyDescent="0.3">
      <c r="A99" s="270" t="s">
        <v>97</v>
      </c>
      <c r="B99" s="294" t="str">
        <f t="shared" ref="B99:D99" si="26">B10</f>
        <v>White Pepper - فلفل أبيض</v>
      </c>
      <c r="C99" s="294" t="str">
        <f t="shared" si="26"/>
        <v>gm</v>
      </c>
      <c r="D99" s="294">
        <f t="shared" si="26"/>
        <v>5</v>
      </c>
      <c r="E99" s="197">
        <f t="shared" si="21"/>
        <v>0</v>
      </c>
      <c r="F99" s="127">
        <f t="shared" si="22"/>
        <v>0.75</v>
      </c>
      <c r="G99" s="119">
        <f t="shared" si="18"/>
        <v>0</v>
      </c>
      <c r="H99" s="120">
        <f t="shared" si="19"/>
        <v>0</v>
      </c>
    </row>
    <row r="100" spans="1:8" x14ac:dyDescent="0.3">
      <c r="A100" s="270" t="s">
        <v>97</v>
      </c>
      <c r="B100" s="294" t="str">
        <f t="shared" ref="B100:D100" si="27">B11</f>
        <v>Salt - ملح</v>
      </c>
      <c r="C100" s="294" t="str">
        <f t="shared" si="27"/>
        <v>gm</v>
      </c>
      <c r="D100" s="294">
        <f t="shared" si="27"/>
        <v>4</v>
      </c>
      <c r="E100" s="197">
        <f t="shared" si="21"/>
        <v>0</v>
      </c>
      <c r="F100" s="127">
        <f t="shared" si="22"/>
        <v>0.75</v>
      </c>
      <c r="G100" s="119">
        <f t="shared" si="18"/>
        <v>0</v>
      </c>
      <c r="H100" s="120">
        <f t="shared" si="19"/>
        <v>0</v>
      </c>
    </row>
    <row r="101" spans="1:8" x14ac:dyDescent="0.3">
      <c r="A101" s="270" t="s">
        <v>13</v>
      </c>
      <c r="B101" s="294" t="str">
        <f t="shared" ref="B101:D101" si="28">B12</f>
        <v>Onion - بصل</v>
      </c>
      <c r="C101" s="294" t="str">
        <f t="shared" si="28"/>
        <v>gm</v>
      </c>
      <c r="D101" s="294">
        <f t="shared" si="28"/>
        <v>30</v>
      </c>
      <c r="E101" s="197">
        <f t="shared" si="21"/>
        <v>0</v>
      </c>
      <c r="F101" s="127">
        <f t="shared" si="22"/>
        <v>0.95</v>
      </c>
      <c r="G101" s="119">
        <f t="shared" si="18"/>
        <v>0</v>
      </c>
      <c r="H101" s="120">
        <f t="shared" si="19"/>
        <v>0</v>
      </c>
    </row>
  </sheetData>
  <mergeCells count="10">
    <mergeCell ref="B91:H91"/>
    <mergeCell ref="B92:H92"/>
    <mergeCell ref="B2:J3"/>
    <mergeCell ref="AE2:AG3"/>
    <mergeCell ref="B77:H77"/>
    <mergeCell ref="K2:K3"/>
    <mergeCell ref="B62:H62"/>
    <mergeCell ref="R25:T25"/>
    <mergeCell ref="B76:H76"/>
    <mergeCell ref="B63:H63"/>
  </mergeCells>
  <printOptions horizontalCentered="1"/>
  <pageMargins left="0.5" right="0.5" top="1" bottom="0.5" header="0.3" footer="0.511811023622047"/>
  <pageSetup paperSize="9" scale="32" orientation="portrait" r:id="rId1"/>
  <legacyDrawing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rgb="FF7C7C7C"/>
    <pageSetUpPr fitToPage="1"/>
  </sheetPr>
  <dimension ref="A1:AT99"/>
  <sheetViews>
    <sheetView topLeftCell="R15" zoomScale="85" zoomScaleNormal="85" workbookViewId="0">
      <selection activeCell="I36" sqref="I36:L37"/>
    </sheetView>
  </sheetViews>
  <sheetFormatPr defaultColWidth="12.5" defaultRowHeight="14" x14ac:dyDescent="0.3"/>
  <cols>
    <col min="1" max="1" width="12.5" style="1" customWidth="1"/>
    <col min="2" max="2" width="37.9140625" customWidth="1"/>
    <col min="3" max="3" width="23.9140625" customWidth="1"/>
    <col min="4" max="4" width="19" customWidth="1"/>
    <col min="5" max="5" width="16.1640625" customWidth="1"/>
    <col min="6" max="6" width="23.08203125" customWidth="1"/>
    <col min="7" max="7" width="25.1640625" customWidth="1"/>
    <col min="8" max="8" width="36.1640625" customWidth="1"/>
    <col min="9" max="9" width="17.5" customWidth="1"/>
    <col min="11" max="11" width="15.58203125" bestFit="1" customWidth="1"/>
    <col min="12" max="12" width="8.33203125" customWidth="1"/>
    <col min="13" max="13" width="9.58203125" customWidth="1"/>
    <col min="18" max="18" width="33.75" customWidth="1"/>
    <col min="26" max="26" width="14.5" customWidth="1"/>
    <col min="28" max="28" width="11.75" bestFit="1" customWidth="1"/>
    <col min="29" max="30" width="13.25" bestFit="1" customWidth="1"/>
    <col min="31" max="31" width="11.33203125" bestFit="1" customWidth="1"/>
    <col min="32" max="32" width="10.08203125" bestFit="1" customWidth="1"/>
    <col min="33" max="33" width="11.33203125" bestFit="1" customWidth="1"/>
    <col min="34" max="35" width="3.25" customWidth="1"/>
    <col min="36" max="36" width="38" customWidth="1"/>
    <col min="42" max="42" width="19.5" customWidth="1"/>
  </cols>
  <sheetData>
    <row r="1" spans="1:46" ht="35.25" customHeight="1" x14ac:dyDescent="0.3">
      <c r="B1" s="80" t="s">
        <v>243</v>
      </c>
      <c r="C1" s="81">
        <v>1000</v>
      </c>
      <c r="D1" s="82" t="s">
        <v>244</v>
      </c>
      <c r="E1" s="117">
        <f>T32</f>
        <v>7296.6666666666661</v>
      </c>
      <c r="F1" s="80" t="s">
        <v>245</v>
      </c>
      <c r="G1" s="117">
        <f>E1/C1</f>
        <v>7.296666666666666</v>
      </c>
      <c r="H1" s="80" t="s">
        <v>246</v>
      </c>
      <c r="I1" s="249">
        <f>(G1/K1)</f>
        <v>7.4455782312925161</v>
      </c>
      <c r="J1" s="86" t="s">
        <v>247</v>
      </c>
      <c r="K1" s="81">
        <v>0.98</v>
      </c>
      <c r="L1" s="100"/>
      <c r="M1" s="89"/>
      <c r="N1" s="90"/>
      <c r="O1" s="91" t="s">
        <v>248</v>
      </c>
      <c r="P1" s="92" t="s">
        <v>301</v>
      </c>
      <c r="Q1" s="93" t="s">
        <v>250</v>
      </c>
      <c r="R1" s="92">
        <v>0.51</v>
      </c>
      <c r="Y1" s="91" t="s">
        <v>479</v>
      </c>
      <c r="Z1" s="847">
        <v>21890</v>
      </c>
      <c r="AA1" s="91" t="s">
        <v>600</v>
      </c>
      <c r="AB1" s="847">
        <v>0</v>
      </c>
      <c r="AC1" s="91" t="s">
        <v>587</v>
      </c>
      <c r="AD1" s="847">
        <v>147</v>
      </c>
      <c r="AE1" s="250"/>
      <c r="AF1" s="252"/>
      <c r="AG1" s="92"/>
      <c r="AJ1" s="94" t="s">
        <v>585</v>
      </c>
      <c r="AK1" s="94">
        <v>15000</v>
      </c>
      <c r="AL1" s="628" t="s">
        <v>520</v>
      </c>
      <c r="AM1" s="629">
        <f>$S$32</f>
        <v>19701</v>
      </c>
      <c r="AN1" s="94" t="s">
        <v>251</v>
      </c>
      <c r="AO1" s="96">
        <f>($S$32/$R$1)/$AK$1</f>
        <v>2.5752941176470587</v>
      </c>
      <c r="AP1" s="95"/>
    </row>
    <row r="2" spans="1:46" ht="12.75" customHeight="1" x14ac:dyDescent="0.3">
      <c r="A2" s="265"/>
      <c r="B2" s="98"/>
      <c r="C2" s="98"/>
      <c r="D2" s="98"/>
      <c r="E2" s="98"/>
      <c r="F2" s="1408" t="s">
        <v>422</v>
      </c>
      <c r="G2" s="98"/>
      <c r="H2" s="98"/>
      <c r="I2" s="98"/>
      <c r="J2" s="98"/>
      <c r="K2" s="98"/>
      <c r="L2" s="293"/>
      <c r="M2" s="100"/>
      <c r="N2" s="100"/>
      <c r="O2" s="100"/>
      <c r="P2" s="100"/>
      <c r="Q2" s="100"/>
      <c r="R2" s="100"/>
      <c r="AC2" s="99"/>
      <c r="AD2" s="99"/>
      <c r="AE2" s="1391"/>
      <c r="AF2" s="1422"/>
      <c r="AG2" s="1422"/>
      <c r="AJ2" s="101"/>
      <c r="AK2" s="1386" t="s">
        <v>557</v>
      </c>
      <c r="AL2" s="1386"/>
      <c r="AM2" s="1386"/>
      <c r="AN2" s="102"/>
      <c r="AO2" s="101"/>
      <c r="AP2" s="101"/>
    </row>
    <row r="3" spans="1:46" ht="12.75" customHeight="1" x14ac:dyDescent="0.3">
      <c r="A3" s="265"/>
      <c r="B3" s="103"/>
      <c r="C3" s="103"/>
      <c r="D3" s="103"/>
      <c r="E3" s="103"/>
      <c r="F3" s="1388"/>
      <c r="G3" s="103"/>
      <c r="H3" s="103"/>
      <c r="I3" s="103"/>
      <c r="J3" s="103"/>
      <c r="K3" s="103"/>
      <c r="L3" s="293"/>
      <c r="M3" s="100"/>
      <c r="N3" s="100"/>
      <c r="O3" s="100"/>
      <c r="P3" s="100"/>
      <c r="Q3" s="100"/>
      <c r="R3" s="100"/>
      <c r="AC3" s="99"/>
      <c r="AD3" s="99"/>
      <c r="AE3" s="1422"/>
      <c r="AF3" s="1422"/>
      <c r="AG3" s="1422"/>
      <c r="AJ3" s="373"/>
      <c r="AK3" s="1454" t="s">
        <v>586</v>
      </c>
      <c r="AL3" s="1454"/>
      <c r="AM3" s="105"/>
      <c r="AN3" s="105"/>
      <c r="AO3" s="104"/>
      <c r="AP3" s="104"/>
    </row>
    <row r="4" spans="1:46" ht="39" customHeight="1" x14ac:dyDescent="0.3">
      <c r="A4" s="91" t="s">
        <v>1</v>
      </c>
      <c r="B4" s="91" t="s">
        <v>253</v>
      </c>
      <c r="C4" s="107" t="s">
        <v>254</v>
      </c>
      <c r="D4" s="91" t="s">
        <v>243</v>
      </c>
      <c r="E4" s="108" t="s">
        <v>246</v>
      </c>
      <c r="F4" s="108" t="s">
        <v>255</v>
      </c>
      <c r="G4" s="91" t="s">
        <v>256</v>
      </c>
      <c r="H4" s="331" t="s">
        <v>347</v>
      </c>
      <c r="I4" s="91" t="s">
        <v>258</v>
      </c>
      <c r="J4" s="91" t="s">
        <v>259</v>
      </c>
      <c r="K4" s="91" t="s">
        <v>260</v>
      </c>
      <c r="L4" s="91" t="s">
        <v>261</v>
      </c>
      <c r="M4" s="100"/>
      <c r="N4" s="100"/>
      <c r="O4" s="100"/>
      <c r="P4" s="100"/>
      <c r="AA4" s="251"/>
      <c r="AB4" s="253"/>
      <c r="AC4" s="251"/>
      <c r="AD4" s="251"/>
      <c r="AE4" s="251"/>
      <c r="AJ4" s="110" t="s">
        <v>253</v>
      </c>
      <c r="AK4" s="111" t="s">
        <v>254</v>
      </c>
      <c r="AL4" s="110" t="s">
        <v>585</v>
      </c>
      <c r="AM4" s="110" t="s">
        <v>246</v>
      </c>
      <c r="AN4" s="110" t="s">
        <v>255</v>
      </c>
      <c r="AO4" s="110" t="s">
        <v>256</v>
      </c>
      <c r="AP4" s="112" t="s">
        <v>257</v>
      </c>
      <c r="AQ4" s="91" t="s">
        <v>258</v>
      </c>
      <c r="AR4" s="91" t="s">
        <v>259</v>
      </c>
      <c r="AS4" s="91" t="s">
        <v>260</v>
      </c>
      <c r="AT4" s="91" t="s">
        <v>261</v>
      </c>
    </row>
    <row r="5" spans="1:46" ht="14.25" customHeight="1" x14ac:dyDescent="0.3">
      <c r="A5" s="113" t="s">
        <v>230</v>
      </c>
      <c r="B5" s="494" t="s">
        <v>229</v>
      </c>
      <c r="C5" s="115" t="s">
        <v>14</v>
      </c>
      <c r="D5" s="121">
        <f>I51/10</f>
        <v>6536.0784313725489</v>
      </c>
      <c r="E5" s="117">
        <f>H52</f>
        <v>5.9101817963640721</v>
      </c>
      <c r="F5" s="127">
        <v>1</v>
      </c>
      <c r="G5" s="119">
        <f t="shared" ref="G5:G17" si="0">D5*E5</f>
        <v>38629.411764705881</v>
      </c>
      <c r="H5" s="120">
        <f t="shared" ref="H5:H17" si="1">G5*F5</f>
        <v>38629.411764705881</v>
      </c>
      <c r="I5" s="81">
        <f>VLOOKUP(B5,All_Ingredients!$A$1:$F$151,6,FALSE())</f>
        <v>0.86</v>
      </c>
      <c r="J5" s="119">
        <f>VLOOKUP(B5,All_Ingredients!$A$1:$J$151,10,FALSE())</f>
        <v>17.100000000000001</v>
      </c>
      <c r="K5" s="122">
        <f t="shared" ref="K5" si="2">(H5/I5)/1000</f>
        <v>44.917920656634749</v>
      </c>
      <c r="L5" s="122">
        <f t="shared" ref="L5" si="3">K5*J5</f>
        <v>768.09644322845429</v>
      </c>
      <c r="M5" s="100"/>
      <c r="N5" s="100"/>
      <c r="O5" s="100"/>
      <c r="P5" s="100"/>
      <c r="AA5" s="92"/>
      <c r="AB5" s="133"/>
      <c r="AC5" s="254"/>
      <c r="AD5" s="135"/>
      <c r="AE5" s="136"/>
      <c r="AJ5" s="374" t="s">
        <v>229</v>
      </c>
      <c r="AK5" s="124" t="s">
        <v>238</v>
      </c>
      <c r="AL5" s="375">
        <v>15</v>
      </c>
      <c r="AM5" s="376">
        <f>$AO$1</f>
        <v>2.5752941176470587</v>
      </c>
      <c r="AN5" s="377">
        <v>1</v>
      </c>
      <c r="AO5" s="378">
        <f>AL5*AM5</f>
        <v>38.629411764705878</v>
      </c>
      <c r="AP5" s="379">
        <f>AO5*AN5</f>
        <v>38.629411764705878</v>
      </c>
      <c r="AQ5" s="295"/>
      <c r="AR5" s="1171"/>
      <c r="AS5" s="175"/>
      <c r="AT5" s="1172"/>
    </row>
    <row r="6" spans="1:46" ht="14.25" customHeight="1" x14ac:dyDescent="0.3">
      <c r="A6" s="270" t="s">
        <v>13</v>
      </c>
      <c r="B6" s="114" t="s">
        <v>12</v>
      </c>
      <c r="C6" s="124" t="s">
        <v>14</v>
      </c>
      <c r="D6" s="125">
        <v>100</v>
      </c>
      <c r="E6" s="223">
        <f t="shared" ref="E6:E17" si="4">$I$1</f>
        <v>7.4455782312925161</v>
      </c>
      <c r="F6" s="127">
        <v>0.95</v>
      </c>
      <c r="G6" s="119">
        <f t="shared" si="0"/>
        <v>744.55782312925157</v>
      </c>
      <c r="H6" s="120">
        <f t="shared" si="1"/>
        <v>707.32993197278893</v>
      </c>
      <c r="I6" s="81">
        <f>VLOOKUP(B6,All_Ingredients!$A$1:$F$151,6,FALSE())</f>
        <v>0.9</v>
      </c>
      <c r="J6" s="119">
        <f>VLOOKUP(B6,All_Ingredients!$A$1:$J$151,10,FALSE())</f>
        <v>3</v>
      </c>
      <c r="K6" s="122">
        <f t="shared" ref="K6:K17" si="5">(H6/I6)/1000</f>
        <v>0.78592214663643212</v>
      </c>
      <c r="L6" s="122">
        <f t="shared" ref="L6:L17" si="6">K6*J6</f>
        <v>2.3577664399092964</v>
      </c>
      <c r="AJ6" s="374" t="s">
        <v>820</v>
      </c>
      <c r="AK6" s="124" t="s">
        <v>14</v>
      </c>
      <c r="AL6" s="375">
        <v>3000</v>
      </c>
      <c r="AM6" s="376">
        <f>$AO$1</f>
        <v>2.5752941176470587</v>
      </c>
      <c r="AN6" s="377">
        <v>1</v>
      </c>
      <c r="AO6" s="378">
        <f>AL6*AM6</f>
        <v>7725.8823529411766</v>
      </c>
      <c r="AP6" s="379">
        <f>AO6*AN6</f>
        <v>7725.8823529411766</v>
      </c>
      <c r="AQ6" s="1172">
        <f>VLOOKUP(AJ6,Marination_Ordering!$A:$J,6,FALSE)</f>
        <v>1</v>
      </c>
      <c r="AR6" s="1172">
        <f>VLOOKUP(AJ6,Marination_Ordering!$A:$J,10,FALSE)</f>
        <v>22</v>
      </c>
      <c r="AS6" s="175">
        <f>AP6/AQ6</f>
        <v>7725.8823529411766</v>
      </c>
      <c r="AT6" s="1172">
        <f>AR6*(AS6/1000)</f>
        <v>169.96941176470588</v>
      </c>
    </row>
    <row r="7" spans="1:46" ht="14.25" customHeight="1" x14ac:dyDescent="0.3">
      <c r="A7" s="270" t="s">
        <v>13</v>
      </c>
      <c r="B7" s="114" t="s">
        <v>792</v>
      </c>
      <c r="C7" s="124" t="s">
        <v>14</v>
      </c>
      <c r="D7" s="125">
        <v>30</v>
      </c>
      <c r="E7" s="223">
        <f t="shared" si="4"/>
        <v>7.4455782312925161</v>
      </c>
      <c r="F7" s="127">
        <v>1</v>
      </c>
      <c r="G7" s="119">
        <f t="shared" si="0"/>
        <v>223.36734693877548</v>
      </c>
      <c r="H7" s="120">
        <f t="shared" si="1"/>
        <v>223.36734693877548</v>
      </c>
      <c r="I7" s="81">
        <f>VLOOKUP(B7,All_Ingredients!$A$1:$F$151,6,FALSE())</f>
        <v>1</v>
      </c>
      <c r="J7" s="119">
        <f>VLOOKUP(B7,All_Ingredients!$A$1:$J$151,10,FALSE())</f>
        <v>10.5</v>
      </c>
      <c r="K7" s="122">
        <f t="shared" si="5"/>
        <v>0.2233673469387755</v>
      </c>
      <c r="L7" s="122">
        <f t="shared" si="6"/>
        <v>2.3453571428571429</v>
      </c>
      <c r="AJ7" s="374" t="s">
        <v>12</v>
      </c>
      <c r="AK7" s="124" t="s">
        <v>14</v>
      </c>
      <c r="AL7" s="375">
        <v>1000</v>
      </c>
      <c r="AM7" s="376">
        <f t="shared" ref="AM7:AM17" si="7">$AO$1</f>
        <v>2.5752941176470587</v>
      </c>
      <c r="AN7" s="377">
        <v>1</v>
      </c>
      <c r="AO7" s="378">
        <f t="shared" ref="AO7:AO17" si="8">AL7*AM7</f>
        <v>2575.2941176470586</v>
      </c>
      <c r="AP7" s="379">
        <f t="shared" ref="AP7:AP17" si="9">AO7*AN7</f>
        <v>2575.2941176470586</v>
      </c>
      <c r="AQ7" s="1172">
        <f>VLOOKUP(AJ7,Marination_Ordering!$A:$J,6,FALSE)</f>
        <v>0.9</v>
      </c>
      <c r="AR7" s="1172">
        <f>VLOOKUP(AJ7,Marination_Ordering!$A:$J,10,FALSE)</f>
        <v>3</v>
      </c>
      <c r="AS7" s="175">
        <f t="shared" ref="AS7:AS8" si="10">AP7/AQ7</f>
        <v>2861.4379084967318</v>
      </c>
      <c r="AT7" s="1172">
        <f t="shared" ref="AT7:AT8" si="11">AR7*(AS7/1000)</f>
        <v>8.584313725490194</v>
      </c>
    </row>
    <row r="8" spans="1:46" ht="14.25" customHeight="1" x14ac:dyDescent="0.3">
      <c r="A8" s="270" t="s">
        <v>13</v>
      </c>
      <c r="B8" s="114" t="s">
        <v>820</v>
      </c>
      <c r="C8" s="124" t="s">
        <v>14</v>
      </c>
      <c r="D8" s="125">
        <v>350</v>
      </c>
      <c r="E8" s="223">
        <f t="shared" si="4"/>
        <v>7.4455782312925161</v>
      </c>
      <c r="F8" s="127">
        <v>1</v>
      </c>
      <c r="G8" s="119">
        <f t="shared" si="0"/>
        <v>2605.9523809523807</v>
      </c>
      <c r="H8" s="120">
        <f t="shared" si="1"/>
        <v>2605.9523809523807</v>
      </c>
      <c r="I8" s="81">
        <f>VLOOKUP(B8,All_Ingredients!$A$1:$F$151,6,FALSE())</f>
        <v>1</v>
      </c>
      <c r="J8" s="119">
        <f>VLOOKUP(B8,All_Ingredients!$A$1:$J$151,10,FALSE())</f>
        <v>22</v>
      </c>
      <c r="K8" s="122">
        <f t="shared" si="5"/>
        <v>2.6059523809523806</v>
      </c>
      <c r="L8" s="122">
        <f t="shared" si="6"/>
        <v>57.330952380952375</v>
      </c>
      <c r="AJ8" s="374" t="s">
        <v>792</v>
      </c>
      <c r="AK8" s="124" t="s">
        <v>14</v>
      </c>
      <c r="AL8" s="375">
        <v>250</v>
      </c>
      <c r="AM8" s="376">
        <f t="shared" si="7"/>
        <v>2.5752941176470587</v>
      </c>
      <c r="AN8" s="377">
        <v>1</v>
      </c>
      <c r="AO8" s="378">
        <f t="shared" si="8"/>
        <v>643.82352941176464</v>
      </c>
      <c r="AP8" s="379">
        <f t="shared" si="9"/>
        <v>643.82352941176464</v>
      </c>
      <c r="AQ8" s="1172">
        <f>VLOOKUP(AJ8,Marination_Ordering!$A:$J,6,FALSE)</f>
        <v>1</v>
      </c>
      <c r="AR8" s="1172">
        <f>VLOOKUP(AJ8,Marination_Ordering!$A:$J,10,FALSE)</f>
        <v>10.5</v>
      </c>
      <c r="AS8" s="175">
        <f t="shared" si="10"/>
        <v>643.82352941176464</v>
      </c>
      <c r="AT8" s="1172">
        <f t="shared" si="11"/>
        <v>6.7601470588235291</v>
      </c>
    </row>
    <row r="9" spans="1:46" ht="14.25" customHeight="1" x14ac:dyDescent="0.3">
      <c r="A9" s="270" t="s">
        <v>83</v>
      </c>
      <c r="B9" s="114" t="s">
        <v>82</v>
      </c>
      <c r="C9" s="124" t="s">
        <v>14</v>
      </c>
      <c r="D9" s="125">
        <v>1</v>
      </c>
      <c r="E9" s="223">
        <f t="shared" si="4"/>
        <v>7.4455782312925161</v>
      </c>
      <c r="F9" s="127">
        <v>0.75</v>
      </c>
      <c r="G9" s="119">
        <f t="shared" si="0"/>
        <v>7.4455782312925161</v>
      </c>
      <c r="H9" s="120">
        <f t="shared" si="1"/>
        <v>5.5841836734693873</v>
      </c>
      <c r="I9" s="81">
        <f>VLOOKUP(B9,All_Ingredients!$A$1:$F$151,6,FALSE())</f>
        <v>1</v>
      </c>
      <c r="J9" s="119">
        <f>VLOOKUP(B9,All_Ingredients!$A$1:$J$151,10,FALSE())</f>
        <v>7</v>
      </c>
      <c r="K9" s="122">
        <f t="shared" si="5"/>
        <v>5.5841836734693874E-3</v>
      </c>
      <c r="L9" s="122">
        <f t="shared" si="6"/>
        <v>3.9089285714285715E-2</v>
      </c>
      <c r="AJ9" s="374" t="s">
        <v>157</v>
      </c>
      <c r="AK9" s="124" t="s">
        <v>14</v>
      </c>
      <c r="AL9" s="375">
        <v>300</v>
      </c>
      <c r="AM9" s="376">
        <f t="shared" si="7"/>
        <v>2.5752941176470587</v>
      </c>
      <c r="AN9" s="377">
        <v>1</v>
      </c>
      <c r="AO9" s="378">
        <f t="shared" si="8"/>
        <v>772.58823529411757</v>
      </c>
      <c r="AP9" s="379">
        <f t="shared" si="9"/>
        <v>772.58823529411757</v>
      </c>
      <c r="AQ9" s="1172">
        <f>VLOOKUP(AJ9,Marination_Ordering!$A:$J,6,FALSE)</f>
        <v>1</v>
      </c>
      <c r="AR9" s="1172">
        <f>VLOOKUP(AJ9,Marination_Ordering!$A:$J,10,FALSE)</f>
        <v>30</v>
      </c>
      <c r="AS9" s="175">
        <f t="shared" ref="AS9:AS17" si="12">AP9/AQ9</f>
        <v>772.58823529411757</v>
      </c>
      <c r="AT9" s="1172">
        <f t="shared" ref="AT9:AT17" si="13">AR9*(AS9/1000)</f>
        <v>23.177647058823528</v>
      </c>
    </row>
    <row r="10" spans="1:46" ht="14.25" customHeight="1" x14ac:dyDescent="0.3">
      <c r="A10" s="270" t="s">
        <v>97</v>
      </c>
      <c r="B10" s="114" t="s">
        <v>102</v>
      </c>
      <c r="C10" s="124" t="s">
        <v>14</v>
      </c>
      <c r="D10" s="125">
        <v>2</v>
      </c>
      <c r="E10" s="223">
        <f t="shared" si="4"/>
        <v>7.4455782312925161</v>
      </c>
      <c r="F10" s="127">
        <v>0.75</v>
      </c>
      <c r="G10" s="119">
        <f t="shared" si="0"/>
        <v>14.891156462585032</v>
      </c>
      <c r="H10" s="120">
        <f t="shared" si="1"/>
        <v>11.168367346938775</v>
      </c>
      <c r="I10" s="81">
        <f>VLOOKUP(B10,All_Ingredients!$A$1:$F$151,6,FALSE())</f>
        <v>1</v>
      </c>
      <c r="J10" s="119">
        <f>VLOOKUP(B10,All_Ingredients!$A$1:$J$151,10,FALSE())</f>
        <v>31</v>
      </c>
      <c r="K10" s="122">
        <f t="shared" si="5"/>
        <v>1.1168367346938775E-2</v>
      </c>
      <c r="L10" s="122">
        <f t="shared" si="6"/>
        <v>0.34621938775510203</v>
      </c>
      <c r="AJ10" s="374" t="s">
        <v>584</v>
      </c>
      <c r="AK10" s="124" t="s">
        <v>14</v>
      </c>
      <c r="AL10" s="375">
        <v>350</v>
      </c>
      <c r="AM10" s="376">
        <f t="shared" si="7"/>
        <v>2.5752941176470587</v>
      </c>
      <c r="AN10" s="377">
        <v>1</v>
      </c>
      <c r="AO10" s="378">
        <f t="shared" si="8"/>
        <v>901.35294117647061</v>
      </c>
      <c r="AP10" s="379">
        <f t="shared" si="9"/>
        <v>901.35294117647061</v>
      </c>
      <c r="AQ10" s="1172">
        <f>VLOOKUP(AJ10,Marination_Ordering!$A:$J,6,FALSE)</f>
        <v>1</v>
      </c>
      <c r="AR10" s="1172">
        <f>VLOOKUP(AJ10,Marination_Ordering!$A:$J,10,FALSE)</f>
        <v>11.304</v>
      </c>
      <c r="AS10" s="175">
        <f t="shared" si="12"/>
        <v>901.35294117647061</v>
      </c>
      <c r="AT10" s="1172">
        <f t="shared" si="13"/>
        <v>10.188893647058824</v>
      </c>
    </row>
    <row r="11" spans="1:46" ht="14.25" customHeight="1" x14ac:dyDescent="0.3">
      <c r="A11" s="270" t="s">
        <v>97</v>
      </c>
      <c r="B11" s="114" t="s">
        <v>96</v>
      </c>
      <c r="C11" s="124" t="s">
        <v>14</v>
      </c>
      <c r="D11" s="125">
        <v>5</v>
      </c>
      <c r="E11" s="223">
        <f t="shared" si="4"/>
        <v>7.4455782312925161</v>
      </c>
      <c r="F11" s="127">
        <v>0.75</v>
      </c>
      <c r="G11" s="119">
        <f t="shared" si="0"/>
        <v>37.227891156462583</v>
      </c>
      <c r="H11" s="120">
        <f t="shared" si="1"/>
        <v>27.920918367346935</v>
      </c>
      <c r="I11" s="81">
        <f>VLOOKUP(B11,All_Ingredients!$A$1:$F$151,6,FALSE())</f>
        <v>1</v>
      </c>
      <c r="J11" s="119">
        <f>VLOOKUP(B11,All_Ingredients!$A$1:$J$151,10,FALSE())</f>
        <v>0.74</v>
      </c>
      <c r="K11" s="122">
        <f t="shared" si="5"/>
        <v>2.7920918367346937E-2</v>
      </c>
      <c r="L11" s="122">
        <f t="shared" si="6"/>
        <v>2.0661479591836732E-2</v>
      </c>
      <c r="AJ11" s="374" t="s">
        <v>791</v>
      </c>
      <c r="AK11" s="124" t="s">
        <v>14</v>
      </c>
      <c r="AL11" s="375">
        <v>100</v>
      </c>
      <c r="AM11" s="376">
        <f t="shared" si="7"/>
        <v>2.5752941176470587</v>
      </c>
      <c r="AN11" s="377">
        <v>1</v>
      </c>
      <c r="AO11" s="378">
        <f t="shared" si="8"/>
        <v>257.52941176470586</v>
      </c>
      <c r="AP11" s="379">
        <f t="shared" si="9"/>
        <v>257.52941176470586</v>
      </c>
      <c r="AQ11" s="1172">
        <f>VLOOKUP(AJ11,Marination_Ordering!$A:$J,6,FALSE)</f>
        <v>1</v>
      </c>
      <c r="AR11" s="1172">
        <f>VLOOKUP(AJ11,Marination_Ordering!$A:$J,10,FALSE)</f>
        <v>67.91483113069016</v>
      </c>
      <c r="AS11" s="175">
        <f t="shared" si="12"/>
        <v>257.52941176470586</v>
      </c>
      <c r="AT11" s="1172">
        <f t="shared" si="13"/>
        <v>17.490066511185969</v>
      </c>
    </row>
    <row r="12" spans="1:46" ht="14.25" customHeight="1" x14ac:dyDescent="0.3">
      <c r="A12" s="270" t="s">
        <v>158</v>
      </c>
      <c r="B12" s="114" t="s">
        <v>157</v>
      </c>
      <c r="C12" s="124" t="s">
        <v>14</v>
      </c>
      <c r="D12" s="125">
        <v>15</v>
      </c>
      <c r="E12" s="223">
        <f t="shared" si="4"/>
        <v>7.4455782312925161</v>
      </c>
      <c r="F12" s="127">
        <v>1</v>
      </c>
      <c r="G12" s="119">
        <f t="shared" si="0"/>
        <v>111.68367346938774</v>
      </c>
      <c r="H12" s="120">
        <f t="shared" si="1"/>
        <v>111.68367346938774</v>
      </c>
      <c r="I12" s="81">
        <f>VLOOKUP(B12,All_Ingredients!$A$1:$F$151,6,FALSE())</f>
        <v>1</v>
      </c>
      <c r="J12" s="119">
        <f>VLOOKUP(B12,All_Ingredients!$A$1:$J$151,10,FALSE())</f>
        <v>30</v>
      </c>
      <c r="K12" s="122">
        <f t="shared" si="5"/>
        <v>0.11168367346938775</v>
      </c>
      <c r="L12" s="122">
        <f t="shared" si="6"/>
        <v>3.3505102040816324</v>
      </c>
      <c r="AJ12" s="374" t="s">
        <v>66</v>
      </c>
      <c r="AK12" s="124" t="s">
        <v>14</v>
      </c>
      <c r="AL12" s="375">
        <v>50</v>
      </c>
      <c r="AM12" s="376">
        <f t="shared" si="7"/>
        <v>2.5752941176470587</v>
      </c>
      <c r="AN12" s="377">
        <v>1</v>
      </c>
      <c r="AO12" s="378">
        <f t="shared" si="8"/>
        <v>128.76470588235293</v>
      </c>
      <c r="AP12" s="379">
        <f t="shared" si="9"/>
        <v>128.76470588235293</v>
      </c>
      <c r="AQ12" s="1172">
        <f>VLOOKUP(AJ12,Marination_Ordering!$A:$J,6,FALSE)</f>
        <v>0.65</v>
      </c>
      <c r="AR12" s="1172">
        <f>VLOOKUP(AJ12,Marination_Ordering!$A:$J,10,FALSE)</f>
        <v>3.5</v>
      </c>
      <c r="AS12" s="175">
        <f t="shared" si="12"/>
        <v>198.09954751131218</v>
      </c>
      <c r="AT12" s="1172">
        <f t="shared" si="13"/>
        <v>0.69334841628959265</v>
      </c>
    </row>
    <row r="13" spans="1:46" ht="14.25" customHeight="1" x14ac:dyDescent="0.3">
      <c r="A13" s="270" t="s">
        <v>192</v>
      </c>
      <c r="B13" s="114" t="s">
        <v>191</v>
      </c>
      <c r="C13" s="124" t="s">
        <v>14</v>
      </c>
      <c r="D13" s="125">
        <v>20</v>
      </c>
      <c r="E13" s="223">
        <f t="shared" si="4"/>
        <v>7.4455782312925161</v>
      </c>
      <c r="F13" s="127">
        <v>0.75</v>
      </c>
      <c r="G13" s="119">
        <f t="shared" si="0"/>
        <v>148.91156462585033</v>
      </c>
      <c r="H13" s="120">
        <f t="shared" si="1"/>
        <v>111.68367346938774</v>
      </c>
      <c r="I13" s="81">
        <f>VLOOKUP(B13,All_Ingredients!$A$1:$F$151,6,FALSE())</f>
        <v>1</v>
      </c>
      <c r="J13" s="119">
        <f>VLOOKUP(B13,All_Ingredients!$A$1:$J$151,10,FALSE())</f>
        <v>1.7</v>
      </c>
      <c r="K13" s="122">
        <f t="shared" si="5"/>
        <v>0.11168367346938775</v>
      </c>
      <c r="L13" s="122">
        <f t="shared" si="6"/>
        <v>0.18986224489795916</v>
      </c>
      <c r="AJ13" s="374" t="s">
        <v>794</v>
      </c>
      <c r="AK13" s="124" t="s">
        <v>14</v>
      </c>
      <c r="AL13" s="375">
        <v>10</v>
      </c>
      <c r="AM13" s="376">
        <f t="shared" si="7"/>
        <v>2.5752941176470587</v>
      </c>
      <c r="AN13" s="377">
        <v>1</v>
      </c>
      <c r="AO13" s="378">
        <f t="shared" si="8"/>
        <v>25.752941176470586</v>
      </c>
      <c r="AP13" s="379">
        <f t="shared" si="9"/>
        <v>25.752941176470586</v>
      </c>
      <c r="AQ13" s="1172">
        <f>VLOOKUP(AJ13,Marination_Ordering!$A:$J,6,FALSE)</f>
        <v>0.5</v>
      </c>
      <c r="AR13" s="1172">
        <f>VLOOKUP(AJ13,Marination_Ordering!$A:$J,10,FALSE)</f>
        <v>90</v>
      </c>
      <c r="AS13" s="175">
        <f t="shared" si="12"/>
        <v>51.505882352941171</v>
      </c>
      <c r="AT13" s="1172">
        <f t="shared" si="13"/>
        <v>4.6355294117647059</v>
      </c>
    </row>
    <row r="14" spans="1:46" ht="14.25" customHeight="1" x14ac:dyDescent="0.3">
      <c r="A14" s="270" t="s">
        <v>158</v>
      </c>
      <c r="B14" s="114" t="s">
        <v>164</v>
      </c>
      <c r="C14" s="124" t="s">
        <v>165</v>
      </c>
      <c r="D14" s="125">
        <v>600</v>
      </c>
      <c r="E14" s="223">
        <f t="shared" si="4"/>
        <v>7.4455782312925161</v>
      </c>
      <c r="F14" s="127">
        <v>1</v>
      </c>
      <c r="G14" s="119">
        <f t="shared" si="0"/>
        <v>4467.3469387755094</v>
      </c>
      <c r="H14" s="120">
        <f t="shared" si="1"/>
        <v>4467.3469387755094</v>
      </c>
      <c r="I14" s="81">
        <f>VLOOKUP(B14,All_Ingredients!$A$1:$F$151,6,FALSE())</f>
        <v>1</v>
      </c>
      <c r="J14" s="119">
        <f>VLOOKUP(B14,All_Ingredients!$A$1:$J$151,10,FALSE())</f>
        <v>4.2033333333333331</v>
      </c>
      <c r="K14" s="122">
        <f t="shared" si="5"/>
        <v>4.4673469387755098</v>
      </c>
      <c r="L14" s="122">
        <f t="shared" si="6"/>
        <v>18.777748299319725</v>
      </c>
      <c r="AJ14" s="374" t="s">
        <v>146</v>
      </c>
      <c r="AK14" s="124" t="s">
        <v>14</v>
      </c>
      <c r="AL14" s="375">
        <v>2.5</v>
      </c>
      <c r="AM14" s="376">
        <f t="shared" si="7"/>
        <v>2.5752941176470587</v>
      </c>
      <c r="AN14" s="377">
        <v>1</v>
      </c>
      <c r="AO14" s="378">
        <f t="shared" si="8"/>
        <v>6.4382352941176464</v>
      </c>
      <c r="AP14" s="379">
        <f t="shared" si="9"/>
        <v>6.4382352941176464</v>
      </c>
      <c r="AQ14" s="1172">
        <f>VLOOKUP(AJ14,Marination_Ordering!$A:$J,6,FALSE)</f>
        <v>1</v>
      </c>
      <c r="AR14" s="1172">
        <f>VLOOKUP(AJ14,Marination_Ordering!$A:$J,10,FALSE)</f>
        <v>249.99999999999997</v>
      </c>
      <c r="AS14" s="175">
        <f t="shared" si="12"/>
        <v>6.4382352941176464</v>
      </c>
      <c r="AT14" s="1172">
        <f t="shared" si="13"/>
        <v>1.6095588235294114</v>
      </c>
    </row>
    <row r="15" spans="1:46" ht="15" customHeight="1" x14ac:dyDescent="0.3">
      <c r="A15" s="270" t="s">
        <v>158</v>
      </c>
      <c r="B15" s="114" t="s">
        <v>171</v>
      </c>
      <c r="C15" s="124" t="s">
        <v>165</v>
      </c>
      <c r="D15" s="125">
        <v>600</v>
      </c>
      <c r="E15" s="223">
        <f t="shared" si="4"/>
        <v>7.4455782312925161</v>
      </c>
      <c r="F15" s="127">
        <v>1</v>
      </c>
      <c r="G15" s="119">
        <f t="shared" si="0"/>
        <v>4467.3469387755094</v>
      </c>
      <c r="H15" s="120">
        <f t="shared" si="1"/>
        <v>4467.3469387755094</v>
      </c>
      <c r="I15" s="81">
        <f>VLOOKUP(B15,All_Ingredients!$A$1:$F$151,6,FALSE())</f>
        <v>1</v>
      </c>
      <c r="J15" s="119">
        <f>VLOOKUP(B15,All_Ingredients!$A$1:$J$151,10,FALSE())</f>
        <v>12.666666666666666</v>
      </c>
      <c r="K15" s="122">
        <f t="shared" si="5"/>
        <v>4.4673469387755098</v>
      </c>
      <c r="L15" s="122">
        <f t="shared" si="6"/>
        <v>56.58639455782312</v>
      </c>
      <c r="AJ15" s="374" t="s">
        <v>96</v>
      </c>
      <c r="AK15" s="124" t="s">
        <v>14</v>
      </c>
      <c r="AL15" s="375">
        <v>15</v>
      </c>
      <c r="AM15" s="376">
        <f t="shared" si="7"/>
        <v>2.5752941176470587</v>
      </c>
      <c r="AN15" s="377">
        <v>1</v>
      </c>
      <c r="AO15" s="378">
        <f>AL15*AM15</f>
        <v>38.629411764705878</v>
      </c>
      <c r="AP15" s="379">
        <f>AO15*AN15</f>
        <v>38.629411764705878</v>
      </c>
      <c r="AQ15" s="1172">
        <f>VLOOKUP(AJ15,Marination_Ordering!$A:$J,6,FALSE)</f>
        <v>1</v>
      </c>
      <c r="AR15" s="1172">
        <f>VLOOKUP(AJ15,Marination_Ordering!$A:$J,10,FALSE)</f>
        <v>0.74</v>
      </c>
      <c r="AS15" s="175">
        <f t="shared" si="12"/>
        <v>38.629411764705878</v>
      </c>
      <c r="AT15" s="1172">
        <f t="shared" si="13"/>
        <v>2.8585764705882349E-2</v>
      </c>
    </row>
    <row r="16" spans="1:46" ht="14.25" customHeight="1" x14ac:dyDescent="0.3">
      <c r="A16" s="270" t="s">
        <v>196</v>
      </c>
      <c r="B16" s="114" t="s">
        <v>198</v>
      </c>
      <c r="C16" s="124" t="s">
        <v>165</v>
      </c>
      <c r="D16" s="125">
        <v>3</v>
      </c>
      <c r="E16" s="223">
        <f t="shared" si="4"/>
        <v>7.4455782312925161</v>
      </c>
      <c r="F16" s="127">
        <v>0.75</v>
      </c>
      <c r="G16" s="119">
        <f t="shared" si="0"/>
        <v>22.336734693877549</v>
      </c>
      <c r="H16" s="120">
        <f t="shared" si="1"/>
        <v>16.752551020408163</v>
      </c>
      <c r="I16" s="81">
        <f>VLOOKUP(B16,All_Ingredients!$A$1:$F$151,6,FALSE())</f>
        <v>1</v>
      </c>
      <c r="J16" s="119">
        <f>VLOOKUP(B16,All_Ingredients!$A$1:$J$151,10,FALSE())</f>
        <v>58.685446009389672</v>
      </c>
      <c r="K16" s="122">
        <f t="shared" si="5"/>
        <v>1.6752551020408162E-2</v>
      </c>
      <c r="L16" s="122">
        <f t="shared" si="6"/>
        <v>0.98313092842770911</v>
      </c>
      <c r="AJ16" s="374" t="s">
        <v>104</v>
      </c>
      <c r="AK16" s="124" t="s">
        <v>14</v>
      </c>
      <c r="AL16" s="375">
        <v>10</v>
      </c>
      <c r="AM16" s="376">
        <f t="shared" si="7"/>
        <v>2.5752941176470587</v>
      </c>
      <c r="AN16" s="377">
        <v>1</v>
      </c>
      <c r="AO16" s="378">
        <f>AL16*AM16</f>
        <v>25.752941176470586</v>
      </c>
      <c r="AP16" s="379">
        <f>AO16*AN16</f>
        <v>25.752941176470586</v>
      </c>
      <c r="AQ16" s="1172">
        <f>VLOOKUP(AJ16,Marination_Ordering!$A:$J,6,FALSE)</f>
        <v>1</v>
      </c>
      <c r="AR16" s="1172">
        <f>VLOOKUP(AJ16,Marination_Ordering!$A:$J,10,FALSE)</f>
        <v>47</v>
      </c>
      <c r="AS16" s="175">
        <f t="shared" si="12"/>
        <v>25.752941176470586</v>
      </c>
      <c r="AT16" s="1172">
        <f t="shared" si="13"/>
        <v>1.2103882352941175</v>
      </c>
    </row>
    <row r="17" spans="1:46" ht="14.25" customHeight="1" x14ac:dyDescent="0.3">
      <c r="A17" s="270"/>
      <c r="B17" s="114" t="s">
        <v>144</v>
      </c>
      <c r="C17" s="124" t="s">
        <v>14</v>
      </c>
      <c r="D17" s="125">
        <v>20</v>
      </c>
      <c r="E17" s="223">
        <f t="shared" si="4"/>
        <v>7.4455782312925161</v>
      </c>
      <c r="F17" s="127">
        <v>0.75</v>
      </c>
      <c r="G17" s="119">
        <f t="shared" si="0"/>
        <v>148.91156462585033</v>
      </c>
      <c r="H17" s="120">
        <f t="shared" si="1"/>
        <v>111.68367346938774</v>
      </c>
      <c r="I17" s="81">
        <f>VLOOKUP(B17,All_Ingredients!$A$1:$F$151,6,FALSE())</f>
        <v>1</v>
      </c>
      <c r="J17" s="119">
        <f>VLOOKUP(B17,All_Ingredients!$A$1:$J$151,10,FALSE())</f>
        <v>15.277777777777779</v>
      </c>
      <c r="K17" s="122">
        <f t="shared" si="5"/>
        <v>0.11168367346938775</v>
      </c>
      <c r="L17" s="122">
        <f t="shared" si="6"/>
        <v>1.7062783446712018</v>
      </c>
      <c r="AJ17" s="374" t="s">
        <v>102</v>
      </c>
      <c r="AK17" s="124" t="s">
        <v>14</v>
      </c>
      <c r="AL17" s="375">
        <v>5</v>
      </c>
      <c r="AM17" s="376">
        <f t="shared" si="7"/>
        <v>2.5752941176470587</v>
      </c>
      <c r="AN17" s="377">
        <v>1</v>
      </c>
      <c r="AO17" s="378">
        <f t="shared" si="8"/>
        <v>12.876470588235293</v>
      </c>
      <c r="AP17" s="379">
        <f t="shared" si="9"/>
        <v>12.876470588235293</v>
      </c>
      <c r="AQ17" s="1172">
        <f>VLOOKUP(AJ17,Marination_Ordering!$A:$J,6,FALSE)</f>
        <v>1</v>
      </c>
      <c r="AR17" s="1172">
        <f>VLOOKUP(AJ17,Marination_Ordering!$A:$J,10,FALSE)</f>
        <v>31</v>
      </c>
      <c r="AS17" s="175">
        <f t="shared" si="12"/>
        <v>12.876470588235293</v>
      </c>
      <c r="AT17" s="1172">
        <f t="shared" si="13"/>
        <v>0.39917058823529411</v>
      </c>
    </row>
    <row r="20" spans="1:46" ht="14.25" customHeight="1" x14ac:dyDescent="0.3">
      <c r="L20" s="209"/>
    </row>
    <row r="21" spans="1:46" ht="14.25" customHeight="1" x14ac:dyDescent="0.3">
      <c r="L21" s="209"/>
    </row>
    <row r="22" spans="1:46" ht="14.25" customHeight="1" x14ac:dyDescent="0.3">
      <c r="L22" s="209"/>
      <c r="R22" s="129" t="s">
        <v>312</v>
      </c>
    </row>
    <row r="23" spans="1:46" ht="14.25" customHeight="1" x14ac:dyDescent="0.3">
      <c r="L23" s="209"/>
      <c r="R23" s="275" t="s">
        <v>423</v>
      </c>
    </row>
    <row r="24" spans="1:46" ht="14.25" customHeight="1" x14ac:dyDescent="0.3">
      <c r="L24" s="209"/>
      <c r="Z24" s="1294"/>
    </row>
    <row r="25" spans="1:46" ht="14.25" customHeight="1" x14ac:dyDescent="0.35">
      <c r="L25" s="209"/>
      <c r="R25" s="1479" t="s">
        <v>557</v>
      </c>
      <c r="S25" s="1479"/>
      <c r="T25" s="1479"/>
      <c r="U25" s="1479"/>
      <c r="V25" s="1479"/>
      <c r="W25" s="1151"/>
      <c r="Z25" s="141" t="s">
        <v>264</v>
      </c>
      <c r="AA25" s="142">
        <v>19290</v>
      </c>
      <c r="AB25" s="141" t="s">
        <v>261</v>
      </c>
      <c r="AC25" s="143">
        <f>(AA25*(4/3))*AF30+(AA30*(AB28/R1))</f>
        <v>1020.0963175256953</v>
      </c>
      <c r="AD25" s="14"/>
      <c r="AN25" s="639"/>
      <c r="AP25" s="819"/>
    </row>
    <row r="26" spans="1:46" ht="14.25" customHeight="1" x14ac:dyDescent="0.3">
      <c r="B26" s="100"/>
      <c r="E26" s="100"/>
      <c r="F26" s="100"/>
      <c r="R26" s="1480" t="s">
        <v>424</v>
      </c>
      <c r="S26" s="1480"/>
      <c r="T26" s="1480"/>
      <c r="U26" s="1480"/>
      <c r="V26" s="1480"/>
      <c r="W26" s="1151"/>
      <c r="Z26" s="14"/>
      <c r="AA26" s="14"/>
      <c r="AB26" s="14"/>
      <c r="AC26" s="14"/>
      <c r="AD26" s="14"/>
      <c r="AN26" s="639"/>
    </row>
    <row r="27" spans="1:46" ht="14.25" customHeight="1" thickBot="1" x14ac:dyDescent="0.35">
      <c r="R27" s="145" t="s">
        <v>266</v>
      </c>
      <c r="S27" s="146" t="s">
        <v>267</v>
      </c>
      <c r="T27" s="146" t="s">
        <v>268</v>
      </c>
      <c r="U27" s="146" t="s">
        <v>425</v>
      </c>
      <c r="V27" s="145" t="s">
        <v>269</v>
      </c>
      <c r="W27" s="146" t="s">
        <v>839</v>
      </c>
      <c r="X27" s="146" t="s">
        <v>848</v>
      </c>
      <c r="Z27" s="1183" t="s">
        <v>270</v>
      </c>
      <c r="AA27" s="1185" t="s">
        <v>324</v>
      </c>
      <c r="AB27" s="1186" t="s">
        <v>271</v>
      </c>
      <c r="AC27" s="1186" t="s">
        <v>273</v>
      </c>
      <c r="AD27" s="1186" t="s">
        <v>425</v>
      </c>
      <c r="AE27" s="1186" t="s">
        <v>848</v>
      </c>
      <c r="AF27" s="1186" t="s">
        <v>274</v>
      </c>
    </row>
    <row r="28" spans="1:46" ht="14.25" customHeight="1" thickBot="1" x14ac:dyDescent="0.35">
      <c r="R28" s="148" t="s">
        <v>275</v>
      </c>
      <c r="S28" s="149">
        <f>V28*0.9</f>
        <v>19701</v>
      </c>
      <c r="T28" s="149"/>
      <c r="U28" s="149">
        <f>V28*0.1</f>
        <v>2189</v>
      </c>
      <c r="V28" s="1303">
        <f>$Z$1</f>
        <v>21890</v>
      </c>
      <c r="W28" s="149">
        <f>SUM(AP5:AP17)</f>
        <v>13153.314705882351</v>
      </c>
      <c r="X28" s="149">
        <f>F37</f>
        <v>10.290000000000001</v>
      </c>
      <c r="Z28" s="1187"/>
      <c r="AA28" s="1188"/>
      <c r="AB28" s="1318">
        <f>AA25*$S$40</f>
        <v>17361</v>
      </c>
      <c r="AC28" s="1316">
        <f>AA25*(1/3)</f>
        <v>6430</v>
      </c>
      <c r="AD28" s="3">
        <f>AA25*U40</f>
        <v>1929</v>
      </c>
      <c r="AE28" s="1188"/>
      <c r="AF28" s="1319">
        <f>SUM(AB28:AD28)</f>
        <v>25720</v>
      </c>
    </row>
    <row r="29" spans="1:46" ht="14.25" customHeight="1" thickBot="1" x14ac:dyDescent="0.35">
      <c r="B29" s="100"/>
      <c r="E29" s="100"/>
      <c r="F29" s="100"/>
      <c r="R29" s="148" t="s">
        <v>276</v>
      </c>
      <c r="S29" s="1313"/>
      <c r="T29" s="149">
        <f>V28*(1/3)</f>
        <v>7296.6666666666661</v>
      </c>
      <c r="U29" s="1313"/>
      <c r="V29" s="1314"/>
      <c r="W29" s="149"/>
      <c r="X29" s="149"/>
      <c r="Z29" s="1187"/>
      <c r="AA29" s="1192"/>
      <c r="AB29" s="1195">
        <f>AB28/$AF$28</f>
        <v>0.67500000000000004</v>
      </c>
      <c r="AC29" s="1195">
        <f>AC28/$AF$28</f>
        <v>0.25</v>
      </c>
      <c r="AD29" s="1195">
        <f>AD28/$AF$28</f>
        <v>7.4999999999999997E-2</v>
      </c>
      <c r="AE29" s="1192"/>
      <c r="AF29" s="1195">
        <f>AF28/$AF$28</f>
        <v>1</v>
      </c>
    </row>
    <row r="30" spans="1:46" ht="14.25" customHeight="1" thickBot="1" x14ac:dyDescent="0.35">
      <c r="R30" s="148" t="s">
        <v>277</v>
      </c>
      <c r="S30" s="155">
        <f>V30*0.9</f>
        <v>0</v>
      </c>
      <c r="T30" s="155">
        <f>V30*0.3</f>
        <v>0</v>
      </c>
      <c r="U30" s="155">
        <f>V30*0.1</f>
        <v>0</v>
      </c>
      <c r="V30" s="1315">
        <f>$AB$1</f>
        <v>0</v>
      </c>
      <c r="W30" s="1143"/>
      <c r="X30" s="1143"/>
      <c r="Z30" s="1183" t="s">
        <v>278</v>
      </c>
      <c r="AA30" s="1196">
        <f>W35/(S32/R1)</f>
        <v>6.3357698143755416E-3</v>
      </c>
      <c r="AB30" s="1198">
        <f>S35/(S32)</f>
        <v>3.8987688098495218E-2</v>
      </c>
      <c r="AC30" s="511">
        <f>T35/T32</f>
        <v>1.1882551619239245E-2</v>
      </c>
      <c r="AD30" s="3">
        <f>U35/U32</f>
        <v>2.6190476190476188E-2</v>
      </c>
      <c r="AE30" s="1199">
        <f>X35/V32</f>
        <v>2.4407878553607199E-5</v>
      </c>
      <c r="AF30" s="1317">
        <f>SUMPRODUCT(AB30:AD30,AB29:AD29)+AE30</f>
        <v>3.1276020964133414E-2</v>
      </c>
    </row>
    <row r="31" spans="1:46" ht="14.25" customHeight="1" thickBot="1" x14ac:dyDescent="0.35">
      <c r="R31" s="148"/>
      <c r="S31" s="155"/>
      <c r="T31" s="149"/>
      <c r="U31" s="155"/>
      <c r="V31" s="339"/>
      <c r="W31" s="149"/>
      <c r="X31" s="149"/>
    </row>
    <row r="32" spans="1:46" ht="14.25" customHeight="1" thickBot="1" x14ac:dyDescent="0.35">
      <c r="R32" s="160" t="s">
        <v>269</v>
      </c>
      <c r="S32" s="149">
        <f>S28+S30</f>
        <v>19701</v>
      </c>
      <c r="T32" s="149">
        <f>SUM(T28:T30)</f>
        <v>7296.6666666666661</v>
      </c>
      <c r="U32" s="149">
        <f>U28+U30</f>
        <v>2189</v>
      </c>
      <c r="V32" s="340">
        <f>S32+U32+T32</f>
        <v>29186.666666666664</v>
      </c>
      <c r="W32" s="149"/>
      <c r="X32" s="149">
        <f>H37</f>
        <v>10.290000000000001</v>
      </c>
    </row>
    <row r="33" spans="2:25" ht="14.25" customHeight="1" thickBot="1" x14ac:dyDescent="0.35">
      <c r="B33" s="100"/>
      <c r="E33" s="100"/>
      <c r="F33" s="100"/>
      <c r="R33" s="161" t="s">
        <v>280</v>
      </c>
      <c r="S33" s="155"/>
      <c r="T33" s="155"/>
      <c r="U33" s="155"/>
      <c r="V33" s="343"/>
      <c r="W33" s="155"/>
      <c r="X33" s="155"/>
    </row>
    <row r="34" spans="2:25" ht="14.25" customHeight="1" thickBot="1" x14ac:dyDescent="0.35">
      <c r="B34" s="100"/>
      <c r="E34" s="100"/>
      <c r="F34" s="100"/>
      <c r="R34" s="162" t="s">
        <v>281</v>
      </c>
      <c r="S34" s="155"/>
      <c r="T34" s="149"/>
      <c r="U34" s="155"/>
      <c r="V34" s="344"/>
      <c r="W34" s="155"/>
      <c r="X34" s="155"/>
    </row>
    <row r="35" spans="2:25" ht="14.25" customHeight="1" thickBot="1" x14ac:dyDescent="0.35">
      <c r="B35" s="1394" t="s">
        <v>714</v>
      </c>
      <c r="C35" s="1394"/>
      <c r="D35" s="1394"/>
      <c r="E35" s="1394"/>
      <c r="F35" s="1394"/>
      <c r="G35" s="882"/>
      <c r="H35" s="882"/>
      <c r="R35" s="163" t="s">
        <v>261</v>
      </c>
      <c r="S35" s="1144">
        <f>L5</f>
        <v>768.09644322845429</v>
      </c>
      <c r="T35" s="1144">
        <f>SUM(L9:L17,L6:L7)</f>
        <v>86.703018315049022</v>
      </c>
      <c r="U35" s="1144">
        <f>$L$8</f>
        <v>57.330952380952375</v>
      </c>
      <c r="V35" s="1203">
        <f>S35+T35+U35+W35+X35</f>
        <v>1157.589859545747</v>
      </c>
      <c r="W35" s="1144">
        <f>SUM(AT6:AT17)</f>
        <v>244.74706100590694</v>
      </c>
      <c r="X35" s="1144">
        <f>L37</f>
        <v>0.71238461538461539</v>
      </c>
    </row>
    <row r="36" spans="2:25" ht="46.5" x14ac:dyDescent="0.3">
      <c r="B36" s="860" t="s">
        <v>253</v>
      </c>
      <c r="C36" s="860" t="s">
        <v>329</v>
      </c>
      <c r="D36" s="862" t="s">
        <v>671</v>
      </c>
      <c r="E36" s="859" t="s">
        <v>672</v>
      </c>
      <c r="F36" s="862" t="s">
        <v>673</v>
      </c>
      <c r="G36" s="882"/>
      <c r="H36" s="862" t="s">
        <v>673</v>
      </c>
      <c r="I36" s="862" t="s">
        <v>258</v>
      </c>
      <c r="J36" s="862" t="s">
        <v>259</v>
      </c>
      <c r="K36" s="862" t="s">
        <v>260</v>
      </c>
      <c r="L36" s="862" t="s">
        <v>261</v>
      </c>
    </row>
    <row r="37" spans="2:25" x14ac:dyDescent="0.3">
      <c r="B37" s="855" t="s">
        <v>746</v>
      </c>
      <c r="C37" s="856" t="s">
        <v>14</v>
      </c>
      <c r="D37" s="857">
        <v>7.0000000000000007E-2</v>
      </c>
      <c r="E37" s="855">
        <f>$AD$1</f>
        <v>147</v>
      </c>
      <c r="F37" s="855">
        <f>D37*E37</f>
        <v>10.290000000000001</v>
      </c>
      <c r="G37" s="881"/>
      <c r="H37" s="855">
        <f>F37</f>
        <v>10.290000000000001</v>
      </c>
      <c r="I37" s="855">
        <f>VLOOKUP(B37,All_Ingredients!$A$1:$F$151,6,FALSE())</f>
        <v>0.65</v>
      </c>
      <c r="J37" s="855">
        <f>VLOOKUP(B37,All_Ingredients!$A$1:$J$151,10,FALSE())</f>
        <v>45</v>
      </c>
      <c r="K37" s="1312">
        <f>(H37/I37)/1000</f>
        <v>1.5830769230769232E-2</v>
      </c>
      <c r="L37" s="1312">
        <f>K37*J37</f>
        <v>0.71238461538461539</v>
      </c>
    </row>
    <row r="40" spans="2:25" ht="17.25" customHeight="1" x14ac:dyDescent="0.3">
      <c r="Q40" s="14"/>
      <c r="R40" s="165" t="s">
        <v>282</v>
      </c>
      <c r="S40" s="239">
        <v>0.9</v>
      </c>
      <c r="T40" s="165" t="s">
        <v>872</v>
      </c>
      <c r="U40" s="239">
        <v>0.1</v>
      </c>
      <c r="V40" s="168">
        <f>S40+U40</f>
        <v>1</v>
      </c>
      <c r="W40" s="14"/>
      <c r="X40" s="14"/>
      <c r="Y40" s="14"/>
    </row>
    <row r="41" spans="2:25" ht="14.25" customHeight="1" x14ac:dyDescent="0.3">
      <c r="Q41" s="14"/>
      <c r="R41" s="14"/>
      <c r="S41" s="14"/>
      <c r="T41" s="14"/>
      <c r="U41" s="169"/>
      <c r="V41" s="14"/>
      <c r="W41" s="14"/>
      <c r="X41" s="14"/>
      <c r="Y41" s="14"/>
    </row>
    <row r="42" spans="2:25" ht="14.25" customHeight="1" x14ac:dyDescent="0.3">
      <c r="Q42" s="14"/>
      <c r="R42" s="14"/>
      <c r="S42" s="14"/>
      <c r="T42" s="14"/>
      <c r="U42" s="14"/>
      <c r="V42" s="14"/>
      <c r="W42" s="14"/>
      <c r="X42" s="14"/>
      <c r="Y42" s="14"/>
    </row>
    <row r="43" spans="2:25" ht="14.25" customHeight="1" x14ac:dyDescent="0.3">
      <c r="Q43" s="170" t="s">
        <v>284</v>
      </c>
      <c r="R43" s="170" t="s">
        <v>285</v>
      </c>
      <c r="S43" s="170" t="s">
        <v>286</v>
      </c>
      <c r="T43" s="170" t="s">
        <v>287</v>
      </c>
      <c r="U43" s="170" t="s">
        <v>288</v>
      </c>
      <c r="V43" s="170" t="s">
        <v>289</v>
      </c>
      <c r="W43" s="258" t="s">
        <v>290</v>
      </c>
      <c r="X43" s="321"/>
      <c r="Y43" s="321"/>
    </row>
    <row r="44" spans="2:25" ht="14.25" customHeight="1" x14ac:dyDescent="0.3">
      <c r="Q44" s="172">
        <v>33334</v>
      </c>
      <c r="R44" s="173">
        <f>D51</f>
        <v>10000</v>
      </c>
      <c r="S44" s="174">
        <v>0</v>
      </c>
      <c r="T44" s="241">
        <v>1</v>
      </c>
      <c r="U44" s="242">
        <f>R44*S44</f>
        <v>0</v>
      </c>
      <c r="V44" s="176">
        <f>R44*T44</f>
        <v>10000</v>
      </c>
      <c r="W44" s="260">
        <f>Q44-U44</f>
        <v>33334</v>
      </c>
      <c r="X44" s="298"/>
      <c r="Y44" s="14"/>
    </row>
    <row r="50" spans="1:44" x14ac:dyDescent="0.3">
      <c r="B50" s="276"/>
      <c r="C50" s="145" t="s">
        <v>245</v>
      </c>
      <c r="D50" s="145" t="s">
        <v>291</v>
      </c>
      <c r="F50" s="100"/>
      <c r="G50" s="145" t="s">
        <v>292</v>
      </c>
      <c r="H50" s="145" t="s">
        <v>245</v>
      </c>
      <c r="I50" s="145" t="s">
        <v>293</v>
      </c>
      <c r="J50" s="145" t="s">
        <v>294</v>
      </c>
    </row>
    <row r="51" spans="1:44" x14ac:dyDescent="0.3">
      <c r="B51" s="180" t="s">
        <v>295</v>
      </c>
      <c r="C51" s="181">
        <f>10/$K$1</f>
        <v>10.204081632653061</v>
      </c>
      <c r="D51" s="182">
        <f>$C$1*10</f>
        <v>10000</v>
      </c>
      <c r="E51" s="183"/>
      <c r="F51" s="100"/>
      <c r="G51" s="180" t="s">
        <v>295</v>
      </c>
      <c r="H51" s="277">
        <f>I51/$D$5</f>
        <v>10</v>
      </c>
      <c r="I51" s="181">
        <f>J51/$R$1</f>
        <v>65360.784313725489</v>
      </c>
      <c r="J51" s="181">
        <f>$W$44</f>
        <v>33334</v>
      </c>
    </row>
    <row r="52" spans="1:44" x14ac:dyDescent="0.3">
      <c r="B52" s="231" t="s">
        <v>274</v>
      </c>
      <c r="C52" s="232">
        <f>$I$1</f>
        <v>7.4455782312925161</v>
      </c>
      <c r="D52" s="233">
        <f>$E$1</f>
        <v>7296.6666666666661</v>
      </c>
      <c r="E52" s="100"/>
      <c r="F52" s="100"/>
      <c r="G52" s="148" t="s">
        <v>274</v>
      </c>
      <c r="H52" s="210">
        <f>I52/$D$5</f>
        <v>5.9101817963640721</v>
      </c>
      <c r="I52" s="176">
        <f>J52/$R$1</f>
        <v>38629.411764705881</v>
      </c>
      <c r="J52" s="184">
        <f>$S$32</f>
        <v>19701</v>
      </c>
    </row>
    <row r="53" spans="1:44" x14ac:dyDescent="0.3">
      <c r="B53" s="231" t="s">
        <v>296</v>
      </c>
      <c r="C53" s="234">
        <f>MIN(C52, C51)</f>
        <v>7.4455782312925161</v>
      </c>
      <c r="D53" s="233">
        <f>(C53*$K$1)*$C$1</f>
        <v>7296.6666666666661</v>
      </c>
      <c r="E53" s="100"/>
      <c r="F53" s="100"/>
      <c r="G53" s="148" t="s">
        <v>296</v>
      </c>
      <c r="H53" s="187">
        <f>MIN(H52,H51)</f>
        <v>5.9101817963640721</v>
      </c>
      <c r="I53" s="176">
        <f>J53/$R$1</f>
        <v>38629.411764705881</v>
      </c>
      <c r="J53" s="176">
        <f>MIN(J52,J51)</f>
        <v>19701</v>
      </c>
    </row>
    <row r="54" spans="1:44" x14ac:dyDescent="0.3">
      <c r="B54" s="231" t="s">
        <v>297</v>
      </c>
      <c r="C54" s="234">
        <f>MIN(MAX(C52-C53,0),C51)</f>
        <v>0</v>
      </c>
      <c r="D54" s="233">
        <f>(C54*$K$1)*$C$1</f>
        <v>0</v>
      </c>
      <c r="E54" s="100"/>
      <c r="F54" s="100"/>
      <c r="G54" s="148" t="s">
        <v>297</v>
      </c>
      <c r="H54" s="187">
        <f>MIN(MAX(H52-H53),H51)</f>
        <v>0</v>
      </c>
      <c r="I54" s="176">
        <f>J54/$R$1</f>
        <v>0</v>
      </c>
      <c r="J54" s="176">
        <f>MIN(MAX(J52-J53),J51)</f>
        <v>0</v>
      </c>
    </row>
    <row r="55" spans="1:44" x14ac:dyDescent="0.3">
      <c r="B55" s="231" t="s">
        <v>298</v>
      </c>
      <c r="C55" s="234">
        <f>MIN(MAX(C52-C53-C54,0),C51)</f>
        <v>0</v>
      </c>
      <c r="D55" s="233">
        <f>(C55*$K$1)*$C$1</f>
        <v>0</v>
      </c>
      <c r="E55" s="100"/>
      <c r="F55" s="100"/>
      <c r="G55" s="145" t="s">
        <v>298</v>
      </c>
      <c r="H55" s="187">
        <f>MIN(MAX(H52-H53-H54),H51)</f>
        <v>0</v>
      </c>
      <c r="I55" s="176">
        <f>J55/$R$1</f>
        <v>0</v>
      </c>
      <c r="J55" s="176">
        <f>MIN(MAX(J52-J53-J54),J51)</f>
        <v>0</v>
      </c>
    </row>
    <row r="62" spans="1:44" ht="17.75" customHeight="1" x14ac:dyDescent="0.35">
      <c r="A62" s="938"/>
      <c r="B62" s="1382" t="str">
        <f>"دجاج مشروم  1 / " &amp; COUNTIF($C$53:$C$55, "&gt;0")</f>
        <v>دجاج مشروم  1 / 1</v>
      </c>
      <c r="C62" s="1383"/>
      <c r="D62" s="1383"/>
      <c r="E62" s="1383"/>
      <c r="F62" s="1383"/>
      <c r="G62" s="1383"/>
      <c r="H62" s="1383"/>
      <c r="AJ62" s="814"/>
      <c r="AK62" s="814"/>
      <c r="AL62" s="814"/>
      <c r="AM62" s="814"/>
      <c r="AN62" s="814"/>
      <c r="AO62" s="759"/>
      <c r="AP62" s="814"/>
      <c r="AQ62" s="814"/>
      <c r="AR62" s="814"/>
    </row>
    <row r="63" spans="1:44" ht="17.75" customHeight="1" x14ac:dyDescent="0.35">
      <c r="A63" s="938"/>
      <c r="B63" s="1384" t="str">
        <f>"Chicken Mushroom  1 / " &amp; COUNTIF($C$53:$C$55, "&gt;0")</f>
        <v>Chicken Mushroom  1 / 1</v>
      </c>
      <c r="C63" s="1385"/>
      <c r="D63" s="1385"/>
      <c r="E63" s="1385"/>
      <c r="F63" s="1385"/>
      <c r="G63" s="1385"/>
      <c r="H63" s="1385"/>
      <c r="AJ63" s="815"/>
      <c r="AK63" s="815"/>
      <c r="AL63" s="800"/>
      <c r="AM63" s="759"/>
      <c r="AN63" s="759"/>
      <c r="AO63" s="759"/>
      <c r="AP63" s="801"/>
      <c r="AQ63" s="816"/>
      <c r="AR63" s="816"/>
    </row>
    <row r="64" spans="1:44" ht="25.5" customHeight="1" x14ac:dyDescent="0.35">
      <c r="A64" s="91"/>
      <c r="B64" s="243" t="s">
        <v>253</v>
      </c>
      <c r="C64" s="244" t="s">
        <v>254</v>
      </c>
      <c r="D64" s="245" t="s">
        <v>243</v>
      </c>
      <c r="E64" s="218" t="s">
        <v>246</v>
      </c>
      <c r="F64" s="218" t="s">
        <v>255</v>
      </c>
      <c r="G64" s="245" t="s">
        <v>256</v>
      </c>
      <c r="H64" s="218" t="s">
        <v>257</v>
      </c>
      <c r="AJ64" s="815"/>
      <c r="AK64" s="815"/>
      <c r="AL64" s="800"/>
      <c r="AM64" s="759"/>
      <c r="AN64" s="759"/>
      <c r="AO64" s="759"/>
      <c r="AP64" s="802"/>
      <c r="AQ64" s="815"/>
      <c r="AR64" s="815"/>
    </row>
    <row r="65" spans="1:44" ht="14.25" customHeight="1" x14ac:dyDescent="0.35">
      <c r="A65" s="113" t="s">
        <v>230</v>
      </c>
      <c r="B65" s="123" t="str">
        <f t="shared" ref="B65:D77" si="14">B5</f>
        <v>Chicken - دجاج</v>
      </c>
      <c r="C65" s="123" t="str">
        <f t="shared" si="14"/>
        <v>gm</v>
      </c>
      <c r="D65" s="263">
        <f t="shared" si="14"/>
        <v>6536.0784313725489</v>
      </c>
      <c r="E65" s="351">
        <f>H53</f>
        <v>5.9101817963640721</v>
      </c>
      <c r="F65" s="127">
        <f t="shared" ref="F65:F77" si="15">F5</f>
        <v>1</v>
      </c>
      <c r="G65" s="119">
        <f t="shared" ref="G65:G77" si="16">D65*E65</f>
        <v>38629.411764705881</v>
      </c>
      <c r="H65" s="120">
        <f t="shared" ref="H65:H77" si="17">G65*F65</f>
        <v>38629.411764705881</v>
      </c>
      <c r="AJ65" s="815"/>
      <c r="AK65" s="815"/>
      <c r="AL65" s="800"/>
      <c r="AM65" s="759"/>
      <c r="AN65" s="759"/>
      <c r="AO65" s="759"/>
      <c r="AP65" s="802"/>
      <c r="AQ65" s="815"/>
      <c r="AR65" s="815"/>
    </row>
    <row r="66" spans="1:44" ht="14.25" customHeight="1" x14ac:dyDescent="0.35">
      <c r="A66" s="270" t="s">
        <v>13</v>
      </c>
      <c r="B66" s="123" t="str">
        <f t="shared" si="14"/>
        <v>Onion - بصل</v>
      </c>
      <c r="C66" s="123" t="str">
        <f t="shared" si="14"/>
        <v>gm</v>
      </c>
      <c r="D66" s="123">
        <f t="shared" si="14"/>
        <v>100</v>
      </c>
      <c r="E66" s="351">
        <f t="shared" ref="E66:E77" si="18">$C$53</f>
        <v>7.4455782312925161</v>
      </c>
      <c r="F66" s="127">
        <f t="shared" si="15"/>
        <v>0.95</v>
      </c>
      <c r="G66" s="119">
        <f t="shared" si="16"/>
        <v>744.55782312925157</v>
      </c>
      <c r="H66" s="120">
        <f t="shared" si="17"/>
        <v>707.32993197278893</v>
      </c>
      <c r="AJ66" s="818"/>
      <c r="AK66" s="818"/>
      <c r="AL66" s="803"/>
      <c r="AM66" s="759"/>
      <c r="AN66" s="759"/>
      <c r="AO66" s="759"/>
      <c r="AP66" s="802"/>
      <c r="AQ66" s="815"/>
      <c r="AR66" s="815"/>
    </row>
    <row r="67" spans="1:44" ht="14.25" customHeight="1" x14ac:dyDescent="0.35">
      <c r="A67" s="270" t="s">
        <v>13</v>
      </c>
      <c r="B67" s="123" t="str">
        <f t="shared" si="14"/>
        <v>Garlic - ثوم مقشر</v>
      </c>
      <c r="C67" s="123" t="str">
        <f t="shared" si="14"/>
        <v>gm</v>
      </c>
      <c r="D67" s="123">
        <f t="shared" si="14"/>
        <v>30</v>
      </c>
      <c r="E67" s="351">
        <f t="shared" si="18"/>
        <v>7.4455782312925161</v>
      </c>
      <c r="F67" s="127">
        <f t="shared" si="15"/>
        <v>1</v>
      </c>
      <c r="G67" s="119">
        <f t="shared" si="16"/>
        <v>223.36734693877548</v>
      </c>
      <c r="H67" s="120">
        <f t="shared" si="17"/>
        <v>223.36734693877548</v>
      </c>
      <c r="AJ67" s="818"/>
      <c r="AK67" s="818"/>
      <c r="AL67" s="803"/>
      <c r="AM67" s="759"/>
      <c r="AN67" s="759"/>
      <c r="AO67" s="759"/>
      <c r="AP67" s="802"/>
      <c r="AQ67" s="815"/>
      <c r="AR67" s="815"/>
    </row>
    <row r="68" spans="1:44" ht="14.25" customHeight="1" x14ac:dyDescent="0.35">
      <c r="A68" s="270" t="s">
        <v>13</v>
      </c>
      <c r="B68" s="123" t="str">
        <f t="shared" si="14"/>
        <v>Mushroom - مشروم ابيض</v>
      </c>
      <c r="C68" s="123" t="str">
        <f t="shared" si="14"/>
        <v>gm</v>
      </c>
      <c r="D68" s="123">
        <f t="shared" si="14"/>
        <v>350</v>
      </c>
      <c r="E68" s="351">
        <f t="shared" si="18"/>
        <v>7.4455782312925161</v>
      </c>
      <c r="F68" s="127">
        <f t="shared" si="15"/>
        <v>1</v>
      </c>
      <c r="G68" s="119">
        <f t="shared" si="16"/>
        <v>2605.9523809523807</v>
      </c>
      <c r="H68" s="120">
        <f t="shared" si="17"/>
        <v>2605.9523809523807</v>
      </c>
      <c r="AJ68" s="759"/>
      <c r="AK68" s="759"/>
      <c r="AL68" s="759"/>
      <c r="AM68" s="759"/>
      <c r="AN68" s="759"/>
      <c r="AO68" s="759"/>
      <c r="AP68" s="802"/>
      <c r="AQ68" s="815"/>
      <c r="AR68" s="815"/>
    </row>
    <row r="69" spans="1:44" ht="14.25" customHeight="1" x14ac:dyDescent="0.3">
      <c r="A69" s="270" t="s">
        <v>83</v>
      </c>
      <c r="B69" s="123" t="str">
        <f t="shared" si="14"/>
        <v>Dry Thyme - زعتر مجفف</v>
      </c>
      <c r="C69" s="123" t="str">
        <f t="shared" si="14"/>
        <v>gm</v>
      </c>
      <c r="D69" s="123">
        <f t="shared" si="14"/>
        <v>1</v>
      </c>
      <c r="E69" s="351">
        <f t="shared" si="18"/>
        <v>7.4455782312925161</v>
      </c>
      <c r="F69" s="127">
        <f t="shared" si="15"/>
        <v>0.75</v>
      </c>
      <c r="G69" s="119">
        <f t="shared" si="16"/>
        <v>7.4455782312925161</v>
      </c>
      <c r="H69" s="120">
        <f t="shared" si="17"/>
        <v>5.5841836734693873</v>
      </c>
    </row>
    <row r="70" spans="1:44" ht="14.25" customHeight="1" x14ac:dyDescent="0.3">
      <c r="A70" s="270" t="s">
        <v>97</v>
      </c>
      <c r="B70" s="123" t="str">
        <f t="shared" si="14"/>
        <v>Black Pepper Powder - فلفل أسود مطحون</v>
      </c>
      <c r="C70" s="123" t="str">
        <f t="shared" si="14"/>
        <v>gm</v>
      </c>
      <c r="D70" s="123">
        <f t="shared" si="14"/>
        <v>2</v>
      </c>
      <c r="E70" s="351">
        <f t="shared" si="18"/>
        <v>7.4455782312925161</v>
      </c>
      <c r="F70" s="127">
        <f t="shared" si="15"/>
        <v>0.75</v>
      </c>
      <c r="G70" s="119">
        <f t="shared" si="16"/>
        <v>14.891156462585032</v>
      </c>
      <c r="H70" s="120">
        <f t="shared" si="17"/>
        <v>11.168367346938775</v>
      </c>
      <c r="AJ70" s="817"/>
      <c r="AK70" s="817"/>
      <c r="AL70" s="817"/>
      <c r="AM70" s="817"/>
      <c r="AN70" s="817"/>
      <c r="AO70" s="817"/>
      <c r="AP70" s="817"/>
      <c r="AQ70" s="817"/>
      <c r="AR70" s="817"/>
    </row>
    <row r="71" spans="1:44" ht="14.25" customHeight="1" x14ac:dyDescent="0.35">
      <c r="A71" s="270" t="s">
        <v>97</v>
      </c>
      <c r="B71" s="123" t="str">
        <f t="shared" si="14"/>
        <v>Salt - ملح</v>
      </c>
      <c r="C71" s="123" t="str">
        <f t="shared" si="14"/>
        <v>gm</v>
      </c>
      <c r="D71" s="123">
        <f t="shared" si="14"/>
        <v>5</v>
      </c>
      <c r="E71" s="351">
        <f t="shared" si="18"/>
        <v>7.4455782312925161</v>
      </c>
      <c r="F71" s="127">
        <f t="shared" si="15"/>
        <v>0.75</v>
      </c>
      <c r="G71" s="119">
        <f t="shared" si="16"/>
        <v>37.227891156462583</v>
      </c>
      <c r="H71" s="120">
        <f t="shared" si="17"/>
        <v>27.920918367346935</v>
      </c>
      <c r="AJ71" s="804"/>
      <c r="AK71" s="804"/>
      <c r="AL71" s="804"/>
      <c r="AM71" s="804"/>
      <c r="AN71" s="804"/>
      <c r="AO71" s="804"/>
      <c r="AP71" s="804"/>
      <c r="AQ71" s="804"/>
      <c r="AR71" s="759"/>
    </row>
    <row r="72" spans="1:44" ht="14.25" customHeight="1" x14ac:dyDescent="0.35">
      <c r="A72" s="270" t="s">
        <v>158</v>
      </c>
      <c r="B72" s="123" t="str">
        <f t="shared" si="14"/>
        <v>Butter - زبدة</v>
      </c>
      <c r="C72" s="123" t="str">
        <f t="shared" si="14"/>
        <v>gm</v>
      </c>
      <c r="D72" s="123">
        <f t="shared" si="14"/>
        <v>15</v>
      </c>
      <c r="E72" s="351">
        <f t="shared" si="18"/>
        <v>7.4455782312925161</v>
      </c>
      <c r="F72" s="127">
        <f t="shared" si="15"/>
        <v>1</v>
      </c>
      <c r="G72" s="119">
        <f t="shared" si="16"/>
        <v>111.68367346938774</v>
      </c>
      <c r="H72" s="120">
        <f t="shared" si="17"/>
        <v>111.68367346938774</v>
      </c>
      <c r="AJ72" s="805"/>
      <c r="AK72" s="802"/>
      <c r="AL72" s="806"/>
      <c r="AM72" s="807"/>
      <c r="AN72" s="800"/>
      <c r="AO72" s="808"/>
      <c r="AP72" s="809"/>
      <c r="AQ72" s="810"/>
      <c r="AR72" s="759"/>
    </row>
    <row r="73" spans="1:44" ht="14.25" customHeight="1" x14ac:dyDescent="0.35">
      <c r="A73" s="270" t="s">
        <v>192</v>
      </c>
      <c r="B73" s="123" t="str">
        <f t="shared" si="14"/>
        <v>Flour - دقيق</v>
      </c>
      <c r="C73" s="123" t="str">
        <f t="shared" si="14"/>
        <v>gm</v>
      </c>
      <c r="D73" s="123">
        <f t="shared" si="14"/>
        <v>20</v>
      </c>
      <c r="E73" s="351">
        <f t="shared" si="18"/>
        <v>7.4455782312925161</v>
      </c>
      <c r="F73" s="127">
        <f t="shared" si="15"/>
        <v>0.75</v>
      </c>
      <c r="G73" s="119">
        <f t="shared" si="16"/>
        <v>148.91156462585033</v>
      </c>
      <c r="H73" s="120">
        <f t="shared" si="17"/>
        <v>111.68367346938774</v>
      </c>
      <c r="AJ73" s="805"/>
      <c r="AK73" s="802"/>
      <c r="AL73" s="806"/>
      <c r="AM73" s="807"/>
      <c r="AN73" s="800"/>
      <c r="AO73" s="808"/>
      <c r="AP73" s="809"/>
      <c r="AQ73" s="810"/>
      <c r="AR73" s="759"/>
    </row>
    <row r="74" spans="1:44" ht="14.25" customHeight="1" x14ac:dyDescent="0.35">
      <c r="A74" s="270" t="s">
        <v>158</v>
      </c>
      <c r="B74" s="123" t="str">
        <f t="shared" si="14"/>
        <v>Milk - حليب</v>
      </c>
      <c r="C74" s="123" t="str">
        <f t="shared" si="14"/>
        <v>ml</v>
      </c>
      <c r="D74" s="123">
        <f t="shared" si="14"/>
        <v>600</v>
      </c>
      <c r="E74" s="351">
        <f t="shared" si="18"/>
        <v>7.4455782312925161</v>
      </c>
      <c r="F74" s="127">
        <f t="shared" si="15"/>
        <v>1</v>
      </c>
      <c r="G74" s="119">
        <f t="shared" si="16"/>
        <v>4467.3469387755094</v>
      </c>
      <c r="H74" s="120">
        <f t="shared" si="17"/>
        <v>4467.3469387755094</v>
      </c>
      <c r="AJ74" s="805"/>
      <c r="AK74" s="802"/>
      <c r="AL74" s="806"/>
      <c r="AM74" s="807"/>
      <c r="AN74" s="800"/>
      <c r="AO74" s="808"/>
      <c r="AP74" s="809"/>
      <c r="AQ74" s="810"/>
      <c r="AR74" s="759"/>
    </row>
    <row r="75" spans="1:44" ht="14.25" customHeight="1" x14ac:dyDescent="0.3">
      <c r="A75" s="270" t="s">
        <v>158</v>
      </c>
      <c r="B75" s="123" t="str">
        <f t="shared" si="14"/>
        <v>Cooking Cream - كريمة طبخ</v>
      </c>
      <c r="C75" s="123" t="str">
        <f t="shared" si="14"/>
        <v>ml</v>
      </c>
      <c r="D75" s="123">
        <f t="shared" si="14"/>
        <v>600</v>
      </c>
      <c r="E75" s="351">
        <f t="shared" si="18"/>
        <v>7.4455782312925161</v>
      </c>
      <c r="F75" s="127">
        <f t="shared" si="15"/>
        <v>1</v>
      </c>
      <c r="G75" s="119">
        <f t="shared" si="16"/>
        <v>4467.3469387755094</v>
      </c>
      <c r="H75" s="120">
        <f t="shared" si="17"/>
        <v>4467.3469387755094</v>
      </c>
      <c r="AJ75" s="805"/>
      <c r="AK75" s="802"/>
      <c r="AL75" s="806"/>
      <c r="AM75" s="807"/>
      <c r="AN75" s="800"/>
      <c r="AO75" s="808"/>
      <c r="AP75" s="809"/>
      <c r="AQ75" s="810"/>
    </row>
    <row r="76" spans="1:44" ht="14.25" customHeight="1" x14ac:dyDescent="0.3">
      <c r="A76" s="270" t="s">
        <v>196</v>
      </c>
      <c r="B76" s="123" t="str">
        <f t="shared" si="14"/>
        <v>Sriracha Sauce - صوص سريراتشا</v>
      </c>
      <c r="C76" s="123" t="str">
        <f t="shared" si="14"/>
        <v>ml</v>
      </c>
      <c r="D76" s="123">
        <f t="shared" si="14"/>
        <v>3</v>
      </c>
      <c r="E76" s="351">
        <f t="shared" si="18"/>
        <v>7.4455782312925161</v>
      </c>
      <c r="F76" s="127">
        <f t="shared" si="15"/>
        <v>0.75</v>
      </c>
      <c r="G76" s="119">
        <f t="shared" si="16"/>
        <v>22.336734693877549</v>
      </c>
      <c r="H76" s="120">
        <f t="shared" si="17"/>
        <v>16.752551020408163</v>
      </c>
      <c r="AJ76" s="805"/>
      <c r="AK76" s="802"/>
      <c r="AL76" s="806"/>
      <c r="AM76" s="807"/>
      <c r="AN76" s="811"/>
      <c r="AO76" s="808"/>
      <c r="AP76" s="809"/>
      <c r="AQ76" s="810"/>
    </row>
    <row r="77" spans="1:44" ht="14.25" customHeight="1" x14ac:dyDescent="0.3">
      <c r="A77" s="270" t="s">
        <v>196</v>
      </c>
      <c r="B77" s="123" t="str">
        <f t="shared" si="14"/>
        <v>Maggi Cubes - مكعبات ماجي</v>
      </c>
      <c r="C77" s="123" t="str">
        <f t="shared" si="14"/>
        <v>gm</v>
      </c>
      <c r="D77" s="123">
        <f t="shared" si="14"/>
        <v>20</v>
      </c>
      <c r="E77" s="351">
        <f t="shared" si="18"/>
        <v>7.4455782312925161</v>
      </c>
      <c r="F77" s="127">
        <f t="shared" si="15"/>
        <v>0.75</v>
      </c>
      <c r="G77" s="119">
        <f t="shared" si="16"/>
        <v>148.91156462585033</v>
      </c>
      <c r="H77" s="120">
        <f t="shared" si="17"/>
        <v>111.68367346938774</v>
      </c>
      <c r="AJ77" s="805"/>
      <c r="AK77" s="802"/>
      <c r="AL77" s="806"/>
      <c r="AM77" s="807"/>
      <c r="AN77" s="800"/>
      <c r="AO77" s="808"/>
      <c r="AP77" s="809"/>
      <c r="AQ77" s="810"/>
    </row>
    <row r="78" spans="1:44" ht="20.25" customHeight="1" x14ac:dyDescent="0.3">
      <c r="A78" s="211"/>
      <c r="B78" s="198" t="s">
        <v>299</v>
      </c>
      <c r="C78" s="200" t="s">
        <v>285</v>
      </c>
      <c r="D78" s="14"/>
      <c r="E78" s="200" t="s">
        <v>300</v>
      </c>
      <c r="F78" s="14"/>
      <c r="G78" s="890" t="s">
        <v>276</v>
      </c>
      <c r="H78" s="890" t="s">
        <v>733</v>
      </c>
      <c r="AJ78" s="805"/>
      <c r="AK78" s="802"/>
      <c r="AL78" s="806"/>
      <c r="AM78" s="807"/>
      <c r="AN78" s="800"/>
      <c r="AO78" s="808"/>
      <c r="AP78" s="809"/>
      <c r="AQ78" s="810"/>
    </row>
    <row r="79" spans="1:44" ht="22.25" customHeight="1" x14ac:dyDescent="0.4">
      <c r="A79" s="211"/>
      <c r="B79" s="199">
        <f>$J$53</f>
        <v>19701</v>
      </c>
      <c r="C79" s="199">
        <f>E79+G79</f>
        <v>7296.6666666666661</v>
      </c>
      <c r="D79" s="930"/>
      <c r="E79" s="199">
        <f>$D$53*$S$44</f>
        <v>0</v>
      </c>
      <c r="F79" s="934"/>
      <c r="G79" s="199">
        <f>$D$53*$T$44</f>
        <v>7296.6666666666661</v>
      </c>
      <c r="H79" s="199">
        <f>B79+E79</f>
        <v>19701</v>
      </c>
      <c r="AJ79" s="805"/>
      <c r="AK79" s="802"/>
      <c r="AL79" s="806"/>
      <c r="AM79" s="807"/>
      <c r="AN79" s="800"/>
      <c r="AO79" s="808"/>
      <c r="AP79" s="809"/>
      <c r="AQ79" s="810"/>
    </row>
    <row r="80" spans="1:44" ht="14.25" customHeight="1" x14ac:dyDescent="0.3">
      <c r="B80" s="100"/>
      <c r="C80" s="208"/>
      <c r="D80" s="209"/>
      <c r="E80" s="100"/>
      <c r="F80" s="100"/>
      <c r="AJ80" s="805"/>
      <c r="AK80" s="802"/>
      <c r="AL80" s="806"/>
      <c r="AM80" s="807"/>
      <c r="AN80" s="800"/>
      <c r="AO80" s="808"/>
      <c r="AP80" s="809"/>
      <c r="AQ80" s="810"/>
    </row>
    <row r="81" spans="1:43" ht="17.75" customHeight="1" x14ac:dyDescent="0.3">
      <c r="A81" s="265"/>
      <c r="B81" s="1382" t="str">
        <f>"دجاج مشروم  2 / " &amp; COUNTIF($C$53:$C$55, "&gt;0")</f>
        <v>دجاج مشروم  2 / 1</v>
      </c>
      <c r="C81" s="1388"/>
      <c r="D81" s="1388"/>
      <c r="E81" s="1388"/>
      <c r="F81" s="1388"/>
      <c r="G81" s="1388"/>
      <c r="H81" s="1388"/>
      <c r="AJ81" s="805"/>
      <c r="AK81" s="802"/>
      <c r="AL81" s="806"/>
      <c r="AM81" s="807"/>
      <c r="AN81" s="800"/>
      <c r="AO81" s="808"/>
      <c r="AP81" s="809"/>
      <c r="AQ81" s="810"/>
    </row>
    <row r="82" spans="1:43" ht="17.75" customHeight="1" x14ac:dyDescent="0.3">
      <c r="A82" s="265"/>
      <c r="B82" s="1384" t="str">
        <f>"Chicken Mushroom  2 / " &amp; COUNTIF($C$53:$C$55, "&gt;0")</f>
        <v>Chicken Mushroom  2 / 1</v>
      </c>
      <c r="C82" s="1410"/>
      <c r="D82" s="1410"/>
      <c r="E82" s="1410"/>
      <c r="F82" s="1410"/>
      <c r="G82" s="1410"/>
      <c r="H82" s="1410"/>
      <c r="AJ82" s="805"/>
      <c r="AK82" s="802"/>
      <c r="AL82" s="806"/>
      <c r="AM82" s="807"/>
      <c r="AN82" s="800"/>
      <c r="AO82" s="808"/>
      <c r="AP82" s="809"/>
      <c r="AQ82" s="810"/>
    </row>
    <row r="83" spans="1:43" ht="25.5" customHeight="1" x14ac:dyDescent="0.3">
      <c r="A83" s="91"/>
      <c r="B83" s="243" t="s">
        <v>253</v>
      </c>
      <c r="C83" s="244" t="s">
        <v>254</v>
      </c>
      <c r="D83" s="245" t="s">
        <v>243</v>
      </c>
      <c r="E83" s="218" t="s">
        <v>246</v>
      </c>
      <c r="F83" s="218" t="s">
        <v>255</v>
      </c>
      <c r="G83" s="245" t="s">
        <v>256</v>
      </c>
      <c r="H83" s="218" t="s">
        <v>257</v>
      </c>
      <c r="AJ83" s="805"/>
      <c r="AK83" s="802"/>
      <c r="AL83" s="806"/>
      <c r="AM83" s="807"/>
      <c r="AN83" s="800"/>
      <c r="AO83" s="808"/>
      <c r="AP83" s="809"/>
      <c r="AQ83" s="810"/>
    </row>
    <row r="84" spans="1:43" ht="14.25" customHeight="1" x14ac:dyDescent="0.3">
      <c r="A84" s="270" t="s">
        <v>230</v>
      </c>
      <c r="B84" s="123" t="str">
        <f t="shared" ref="B84:D96" si="19">B5</f>
        <v>Chicken - دجاج</v>
      </c>
      <c r="C84" s="123" t="str">
        <f t="shared" si="19"/>
        <v>gm</v>
      </c>
      <c r="D84" s="263">
        <f t="shared" si="19"/>
        <v>6536.0784313725489</v>
      </c>
      <c r="E84" s="223">
        <f>H54</f>
        <v>0</v>
      </c>
      <c r="F84" s="127">
        <f t="shared" ref="F84:F96" si="20">F5</f>
        <v>1</v>
      </c>
      <c r="G84" s="119">
        <f t="shared" ref="G84:G96" si="21">D84*E84</f>
        <v>0</v>
      </c>
      <c r="H84" s="120">
        <f t="shared" ref="H84:H96" si="22">G84*F84</f>
        <v>0</v>
      </c>
      <c r="AJ84" s="816"/>
      <c r="AK84" s="816"/>
      <c r="AL84" s="816"/>
      <c r="AM84" s="816"/>
      <c r="AN84" s="816"/>
      <c r="AO84" s="812"/>
      <c r="AP84" s="813"/>
      <c r="AQ84" s="812"/>
    </row>
    <row r="85" spans="1:43" ht="14.25" customHeight="1" x14ac:dyDescent="0.3">
      <c r="A85" s="270" t="s">
        <v>13</v>
      </c>
      <c r="B85" s="123" t="str">
        <f t="shared" si="19"/>
        <v>Onion - بصل</v>
      </c>
      <c r="C85" s="123" t="str">
        <f t="shared" si="19"/>
        <v>gm</v>
      </c>
      <c r="D85" s="123">
        <f t="shared" si="19"/>
        <v>100</v>
      </c>
      <c r="E85" s="223">
        <f t="shared" ref="E85:E96" si="23">$C$54</f>
        <v>0</v>
      </c>
      <c r="F85" s="127">
        <f t="shared" si="20"/>
        <v>0.95</v>
      </c>
      <c r="G85" s="119">
        <f t="shared" si="21"/>
        <v>0</v>
      </c>
      <c r="H85" s="120">
        <f t="shared" si="22"/>
        <v>0</v>
      </c>
    </row>
    <row r="86" spans="1:43" ht="14.25" customHeight="1" x14ac:dyDescent="0.3">
      <c r="A86" s="270" t="s">
        <v>13</v>
      </c>
      <c r="B86" s="123" t="str">
        <f t="shared" si="19"/>
        <v>Garlic - ثوم مقشر</v>
      </c>
      <c r="C86" s="123" t="str">
        <f t="shared" si="19"/>
        <v>gm</v>
      </c>
      <c r="D86" s="123">
        <f t="shared" si="19"/>
        <v>30</v>
      </c>
      <c r="E86" s="223">
        <f t="shared" si="23"/>
        <v>0</v>
      </c>
      <c r="F86" s="127">
        <f t="shared" si="20"/>
        <v>1</v>
      </c>
      <c r="G86" s="119">
        <f t="shared" si="21"/>
        <v>0</v>
      </c>
      <c r="H86" s="120">
        <f t="shared" si="22"/>
        <v>0</v>
      </c>
    </row>
    <row r="87" spans="1:43" ht="14.25" customHeight="1" x14ac:dyDescent="0.3">
      <c r="A87" s="270" t="s">
        <v>13</v>
      </c>
      <c r="B87" s="123" t="str">
        <f t="shared" si="19"/>
        <v>Mushroom - مشروم ابيض</v>
      </c>
      <c r="C87" s="123" t="str">
        <f t="shared" si="19"/>
        <v>gm</v>
      </c>
      <c r="D87" s="123">
        <f t="shared" si="19"/>
        <v>350</v>
      </c>
      <c r="E87" s="223">
        <f t="shared" si="23"/>
        <v>0</v>
      </c>
      <c r="F87" s="127">
        <f t="shared" si="20"/>
        <v>1</v>
      </c>
      <c r="G87" s="119">
        <f t="shared" si="21"/>
        <v>0</v>
      </c>
      <c r="H87" s="120">
        <f t="shared" si="22"/>
        <v>0</v>
      </c>
    </row>
    <row r="88" spans="1:43" ht="14.25" customHeight="1" x14ac:dyDescent="0.3">
      <c r="A88" s="270" t="s">
        <v>83</v>
      </c>
      <c r="B88" s="123" t="str">
        <f t="shared" si="19"/>
        <v>Dry Thyme - زعتر مجفف</v>
      </c>
      <c r="C88" s="123" t="str">
        <f t="shared" si="19"/>
        <v>gm</v>
      </c>
      <c r="D88" s="123">
        <f t="shared" si="19"/>
        <v>1</v>
      </c>
      <c r="E88" s="223">
        <f t="shared" si="23"/>
        <v>0</v>
      </c>
      <c r="F88" s="127">
        <f t="shared" si="20"/>
        <v>0.75</v>
      </c>
      <c r="G88" s="119">
        <f t="shared" si="21"/>
        <v>0</v>
      </c>
      <c r="H88" s="120">
        <f t="shared" si="22"/>
        <v>0</v>
      </c>
      <c r="AM88" s="800"/>
    </row>
    <row r="89" spans="1:43" ht="14.25" customHeight="1" x14ac:dyDescent="0.3">
      <c r="A89" s="270" t="s">
        <v>97</v>
      </c>
      <c r="B89" s="123" t="str">
        <f t="shared" si="19"/>
        <v>Black Pepper Powder - فلفل أسود مطحون</v>
      </c>
      <c r="C89" s="123" t="str">
        <f t="shared" si="19"/>
        <v>gm</v>
      </c>
      <c r="D89" s="123">
        <f t="shared" si="19"/>
        <v>2</v>
      </c>
      <c r="E89" s="223">
        <f t="shared" si="23"/>
        <v>0</v>
      </c>
      <c r="F89" s="127">
        <f t="shared" si="20"/>
        <v>0.75</v>
      </c>
      <c r="G89" s="119">
        <f t="shared" si="21"/>
        <v>0</v>
      </c>
      <c r="H89" s="120">
        <f t="shared" si="22"/>
        <v>0</v>
      </c>
      <c r="AM89" s="800"/>
    </row>
    <row r="90" spans="1:43" ht="14.25" customHeight="1" x14ac:dyDescent="0.3">
      <c r="A90" s="270" t="s">
        <v>97</v>
      </c>
      <c r="B90" s="123" t="str">
        <f t="shared" si="19"/>
        <v>Salt - ملح</v>
      </c>
      <c r="C90" s="123" t="str">
        <f t="shared" si="19"/>
        <v>gm</v>
      </c>
      <c r="D90" s="123">
        <f t="shared" si="19"/>
        <v>5</v>
      </c>
      <c r="E90" s="223">
        <f t="shared" si="23"/>
        <v>0</v>
      </c>
      <c r="F90" s="127">
        <f t="shared" si="20"/>
        <v>0.75</v>
      </c>
      <c r="G90" s="119">
        <f t="shared" si="21"/>
        <v>0</v>
      </c>
      <c r="H90" s="120">
        <f t="shared" si="22"/>
        <v>0</v>
      </c>
      <c r="AM90" s="800"/>
    </row>
    <row r="91" spans="1:43" ht="14.25" customHeight="1" x14ac:dyDescent="0.3">
      <c r="A91" s="270" t="s">
        <v>158</v>
      </c>
      <c r="B91" s="123" t="str">
        <f t="shared" si="19"/>
        <v>Butter - زبدة</v>
      </c>
      <c r="C91" s="123" t="str">
        <f t="shared" si="19"/>
        <v>gm</v>
      </c>
      <c r="D91" s="123">
        <f t="shared" si="19"/>
        <v>15</v>
      </c>
      <c r="E91" s="223">
        <f t="shared" si="23"/>
        <v>0</v>
      </c>
      <c r="F91" s="127">
        <f t="shared" si="20"/>
        <v>1</v>
      </c>
      <c r="G91" s="119">
        <f t="shared" si="21"/>
        <v>0</v>
      </c>
      <c r="H91" s="120">
        <f t="shared" si="22"/>
        <v>0</v>
      </c>
      <c r="AM91" s="800"/>
    </row>
    <row r="92" spans="1:43" ht="14.25" customHeight="1" x14ac:dyDescent="0.3">
      <c r="A92" s="270" t="s">
        <v>192</v>
      </c>
      <c r="B92" s="123" t="str">
        <f t="shared" si="19"/>
        <v>Flour - دقيق</v>
      </c>
      <c r="C92" s="123" t="str">
        <f t="shared" si="19"/>
        <v>gm</v>
      </c>
      <c r="D92" s="123">
        <f t="shared" si="19"/>
        <v>20</v>
      </c>
      <c r="E92" s="223">
        <f t="shared" si="23"/>
        <v>0</v>
      </c>
      <c r="F92" s="127">
        <f t="shared" si="20"/>
        <v>0.75</v>
      </c>
      <c r="G92" s="119">
        <f t="shared" si="21"/>
        <v>0</v>
      </c>
      <c r="H92" s="120">
        <f t="shared" si="22"/>
        <v>0</v>
      </c>
      <c r="AM92" s="811"/>
    </row>
    <row r="93" spans="1:43" ht="14.25" customHeight="1" x14ac:dyDescent="0.3">
      <c r="A93" s="270" t="s">
        <v>158</v>
      </c>
      <c r="B93" s="123" t="str">
        <f t="shared" si="19"/>
        <v>Milk - حليب</v>
      </c>
      <c r="C93" s="123" t="str">
        <f t="shared" si="19"/>
        <v>ml</v>
      </c>
      <c r="D93" s="123">
        <f t="shared" si="19"/>
        <v>600</v>
      </c>
      <c r="E93" s="223">
        <f t="shared" si="23"/>
        <v>0</v>
      </c>
      <c r="F93" s="127">
        <f t="shared" si="20"/>
        <v>1</v>
      </c>
      <c r="G93" s="119">
        <f t="shared" si="21"/>
        <v>0</v>
      </c>
      <c r="H93" s="120">
        <f t="shared" si="22"/>
        <v>0</v>
      </c>
      <c r="AM93" s="800"/>
    </row>
    <row r="94" spans="1:43" ht="14.25" customHeight="1" x14ac:dyDescent="0.3">
      <c r="A94" s="270" t="s">
        <v>158</v>
      </c>
      <c r="B94" s="123" t="str">
        <f t="shared" si="19"/>
        <v>Cooking Cream - كريمة طبخ</v>
      </c>
      <c r="C94" s="123" t="str">
        <f t="shared" si="19"/>
        <v>ml</v>
      </c>
      <c r="D94" s="123">
        <f t="shared" si="19"/>
        <v>600</v>
      </c>
      <c r="E94" s="223">
        <f t="shared" si="23"/>
        <v>0</v>
      </c>
      <c r="F94" s="127">
        <f t="shared" si="20"/>
        <v>1</v>
      </c>
      <c r="G94" s="119">
        <f t="shared" si="21"/>
        <v>0</v>
      </c>
      <c r="H94" s="120">
        <f t="shared" si="22"/>
        <v>0</v>
      </c>
      <c r="AM94" s="800"/>
    </row>
    <row r="95" spans="1:43" ht="14.25" customHeight="1" x14ac:dyDescent="0.3">
      <c r="A95" s="270" t="s">
        <v>196</v>
      </c>
      <c r="B95" s="123" t="str">
        <f t="shared" si="19"/>
        <v>Sriracha Sauce - صوص سريراتشا</v>
      </c>
      <c r="C95" s="123" t="str">
        <f t="shared" si="19"/>
        <v>ml</v>
      </c>
      <c r="D95" s="123">
        <f t="shared" si="19"/>
        <v>3</v>
      </c>
      <c r="E95" s="223">
        <f t="shared" si="23"/>
        <v>0</v>
      </c>
      <c r="F95" s="127">
        <f t="shared" si="20"/>
        <v>0.75</v>
      </c>
      <c r="G95" s="119">
        <f t="shared" si="21"/>
        <v>0</v>
      </c>
      <c r="H95" s="120">
        <f t="shared" si="22"/>
        <v>0</v>
      </c>
      <c r="AM95" s="800"/>
    </row>
    <row r="96" spans="1:43" ht="14.25" customHeight="1" x14ac:dyDescent="0.3">
      <c r="A96" s="270" t="s">
        <v>196</v>
      </c>
      <c r="B96" s="123" t="str">
        <f t="shared" si="19"/>
        <v>Maggi Cubes - مكعبات ماجي</v>
      </c>
      <c r="C96" s="123" t="str">
        <f t="shared" si="19"/>
        <v>gm</v>
      </c>
      <c r="D96" s="123">
        <f t="shared" si="19"/>
        <v>20</v>
      </c>
      <c r="E96" s="223">
        <f t="shared" si="23"/>
        <v>0</v>
      </c>
      <c r="F96" s="127">
        <f t="shared" si="20"/>
        <v>0.75</v>
      </c>
      <c r="G96" s="119">
        <f t="shared" si="21"/>
        <v>0</v>
      </c>
      <c r="H96" s="120">
        <f t="shared" si="22"/>
        <v>0</v>
      </c>
      <c r="AM96" s="800"/>
    </row>
    <row r="97" spans="1:39" ht="20.25" customHeight="1" x14ac:dyDescent="0.3">
      <c r="A97" s="211"/>
      <c r="B97" s="198" t="s">
        <v>299</v>
      </c>
      <c r="C97" s="200" t="s">
        <v>285</v>
      </c>
      <c r="D97" s="14"/>
      <c r="E97" s="200" t="s">
        <v>300</v>
      </c>
      <c r="F97" s="14"/>
      <c r="G97" s="890" t="s">
        <v>276</v>
      </c>
      <c r="H97" s="890" t="s">
        <v>733</v>
      </c>
      <c r="AM97" s="800"/>
    </row>
    <row r="98" spans="1:39" ht="30" customHeight="1" x14ac:dyDescent="0.4">
      <c r="A98" s="211"/>
      <c r="B98" s="199">
        <f>$J$54</f>
        <v>0</v>
      </c>
      <c r="C98" s="199">
        <f>E98+G98</f>
        <v>0</v>
      </c>
      <c r="D98" s="930"/>
      <c r="E98" s="199">
        <f>$D$54*$S$44</f>
        <v>0</v>
      </c>
      <c r="F98" s="934"/>
      <c r="G98" s="199">
        <f>$D$54*$T$44</f>
        <v>0</v>
      </c>
      <c r="H98" s="199">
        <f>B98+E98</f>
        <v>0</v>
      </c>
      <c r="AM98" s="800"/>
    </row>
    <row r="99" spans="1:39" x14ac:dyDescent="0.3">
      <c r="AM99" s="800"/>
    </row>
  </sheetData>
  <mergeCells count="11">
    <mergeCell ref="AK3:AL3"/>
    <mergeCell ref="AK2:AM2"/>
    <mergeCell ref="AE2:AG3"/>
    <mergeCell ref="B82:H82"/>
    <mergeCell ref="B62:H62"/>
    <mergeCell ref="F2:F3"/>
    <mergeCell ref="B81:H81"/>
    <mergeCell ref="B63:H63"/>
    <mergeCell ref="R25:V25"/>
    <mergeCell ref="R26:V26"/>
    <mergeCell ref="B35:F35"/>
  </mergeCells>
  <printOptions horizontalCentered="1"/>
  <pageMargins left="0.4" right="0.4" top="1" bottom="0.5" header="0.3" footer="0.511811023622047"/>
  <pageSetup paperSize="9" scale="43" orientation="landscape" r:id="rId1"/>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rgb="FF7C7C7C"/>
    <pageSetUpPr fitToPage="1"/>
  </sheetPr>
  <dimension ref="A1:AG107"/>
  <sheetViews>
    <sheetView topLeftCell="S22" zoomScaleNormal="100" workbookViewId="0">
      <selection activeCell="AB29" sqref="AB29"/>
    </sheetView>
  </sheetViews>
  <sheetFormatPr defaultColWidth="12.5" defaultRowHeight="14" x14ac:dyDescent="0.3"/>
  <cols>
    <col min="1" max="1" width="12.5" style="79" customWidth="1"/>
    <col min="2" max="2" width="38.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5.4140625" style="14" customWidth="1"/>
    <col min="15" max="17" width="12.5" style="14" customWidth="1"/>
    <col min="18" max="18" width="32.83203125" style="14" customWidth="1"/>
    <col min="19" max="19" width="12.5" style="14" customWidth="1"/>
    <col min="20" max="27" width="12.5" style="14"/>
    <col min="28" max="28" width="11.58203125" style="14" bestFit="1" customWidth="1"/>
    <col min="29" max="16384" width="12.5" style="14"/>
  </cols>
  <sheetData>
    <row r="1" spans="1:33" ht="34.5" customHeight="1" x14ac:dyDescent="0.3">
      <c r="B1" s="80" t="s">
        <v>243</v>
      </c>
      <c r="C1" s="81">
        <v>1000</v>
      </c>
      <c r="D1" s="82" t="s">
        <v>244</v>
      </c>
      <c r="E1" s="117">
        <f>T32</f>
        <v>7121.5384615384692</v>
      </c>
      <c r="F1" s="80" t="s">
        <v>245</v>
      </c>
      <c r="G1" s="249">
        <f>E1/C1</f>
        <v>7.1215384615384689</v>
      </c>
      <c r="H1" s="80" t="s">
        <v>246</v>
      </c>
      <c r="I1" s="283">
        <f>G1/K1</f>
        <v>7.1215384615384689</v>
      </c>
      <c r="J1" s="86" t="s">
        <v>247</v>
      </c>
      <c r="K1" s="100">
        <f>9.5/9.5</f>
        <v>1</v>
      </c>
      <c r="L1" s="327"/>
      <c r="M1" s="89"/>
      <c r="N1" s="90"/>
      <c r="O1" s="91" t="s">
        <v>248</v>
      </c>
      <c r="P1" s="92" t="s">
        <v>301</v>
      </c>
      <c r="Q1" s="93" t="s">
        <v>250</v>
      </c>
      <c r="R1" s="92">
        <v>0.51</v>
      </c>
      <c r="Y1" s="91" t="s">
        <v>479</v>
      </c>
      <c r="Z1" s="847">
        <v>30860</v>
      </c>
      <c r="AA1" s="91" t="s">
        <v>600</v>
      </c>
      <c r="AB1" s="847">
        <v>0</v>
      </c>
      <c r="AC1" s="91" t="s">
        <v>587</v>
      </c>
      <c r="AD1" s="847">
        <v>210</v>
      </c>
      <c r="AE1" s="250"/>
      <c r="AF1" s="252"/>
      <c r="AG1" s="92"/>
    </row>
    <row r="2" spans="1:33" ht="12.75" customHeight="1" x14ac:dyDescent="0.3">
      <c r="A2" s="97"/>
      <c r="B2" s="1387" t="s">
        <v>426</v>
      </c>
      <c r="C2" s="1389"/>
      <c r="D2" s="1389"/>
      <c r="E2" s="1389"/>
      <c r="F2" s="1389"/>
      <c r="G2" s="1389"/>
      <c r="H2" s="1389"/>
      <c r="I2" s="1389"/>
      <c r="J2" s="1389"/>
      <c r="K2" s="1389"/>
      <c r="L2" s="293"/>
      <c r="M2" s="100"/>
      <c r="N2" s="100"/>
      <c r="O2" s="100"/>
      <c r="P2" s="100"/>
      <c r="Q2" s="100"/>
      <c r="R2" s="100"/>
      <c r="AE2" s="1391"/>
      <c r="AF2" s="1389"/>
      <c r="AG2" s="1389"/>
    </row>
    <row r="3" spans="1:33" ht="12.75" customHeight="1" x14ac:dyDescent="0.3">
      <c r="A3" s="97"/>
      <c r="B3" s="1388"/>
      <c r="C3" s="1388"/>
      <c r="D3" s="1388"/>
      <c r="E3" s="1388"/>
      <c r="F3" s="1388"/>
      <c r="G3" s="1388"/>
      <c r="H3" s="1388"/>
      <c r="I3" s="1388"/>
      <c r="J3" s="1388"/>
      <c r="K3" s="1388"/>
      <c r="L3" s="293"/>
      <c r="M3" s="100"/>
      <c r="N3" s="100"/>
      <c r="O3" s="100"/>
      <c r="P3" s="100"/>
      <c r="Q3" s="100"/>
      <c r="R3" s="100"/>
      <c r="AE3" s="1389"/>
      <c r="AF3" s="1389"/>
      <c r="AG3" s="1389"/>
    </row>
    <row r="4" spans="1:33" ht="35.25" customHeight="1" x14ac:dyDescent="0.25">
      <c r="A4" s="91" t="s">
        <v>1</v>
      </c>
      <c r="B4" s="91" t="s">
        <v>253</v>
      </c>
      <c r="C4" s="107" t="s">
        <v>254</v>
      </c>
      <c r="D4" s="91" t="s">
        <v>243</v>
      </c>
      <c r="E4" s="218" t="s">
        <v>246</v>
      </c>
      <c r="F4" s="108" t="s">
        <v>255</v>
      </c>
      <c r="G4" s="91" t="s">
        <v>256</v>
      </c>
      <c r="H4" s="107" t="s">
        <v>347</v>
      </c>
      <c r="I4" s="91" t="s">
        <v>258</v>
      </c>
      <c r="J4" s="91" t="s">
        <v>259</v>
      </c>
      <c r="K4" s="91" t="s">
        <v>260</v>
      </c>
      <c r="L4" s="91" t="s">
        <v>261</v>
      </c>
      <c r="M4" s="100"/>
      <c r="N4" s="100"/>
      <c r="O4" s="100"/>
      <c r="P4" s="100"/>
      <c r="AA4" s="251"/>
      <c r="AB4" s="253"/>
      <c r="AE4" s="251"/>
    </row>
    <row r="5" spans="1:33" ht="14.25" customHeight="1" x14ac:dyDescent="0.25">
      <c r="A5" s="266" t="s">
        <v>230</v>
      </c>
      <c r="B5" s="220" t="s">
        <v>232</v>
      </c>
      <c r="C5" s="115" t="s">
        <v>14</v>
      </c>
      <c r="D5" s="121">
        <f>I51/10</f>
        <v>6536.0784313725489</v>
      </c>
      <c r="E5" s="117">
        <f>H52</f>
        <v>7.1213960336177875</v>
      </c>
      <c r="F5" s="127">
        <v>1</v>
      </c>
      <c r="G5" s="119">
        <f t="shared" ref="G5:G20" si="0">D5*E5</f>
        <v>46546.003016591239</v>
      </c>
      <c r="H5" s="120">
        <f t="shared" ref="H5:H20" si="1">G5*F5</f>
        <v>46546.003016591239</v>
      </c>
      <c r="I5" s="81">
        <f>VLOOKUP(B5,All_Ingredients!$A$1:$F$151,6,FALSE())</f>
        <v>0.55000000000000004</v>
      </c>
      <c r="J5" s="119">
        <f>VLOOKUP(B5,All_Ingredients!$A$1:$J$151,10,FALSE())</f>
        <v>26.666666666666668</v>
      </c>
      <c r="K5" s="122">
        <f t="shared" ref="K5" si="2">(H5/I5)/1000</f>
        <v>84.629096393802243</v>
      </c>
      <c r="L5" s="122">
        <f t="shared" ref="L5" si="3">K5*J5</f>
        <v>2256.7759038347267</v>
      </c>
      <c r="M5" s="100"/>
      <c r="N5" s="100"/>
      <c r="O5" s="100"/>
      <c r="P5" s="100"/>
      <c r="AA5" s="92"/>
      <c r="AB5" s="133"/>
      <c r="AE5" s="136"/>
    </row>
    <row r="6" spans="1:33" ht="14.25" customHeight="1" x14ac:dyDescent="0.3">
      <c r="A6" s="128" t="s">
        <v>13</v>
      </c>
      <c r="B6" s="22" t="s">
        <v>12</v>
      </c>
      <c r="C6" s="124" t="s">
        <v>14</v>
      </c>
      <c r="D6" s="125">
        <v>200</v>
      </c>
      <c r="E6" s="197">
        <f t="shared" ref="E6:E20" si="4">$I$1</f>
        <v>7.1215384615384689</v>
      </c>
      <c r="F6" s="127">
        <v>0.95</v>
      </c>
      <c r="G6" s="119">
        <f t="shared" si="0"/>
        <v>1424.3076923076937</v>
      </c>
      <c r="H6" s="120">
        <f t="shared" si="1"/>
        <v>1353.0923076923091</v>
      </c>
      <c r="I6" s="81">
        <f>VLOOKUP(B6,All_Ingredients!$A$1:$F$151,6,FALSE())</f>
        <v>0.9</v>
      </c>
      <c r="J6" s="119">
        <f>VLOOKUP(B6,All_Ingredients!$A$1:$J$151,10,FALSE())</f>
        <v>3</v>
      </c>
      <c r="K6" s="122">
        <f t="shared" ref="K6:K20" si="5">(H6/I6)/1000</f>
        <v>1.503435897435899</v>
      </c>
      <c r="L6" s="122">
        <f t="shared" ref="L6:L20" si="6">K6*J6</f>
        <v>4.5103076923076966</v>
      </c>
    </row>
    <row r="7" spans="1:33" ht="14.25" customHeight="1" x14ac:dyDescent="0.3">
      <c r="A7" s="128" t="s">
        <v>13</v>
      </c>
      <c r="B7" s="22" t="s">
        <v>792</v>
      </c>
      <c r="C7" s="124" t="s">
        <v>14</v>
      </c>
      <c r="D7" s="125">
        <v>30</v>
      </c>
      <c r="E7" s="197">
        <f t="shared" si="4"/>
        <v>7.1215384615384689</v>
      </c>
      <c r="F7" s="127">
        <v>0.95</v>
      </c>
      <c r="G7" s="119">
        <f t="shared" si="0"/>
        <v>213.64615384615408</v>
      </c>
      <c r="H7" s="120">
        <f t="shared" si="1"/>
        <v>202.96384615384636</v>
      </c>
      <c r="I7" s="81">
        <f>VLOOKUP(B7,All_Ingredients!$A$1:$F$151,6,FALSE())</f>
        <v>1</v>
      </c>
      <c r="J7" s="119">
        <f>VLOOKUP(B7,All_Ingredients!$A$1:$J$151,10,FALSE())</f>
        <v>10.5</v>
      </c>
      <c r="K7" s="122">
        <f t="shared" si="5"/>
        <v>0.20296384615384636</v>
      </c>
      <c r="L7" s="122">
        <f t="shared" si="6"/>
        <v>2.1311203846153868</v>
      </c>
    </row>
    <row r="8" spans="1:33" ht="14.25" customHeight="1" x14ac:dyDescent="0.3">
      <c r="A8" s="128" t="s">
        <v>196</v>
      </c>
      <c r="B8" s="22" t="s">
        <v>208</v>
      </c>
      <c r="C8" s="124" t="s">
        <v>14</v>
      </c>
      <c r="D8" s="125">
        <v>20</v>
      </c>
      <c r="E8" s="197">
        <f t="shared" si="4"/>
        <v>7.1215384615384689</v>
      </c>
      <c r="F8" s="127">
        <v>1</v>
      </c>
      <c r="G8" s="119">
        <f t="shared" si="0"/>
        <v>142.43076923076939</v>
      </c>
      <c r="H8" s="120">
        <f t="shared" si="1"/>
        <v>142.43076923076939</v>
      </c>
      <c r="I8" s="81">
        <f>VLOOKUP(B8,All_Ingredients!$A$1:$F$151,6,FALSE())</f>
        <v>1</v>
      </c>
      <c r="J8" s="119">
        <f>VLOOKUP(B8,All_Ingredients!$A$1:$J$151,10,FALSE())</f>
        <v>11.243386243386244</v>
      </c>
      <c r="K8" s="122">
        <f t="shared" si="5"/>
        <v>0.14243076923076939</v>
      </c>
      <c r="L8" s="122">
        <f t="shared" si="6"/>
        <v>1.6014041514041533</v>
      </c>
    </row>
    <row r="9" spans="1:33" ht="14.25" customHeight="1" x14ac:dyDescent="0.3">
      <c r="A9" s="128" t="s">
        <v>196</v>
      </c>
      <c r="B9" s="22" t="s">
        <v>761</v>
      </c>
      <c r="C9" s="124" t="s">
        <v>14</v>
      </c>
      <c r="D9" s="125">
        <v>100</v>
      </c>
      <c r="E9" s="197">
        <f t="shared" si="4"/>
        <v>7.1215384615384689</v>
      </c>
      <c r="F9" s="127">
        <v>1</v>
      </c>
      <c r="G9" s="119">
        <f t="shared" si="0"/>
        <v>712.15384615384687</v>
      </c>
      <c r="H9" s="120">
        <f t="shared" si="1"/>
        <v>712.15384615384687</v>
      </c>
      <c r="I9" s="81">
        <f>VLOOKUP(B9,All_Ingredients!$A$1:$F$151,6,FALSE())</f>
        <v>1</v>
      </c>
      <c r="J9" s="119">
        <f>VLOOKUP(B9,All_Ingredients!$A$1:$J$151,10,FALSE())</f>
        <v>8.1520833333333336</v>
      </c>
      <c r="K9" s="122">
        <f t="shared" si="5"/>
        <v>0.71215384615384691</v>
      </c>
      <c r="L9" s="122">
        <f t="shared" si="6"/>
        <v>5.805537500000006</v>
      </c>
    </row>
    <row r="10" spans="1:33" ht="14.25" customHeight="1" x14ac:dyDescent="0.3">
      <c r="A10" s="128" t="s">
        <v>220</v>
      </c>
      <c r="B10" s="22" t="s">
        <v>815</v>
      </c>
      <c r="C10" s="124" t="s">
        <v>14</v>
      </c>
      <c r="D10" s="125">
        <v>3</v>
      </c>
      <c r="E10" s="197">
        <f t="shared" si="4"/>
        <v>7.1215384615384689</v>
      </c>
      <c r="F10" s="127">
        <v>0.75</v>
      </c>
      <c r="G10" s="119">
        <f t="shared" si="0"/>
        <v>21.364615384615405</v>
      </c>
      <c r="H10" s="120">
        <f t="shared" si="1"/>
        <v>16.023461538461554</v>
      </c>
      <c r="I10" s="81">
        <f>VLOOKUP(B10,All_Ingredients!$A$1:$F$151,6,FALSE())</f>
        <v>1</v>
      </c>
      <c r="J10" s="119">
        <f>VLOOKUP(B10,All_Ingredients!$A$1:$J$151,10,FALSE())</f>
        <v>22.5</v>
      </c>
      <c r="K10" s="122">
        <f t="shared" si="5"/>
        <v>1.6023461538461552E-2</v>
      </c>
      <c r="L10" s="122">
        <f t="shared" si="6"/>
        <v>0.36052788461538493</v>
      </c>
    </row>
    <row r="11" spans="1:33" ht="14.25" customHeight="1" x14ac:dyDescent="0.3">
      <c r="A11" s="128" t="s">
        <v>210</v>
      </c>
      <c r="B11" s="22" t="s">
        <v>209</v>
      </c>
      <c r="C11" s="124" t="s">
        <v>165</v>
      </c>
      <c r="D11" s="125">
        <v>10</v>
      </c>
      <c r="E11" s="197">
        <f t="shared" si="4"/>
        <v>7.1215384615384689</v>
      </c>
      <c r="F11" s="127">
        <v>1</v>
      </c>
      <c r="G11" s="119">
        <f t="shared" si="0"/>
        <v>71.215384615384693</v>
      </c>
      <c r="H11" s="120">
        <f t="shared" si="1"/>
        <v>71.215384615384693</v>
      </c>
      <c r="I11" s="81">
        <f>VLOOKUP(B11,All_Ingredients!$A$1:$F$151,6,FALSE())</f>
        <v>1</v>
      </c>
      <c r="J11" s="119">
        <f>VLOOKUP(B11,All_Ingredients!$A$1:$J$151,10,FALSE())</f>
        <v>0</v>
      </c>
      <c r="K11" s="122">
        <f t="shared" si="5"/>
        <v>7.1215384615384694E-2</v>
      </c>
      <c r="L11" s="122">
        <f t="shared" si="6"/>
        <v>0</v>
      </c>
    </row>
    <row r="12" spans="1:33" ht="14.25" customHeight="1" x14ac:dyDescent="0.3">
      <c r="A12" s="128" t="s">
        <v>97</v>
      </c>
      <c r="B12" s="22" t="s">
        <v>102</v>
      </c>
      <c r="C12" s="124" t="s">
        <v>14</v>
      </c>
      <c r="D12" s="125">
        <v>2</v>
      </c>
      <c r="E12" s="197">
        <f t="shared" si="4"/>
        <v>7.1215384615384689</v>
      </c>
      <c r="F12" s="127">
        <v>1</v>
      </c>
      <c r="G12" s="119">
        <f t="shared" si="0"/>
        <v>14.243076923076938</v>
      </c>
      <c r="H12" s="120">
        <f t="shared" si="1"/>
        <v>14.243076923076938</v>
      </c>
      <c r="I12" s="81">
        <f>VLOOKUP(B12,All_Ingredients!$A$1:$F$151,6,FALSE())</f>
        <v>1</v>
      </c>
      <c r="J12" s="119">
        <f>VLOOKUP(B12,All_Ingredients!$A$1:$J$151,10,FALSE())</f>
        <v>31</v>
      </c>
      <c r="K12" s="122">
        <f t="shared" si="5"/>
        <v>1.4243076923076938E-2</v>
      </c>
      <c r="L12" s="122">
        <f t="shared" si="6"/>
        <v>0.44153538461538511</v>
      </c>
    </row>
    <row r="13" spans="1:33" ht="14.25" customHeight="1" x14ac:dyDescent="0.3">
      <c r="A13" s="128" t="s">
        <v>196</v>
      </c>
      <c r="B13" s="22" t="s">
        <v>206</v>
      </c>
      <c r="C13" s="124" t="s">
        <v>14</v>
      </c>
      <c r="D13" s="125">
        <v>25</v>
      </c>
      <c r="E13" s="197">
        <f t="shared" si="4"/>
        <v>7.1215384615384689</v>
      </c>
      <c r="F13" s="127">
        <v>0.75</v>
      </c>
      <c r="G13" s="119">
        <f t="shared" si="0"/>
        <v>178.03846153846172</v>
      </c>
      <c r="H13" s="120">
        <f t="shared" si="1"/>
        <v>133.5288461538463</v>
      </c>
      <c r="I13" s="81">
        <f>VLOOKUP(B13,All_Ingredients!$A$1:$F$151,6,FALSE())</f>
        <v>1</v>
      </c>
      <c r="J13" s="119">
        <f>VLOOKUP(B13,All_Ingredients!$A$1:$J$151,10,FALSE())</f>
        <v>63.333333333333336</v>
      </c>
      <c r="K13" s="122">
        <f t="shared" si="5"/>
        <v>0.1335288461538463</v>
      </c>
      <c r="L13" s="122">
        <f t="shared" si="6"/>
        <v>8.4568269230769335</v>
      </c>
    </row>
    <row r="14" spans="1:33" ht="14.25" customHeight="1" x14ac:dyDescent="0.3">
      <c r="A14" s="128" t="s">
        <v>158</v>
      </c>
      <c r="B14" s="22" t="s">
        <v>171</v>
      </c>
      <c r="C14" s="124" t="s">
        <v>165</v>
      </c>
      <c r="D14" s="125">
        <v>500</v>
      </c>
      <c r="E14" s="197">
        <f t="shared" si="4"/>
        <v>7.1215384615384689</v>
      </c>
      <c r="F14" s="127">
        <v>1</v>
      </c>
      <c r="G14" s="119">
        <f t="shared" si="0"/>
        <v>3560.7692307692346</v>
      </c>
      <c r="H14" s="120">
        <f t="shared" si="1"/>
        <v>3560.7692307692346</v>
      </c>
      <c r="I14" s="81">
        <f>VLOOKUP(B14,All_Ingredients!$A$1:$F$151,6,FALSE())</f>
        <v>1</v>
      </c>
      <c r="J14" s="119">
        <f>VLOOKUP(B14,All_Ingredients!$A$1:$J$151,10,FALSE())</f>
        <v>12.666666666666666</v>
      </c>
      <c r="K14" s="122">
        <f t="shared" si="5"/>
        <v>3.5607692307692345</v>
      </c>
      <c r="L14" s="122">
        <f t="shared" si="6"/>
        <v>45.103076923076969</v>
      </c>
    </row>
    <row r="15" spans="1:33" ht="14.25" customHeight="1" x14ac:dyDescent="0.3">
      <c r="A15" s="128" t="s">
        <v>97</v>
      </c>
      <c r="B15" s="22" t="s">
        <v>144</v>
      </c>
      <c r="C15" s="124" t="s">
        <v>14</v>
      </c>
      <c r="D15" s="125">
        <v>8</v>
      </c>
      <c r="E15" s="197">
        <f t="shared" si="4"/>
        <v>7.1215384615384689</v>
      </c>
      <c r="F15" s="127">
        <v>1</v>
      </c>
      <c r="G15" s="119">
        <f t="shared" si="0"/>
        <v>56.972307692307751</v>
      </c>
      <c r="H15" s="120">
        <f t="shared" si="1"/>
        <v>56.972307692307751</v>
      </c>
      <c r="I15" s="81">
        <f>VLOOKUP(B15,All_Ingredients!$A$1:$F$151,6,FALSE())</f>
        <v>1</v>
      </c>
      <c r="J15" s="119">
        <f>VLOOKUP(B15,All_Ingredients!$A$1:$J$151,10,FALSE())</f>
        <v>15.277777777777779</v>
      </c>
      <c r="K15" s="122">
        <f t="shared" si="5"/>
        <v>5.6972307692307753E-2</v>
      </c>
      <c r="L15" s="122">
        <f t="shared" si="6"/>
        <v>0.87041025641025738</v>
      </c>
    </row>
    <row r="16" spans="1:33" ht="14.25" customHeight="1" x14ac:dyDescent="0.3">
      <c r="A16" s="128" t="s">
        <v>97</v>
      </c>
      <c r="B16" s="22" t="s">
        <v>96</v>
      </c>
      <c r="C16" s="124" t="s">
        <v>14</v>
      </c>
      <c r="D16" s="125">
        <v>5</v>
      </c>
      <c r="E16" s="197">
        <f t="shared" si="4"/>
        <v>7.1215384615384689</v>
      </c>
      <c r="F16" s="127">
        <v>1</v>
      </c>
      <c r="G16" s="119">
        <f t="shared" si="0"/>
        <v>35.607692307692346</v>
      </c>
      <c r="H16" s="120">
        <f t="shared" si="1"/>
        <v>35.607692307692346</v>
      </c>
      <c r="I16" s="81">
        <f>VLOOKUP(B16,All_Ingredients!$A$1:$F$151,6,FALSE())</f>
        <v>1</v>
      </c>
      <c r="J16" s="119">
        <f>VLOOKUP(B16,All_Ingredients!$A$1:$J$151,10,FALSE())</f>
        <v>0.74</v>
      </c>
      <c r="K16" s="122">
        <f t="shared" si="5"/>
        <v>3.5607692307692347E-2</v>
      </c>
      <c r="L16" s="122">
        <f t="shared" si="6"/>
        <v>2.6349692307692338E-2</v>
      </c>
    </row>
    <row r="17" spans="1:30" ht="14.25" customHeight="1" x14ac:dyDescent="0.3">
      <c r="A17" s="128" t="s">
        <v>192</v>
      </c>
      <c r="B17" s="22" t="s">
        <v>193</v>
      </c>
      <c r="C17" s="124" t="s">
        <v>14</v>
      </c>
      <c r="D17" s="125">
        <v>20</v>
      </c>
      <c r="E17" s="197">
        <f t="shared" si="4"/>
        <v>7.1215384615384689</v>
      </c>
      <c r="F17" s="127">
        <v>0.75</v>
      </c>
      <c r="G17" s="119">
        <f t="shared" si="0"/>
        <v>142.43076923076939</v>
      </c>
      <c r="H17" s="120">
        <f t="shared" si="1"/>
        <v>106.82307692307704</v>
      </c>
      <c r="I17" s="81">
        <f>VLOOKUP(B17,All_Ingredients!$A$1:$F$151,6,FALSE())</f>
        <v>0.9</v>
      </c>
      <c r="J17" s="119">
        <f>VLOOKUP(B17,All_Ingredients!$A$1:$J$151,10,FALSE())</f>
        <v>2.3199999999999998</v>
      </c>
      <c r="K17" s="122">
        <f t="shared" si="5"/>
        <v>0.11869230769230782</v>
      </c>
      <c r="L17" s="122">
        <f t="shared" si="6"/>
        <v>0.27536615384615409</v>
      </c>
    </row>
    <row r="18" spans="1:30" ht="14.25" customHeight="1" x14ac:dyDescent="0.3">
      <c r="A18" s="128" t="s">
        <v>13</v>
      </c>
      <c r="B18" s="22" t="s">
        <v>820</v>
      </c>
      <c r="C18" s="124" t="s">
        <v>14</v>
      </c>
      <c r="D18" s="125">
        <v>100</v>
      </c>
      <c r="E18" s="197">
        <f t="shared" si="4"/>
        <v>7.1215384615384689</v>
      </c>
      <c r="F18" s="127">
        <v>1</v>
      </c>
      <c r="G18" s="119">
        <f t="shared" si="0"/>
        <v>712.15384615384687</v>
      </c>
      <c r="H18" s="120">
        <f t="shared" si="1"/>
        <v>712.15384615384687</v>
      </c>
      <c r="I18" s="81">
        <f>VLOOKUP(B18,All_Ingredients!$A$1:$F$151,6,FALSE())</f>
        <v>1</v>
      </c>
      <c r="J18" s="119">
        <f>VLOOKUP(B18,All_Ingredients!$A$1:$J$151,10,FALSE())</f>
        <v>22</v>
      </c>
      <c r="K18" s="122">
        <f t="shared" si="5"/>
        <v>0.71215384615384691</v>
      </c>
      <c r="L18" s="122">
        <f t="shared" si="6"/>
        <v>15.667384615384632</v>
      </c>
    </row>
    <row r="19" spans="1:30" ht="14.25" customHeight="1" x14ac:dyDescent="0.3">
      <c r="A19" s="128" t="s">
        <v>158</v>
      </c>
      <c r="B19" s="222" t="s">
        <v>157</v>
      </c>
      <c r="C19" s="124" t="s">
        <v>14</v>
      </c>
      <c r="D19" s="125">
        <v>20</v>
      </c>
      <c r="E19" s="197">
        <f t="shared" si="4"/>
        <v>7.1215384615384689</v>
      </c>
      <c r="F19" s="127">
        <v>1</v>
      </c>
      <c r="G19" s="119">
        <f t="shared" si="0"/>
        <v>142.43076923076939</v>
      </c>
      <c r="H19" s="120">
        <f t="shared" si="1"/>
        <v>142.43076923076939</v>
      </c>
      <c r="I19" s="81">
        <f>VLOOKUP(B19,All_Ingredients!$A$1:$F$151,6,FALSE())</f>
        <v>1</v>
      </c>
      <c r="J19" s="119">
        <f>VLOOKUP(B19,All_Ingredients!$A$1:$J$151,10,FALSE())</f>
        <v>30</v>
      </c>
      <c r="K19" s="122">
        <f t="shared" si="5"/>
        <v>0.14243076923076939</v>
      </c>
      <c r="L19" s="122">
        <f t="shared" si="6"/>
        <v>4.2729230769230817</v>
      </c>
    </row>
    <row r="20" spans="1:30" ht="14.25" customHeight="1" x14ac:dyDescent="0.3">
      <c r="A20" s="128" t="s">
        <v>196</v>
      </c>
      <c r="B20" s="222" t="s">
        <v>198</v>
      </c>
      <c r="C20" s="124" t="s">
        <v>165</v>
      </c>
      <c r="D20" s="125">
        <v>15</v>
      </c>
      <c r="E20" s="197">
        <f t="shared" si="4"/>
        <v>7.1215384615384689</v>
      </c>
      <c r="F20" s="127">
        <v>0.9</v>
      </c>
      <c r="G20" s="119">
        <f t="shared" si="0"/>
        <v>106.82307692307704</v>
      </c>
      <c r="H20" s="120">
        <f t="shared" si="1"/>
        <v>96.140769230769337</v>
      </c>
      <c r="I20" s="81">
        <f>VLOOKUP(B20,All_Ingredients!$A$1:$F$151,6,FALSE())</f>
        <v>1</v>
      </c>
      <c r="J20" s="119">
        <f>VLOOKUP(B20,All_Ingredients!$A$1:$J$151,10,FALSE())</f>
        <v>58.685446009389672</v>
      </c>
      <c r="K20" s="122">
        <f t="shared" si="5"/>
        <v>9.6140769230769335E-2</v>
      </c>
      <c r="L20" s="122">
        <f t="shared" si="6"/>
        <v>5.6420639219935058</v>
      </c>
    </row>
    <row r="21" spans="1:30" ht="14.25" customHeight="1" x14ac:dyDescent="0.3">
      <c r="B21" s="100"/>
      <c r="C21" s="171"/>
      <c r="D21" s="171"/>
      <c r="E21" s="100"/>
      <c r="F21" s="100"/>
      <c r="G21" s="171"/>
      <c r="L21" s="297"/>
    </row>
    <row r="22" spans="1:30" ht="14.25" customHeight="1" x14ac:dyDescent="0.3">
      <c r="L22" s="297"/>
    </row>
    <row r="23" spans="1:30" ht="14.25" customHeight="1" x14ac:dyDescent="0.3">
      <c r="L23" s="297"/>
    </row>
    <row r="24" spans="1:30" ht="14.25" customHeight="1" x14ac:dyDescent="0.3">
      <c r="L24" s="297"/>
      <c r="Z24" s="1234"/>
    </row>
    <row r="25" spans="1:30" ht="14.25" customHeight="1" x14ac:dyDescent="0.3">
      <c r="L25" s="297"/>
      <c r="R25" s="1430" t="s">
        <v>427</v>
      </c>
      <c r="S25" s="1476"/>
      <c r="T25" s="1476"/>
      <c r="U25" s="1476"/>
      <c r="V25" s="1206"/>
      <c r="Z25" s="141" t="s">
        <v>264</v>
      </c>
      <c r="AA25" s="142">
        <v>31020</v>
      </c>
      <c r="AB25" s="141" t="s">
        <v>261</v>
      </c>
      <c r="AC25" s="143">
        <f>AD30*AA25</f>
        <v>2365.1578263255656</v>
      </c>
    </row>
    <row r="26" spans="1:30" ht="14.25" customHeight="1" x14ac:dyDescent="0.3">
      <c r="L26" s="297"/>
      <c r="R26" s="1438" t="s">
        <v>428</v>
      </c>
      <c r="S26" s="1481"/>
      <c r="T26" s="1481"/>
      <c r="U26" s="1481"/>
      <c r="V26" s="1206"/>
    </row>
    <row r="27" spans="1:30" ht="14.25" customHeight="1" thickBot="1" x14ac:dyDescent="0.35">
      <c r="R27" s="145" t="s">
        <v>266</v>
      </c>
      <c r="S27" s="146" t="s">
        <v>310</v>
      </c>
      <c r="T27" s="146" t="s">
        <v>268</v>
      </c>
      <c r="U27" s="146" t="s">
        <v>269</v>
      </c>
      <c r="V27" s="146" t="s">
        <v>848</v>
      </c>
      <c r="Z27" s="141" t="s">
        <v>270</v>
      </c>
      <c r="AA27" s="147" t="s">
        <v>271</v>
      </c>
      <c r="AB27" s="147" t="s">
        <v>272</v>
      </c>
      <c r="AC27" s="1186" t="s">
        <v>848</v>
      </c>
      <c r="AD27" s="147" t="s">
        <v>274</v>
      </c>
    </row>
    <row r="28" spans="1:30" ht="14.25" customHeight="1" thickBot="1" x14ac:dyDescent="0.35">
      <c r="B28" s="100"/>
      <c r="E28" s="100"/>
      <c r="F28" s="100"/>
      <c r="R28" s="148" t="s">
        <v>275</v>
      </c>
      <c r="S28" s="149">
        <f>U28*S40</f>
        <v>23738.461538461532</v>
      </c>
      <c r="T28" s="149">
        <f>U28*U40</f>
        <v>7121.5384615384692</v>
      </c>
      <c r="U28" s="150">
        <f>$Z$1</f>
        <v>30860</v>
      </c>
      <c r="V28" s="149">
        <f>H37</f>
        <v>14.700000000000001</v>
      </c>
      <c r="Z28" s="151"/>
      <c r="AA28" s="152">
        <f>AA25*$S$40</f>
        <v>23861.538461538457</v>
      </c>
      <c r="AB28" s="152">
        <f>AA25*$U$40</f>
        <v>7158.4615384615454</v>
      </c>
      <c r="AC28" s="1188"/>
      <c r="AD28" s="154">
        <f>SUM(AA28:AB28)</f>
        <v>31020.000000000004</v>
      </c>
    </row>
    <row r="29" spans="1:30" ht="28.5" customHeight="1" thickBot="1" x14ac:dyDescent="0.35">
      <c r="B29" s="875"/>
      <c r="C29" s="1482"/>
      <c r="D29" s="1482"/>
      <c r="E29" s="1482"/>
      <c r="F29" s="1482"/>
      <c r="G29" s="1482"/>
      <c r="H29" s="876"/>
      <c r="R29" s="148" t="s">
        <v>276</v>
      </c>
      <c r="S29" s="155"/>
      <c r="T29" s="149"/>
      <c r="U29" s="149">
        <f>T29</f>
        <v>0</v>
      </c>
      <c r="V29" s="149"/>
      <c r="Z29" s="151"/>
      <c r="AA29" s="156">
        <f>AA28/$AD$28</f>
        <v>0.76923076923076905</v>
      </c>
      <c r="AB29" s="156">
        <f>AB28/$AD$28</f>
        <v>0.23076923076923098</v>
      </c>
      <c r="AC29" s="1192"/>
      <c r="AD29" s="156">
        <f>AD28/$AD$28</f>
        <v>1</v>
      </c>
    </row>
    <row r="30" spans="1:30" ht="21.75" customHeight="1" thickBot="1" x14ac:dyDescent="0.35">
      <c r="B30" s="877"/>
      <c r="C30" s="878"/>
      <c r="D30" s="879"/>
      <c r="E30" s="877"/>
      <c r="F30" s="877"/>
      <c r="G30" s="879"/>
      <c r="H30" s="880"/>
      <c r="R30" s="148" t="s">
        <v>277</v>
      </c>
      <c r="S30" s="1228">
        <f>U30*S40</f>
        <v>0</v>
      </c>
      <c r="T30" s="149">
        <f>U30*U40</f>
        <v>0</v>
      </c>
      <c r="U30" s="150">
        <f>$AB$1</f>
        <v>0</v>
      </c>
      <c r="V30" s="1143"/>
      <c r="Z30" s="141" t="s">
        <v>278</v>
      </c>
      <c r="AA30" s="157">
        <f>S35/(S32)</f>
        <v>9.5068330362448009E-2</v>
      </c>
      <c r="AB30" s="158">
        <f>T35/T32</f>
        <v>1.3362960134883374E-2</v>
      </c>
      <c r="AC30" s="1199">
        <f>V35/U32</f>
        <v>3.2977715738571214E-5</v>
      </c>
      <c r="AD30" s="1201">
        <f>SUMPRODUCT(AA30:AB30,AA29:AB29)+AC30</f>
        <v>7.6246222641056266E-2</v>
      </c>
    </row>
    <row r="31" spans="1:30" ht="14.25" customHeight="1" thickBot="1" x14ac:dyDescent="0.35">
      <c r="B31" s="100"/>
      <c r="E31" s="100"/>
      <c r="F31" s="100"/>
      <c r="R31" s="148" t="s">
        <v>279</v>
      </c>
      <c r="S31" s="155"/>
      <c r="T31" s="149"/>
      <c r="U31" s="149"/>
      <c r="V31" s="149"/>
    </row>
    <row r="32" spans="1:30" ht="14.25" customHeight="1" thickBot="1" x14ac:dyDescent="0.35">
      <c r="R32" s="160" t="s">
        <v>269</v>
      </c>
      <c r="S32" s="149">
        <f>SUM(S28:S30)</f>
        <v>23738.461538461532</v>
      </c>
      <c r="T32" s="149">
        <f>SUM(T28:T30)</f>
        <v>7121.5384615384692</v>
      </c>
      <c r="U32" s="149">
        <f>SUM(U28:U30)</f>
        <v>30860</v>
      </c>
      <c r="V32" s="149">
        <f>SUM(V28:V30)</f>
        <v>14.700000000000001</v>
      </c>
    </row>
    <row r="33" spans="2:23" ht="14.25" customHeight="1" thickBot="1" x14ac:dyDescent="0.35">
      <c r="R33" s="161" t="s">
        <v>280</v>
      </c>
      <c r="S33" s="149"/>
      <c r="T33" s="155"/>
      <c r="U33" s="155"/>
      <c r="V33" s="155"/>
    </row>
    <row r="34" spans="2:23" ht="14.25" customHeight="1" thickBot="1" x14ac:dyDescent="0.35">
      <c r="R34" s="162" t="s">
        <v>281</v>
      </c>
      <c r="S34" s="149"/>
      <c r="T34" s="149"/>
      <c r="U34" s="155"/>
      <c r="V34" s="155"/>
    </row>
    <row r="35" spans="2:23" ht="14.25" customHeight="1" thickBot="1" x14ac:dyDescent="0.35">
      <c r="B35" s="1394" t="s">
        <v>715</v>
      </c>
      <c r="C35" s="1394"/>
      <c r="D35" s="1394"/>
      <c r="E35" s="1394"/>
      <c r="F35" s="1394"/>
      <c r="G35" s="882"/>
      <c r="H35" s="882"/>
      <c r="I35" s="889"/>
      <c r="J35" s="889"/>
      <c r="K35" s="889"/>
      <c r="L35" s="889"/>
      <c r="R35" s="163" t="s">
        <v>261</v>
      </c>
      <c r="S35" s="1144">
        <f>$L$5</f>
        <v>2256.7759038347267</v>
      </c>
      <c r="T35" s="1144">
        <f>SUM(L6:L20)</f>
        <v>95.164834560577233</v>
      </c>
      <c r="U35" s="1144">
        <f>S35+T35+V35</f>
        <v>2352.9584307029963</v>
      </c>
      <c r="V35" s="1144">
        <f>L37</f>
        <v>1.0176923076923077</v>
      </c>
    </row>
    <row r="36" spans="2:23" ht="46.5" x14ac:dyDescent="0.3">
      <c r="B36" s="860" t="s">
        <v>253</v>
      </c>
      <c r="C36" s="860" t="s">
        <v>329</v>
      </c>
      <c r="D36" s="862" t="s">
        <v>671</v>
      </c>
      <c r="E36" s="859" t="s">
        <v>672</v>
      </c>
      <c r="F36" s="862" t="s">
        <v>673</v>
      </c>
      <c r="G36" s="882"/>
      <c r="H36" s="862" t="s">
        <v>673</v>
      </c>
      <c r="I36" s="862" t="s">
        <v>258</v>
      </c>
      <c r="J36" s="862" t="s">
        <v>259</v>
      </c>
      <c r="K36" s="862" t="s">
        <v>260</v>
      </c>
      <c r="L36" s="862" t="s">
        <v>261</v>
      </c>
    </row>
    <row r="37" spans="2:23" x14ac:dyDescent="0.3">
      <c r="B37" s="855" t="s">
        <v>746</v>
      </c>
      <c r="C37" s="856" t="s">
        <v>14</v>
      </c>
      <c r="D37" s="857">
        <v>7.0000000000000007E-2</v>
      </c>
      <c r="E37" s="855">
        <f>$AD$1</f>
        <v>210</v>
      </c>
      <c r="F37" s="855">
        <f>D37*E37</f>
        <v>14.700000000000001</v>
      </c>
      <c r="G37" s="881"/>
      <c r="H37" s="855">
        <f>F37</f>
        <v>14.700000000000001</v>
      </c>
      <c r="I37" s="855">
        <f>VLOOKUP(B37,All_Ingredients!$A$1:$F$151,6,FALSE())</f>
        <v>0.65</v>
      </c>
      <c r="J37" s="855">
        <f>VLOOKUP(B37,All_Ingredients!$A$1:$J$151,10,FALSE())</f>
        <v>45</v>
      </c>
      <c r="K37" s="855">
        <f>(H37/I37)/1000</f>
        <v>2.2615384615384617E-2</v>
      </c>
      <c r="L37" s="855">
        <f>K37*J37</f>
        <v>1.0176923076923077</v>
      </c>
    </row>
    <row r="40" spans="2:23" ht="18.75" customHeight="1" x14ac:dyDescent="0.3">
      <c r="R40" s="165" t="s">
        <v>282</v>
      </c>
      <c r="S40" s="166">
        <v>0.76923076923076905</v>
      </c>
      <c r="T40" s="165" t="s">
        <v>283</v>
      </c>
      <c r="U40" s="167">
        <v>0.230769230769231</v>
      </c>
      <c r="V40" s="168">
        <f>S40+U40</f>
        <v>1</v>
      </c>
    </row>
    <row r="41" spans="2:23" ht="14.25" customHeight="1" x14ac:dyDescent="0.3">
      <c r="U41" s="169"/>
    </row>
    <row r="42" spans="2:23" ht="14.25" customHeight="1" x14ac:dyDescent="0.3"/>
    <row r="43" spans="2:23" ht="14.25" customHeight="1" x14ac:dyDescent="0.3">
      <c r="Q43" s="170" t="s">
        <v>284</v>
      </c>
      <c r="R43" s="170" t="s">
        <v>285</v>
      </c>
      <c r="S43" s="170" t="s">
        <v>286</v>
      </c>
      <c r="T43" s="170" t="s">
        <v>287</v>
      </c>
      <c r="U43" s="170" t="s">
        <v>288</v>
      </c>
      <c r="V43" s="170" t="s">
        <v>289</v>
      </c>
      <c r="W43" s="258" t="s">
        <v>290</v>
      </c>
    </row>
    <row r="44" spans="2:23" ht="14.25" customHeight="1" x14ac:dyDescent="0.3">
      <c r="Q44" s="172">
        <v>43334</v>
      </c>
      <c r="R44" s="173">
        <f>D51</f>
        <v>10000</v>
      </c>
      <c r="S44" s="174">
        <v>1</v>
      </c>
      <c r="T44" s="174">
        <v>0</v>
      </c>
      <c r="U44" s="242">
        <f>R44*S44</f>
        <v>10000</v>
      </c>
      <c r="V44" s="176">
        <f>R44*T44</f>
        <v>0</v>
      </c>
      <c r="W44" s="260">
        <f>Q44-U44</f>
        <v>33334</v>
      </c>
    </row>
    <row r="50" spans="1:10" ht="14" customHeight="1" x14ac:dyDescent="0.3">
      <c r="B50" s="145"/>
      <c r="C50" s="145" t="s">
        <v>245</v>
      </c>
      <c r="D50" s="145" t="s">
        <v>291</v>
      </c>
      <c r="E50" s="100"/>
      <c r="F50" s="100"/>
      <c r="G50" s="145" t="s">
        <v>292</v>
      </c>
      <c r="H50" s="145" t="s">
        <v>245</v>
      </c>
      <c r="I50" s="145" t="s">
        <v>293</v>
      </c>
      <c r="J50" s="145" t="s">
        <v>294</v>
      </c>
    </row>
    <row r="51" spans="1:10" ht="14" customHeight="1" x14ac:dyDescent="0.3">
      <c r="B51" s="180" t="s">
        <v>295</v>
      </c>
      <c r="C51" s="181">
        <f>10/$K$1</f>
        <v>10</v>
      </c>
      <c r="D51" s="182">
        <f>$C$1*10</f>
        <v>10000</v>
      </c>
      <c r="E51" s="183"/>
      <c r="F51" s="100"/>
      <c r="G51" s="180" t="s">
        <v>295</v>
      </c>
      <c r="H51" s="277">
        <f>I51/$D$5</f>
        <v>10</v>
      </c>
      <c r="I51" s="181">
        <f>J51/$R$1</f>
        <v>65360.784313725489</v>
      </c>
      <c r="J51" s="181">
        <f>$W$44</f>
        <v>33334</v>
      </c>
    </row>
    <row r="52" spans="1:10" x14ac:dyDescent="0.3">
      <c r="B52" s="231" t="s">
        <v>274</v>
      </c>
      <c r="C52" s="232">
        <f>$I$1</f>
        <v>7.1215384615384689</v>
      </c>
      <c r="D52" s="233">
        <f>$E$1</f>
        <v>7121.5384615384692</v>
      </c>
      <c r="E52" s="100"/>
      <c r="F52" s="100"/>
      <c r="G52" s="148" t="s">
        <v>274</v>
      </c>
      <c r="H52" s="210">
        <f>I52/$D$5</f>
        <v>7.1213960336177875</v>
      </c>
      <c r="I52" s="176">
        <f>J52/$R$1</f>
        <v>46546.003016591239</v>
      </c>
      <c r="J52" s="184">
        <f>$S$32</f>
        <v>23738.461538461532</v>
      </c>
    </row>
    <row r="53" spans="1:10" x14ac:dyDescent="0.3">
      <c r="B53" s="231" t="s">
        <v>296</v>
      </c>
      <c r="C53" s="234">
        <f>MIN(C52, C51)</f>
        <v>7.1215384615384689</v>
      </c>
      <c r="D53" s="233">
        <f>(C53*$K$1)*$C$1</f>
        <v>7121.5384615384692</v>
      </c>
      <c r="E53" s="100"/>
      <c r="F53" s="100"/>
      <c r="G53" s="148" t="s">
        <v>296</v>
      </c>
      <c r="H53" s="187">
        <f>MIN(H52,H51)</f>
        <v>7.1213960336177875</v>
      </c>
      <c r="I53" s="176">
        <f>J53/$R$1</f>
        <v>46546.003016591239</v>
      </c>
      <c r="J53" s="176">
        <f>MIN(J52,J51)</f>
        <v>23738.461538461532</v>
      </c>
    </row>
    <row r="54" spans="1:10" x14ac:dyDescent="0.3">
      <c r="B54" s="231" t="s">
        <v>297</v>
      </c>
      <c r="C54" s="234">
        <f>MIN(MAX(C52-C53,0),C51)</f>
        <v>0</v>
      </c>
      <c r="D54" s="233">
        <f>(C54*$K$1)*$C$1</f>
        <v>0</v>
      </c>
      <c r="E54" s="100"/>
      <c r="F54" s="100"/>
      <c r="G54" s="148" t="s">
        <v>297</v>
      </c>
      <c r="H54" s="187">
        <f>MIN(MAX(H52-H53),H51)</f>
        <v>0</v>
      </c>
      <c r="I54" s="176">
        <f>J54/$R$1</f>
        <v>0</v>
      </c>
      <c r="J54" s="176">
        <f>MIN(MAX(J52-J53),J51)</f>
        <v>0</v>
      </c>
    </row>
    <row r="55" spans="1:10" x14ac:dyDescent="0.3">
      <c r="B55" s="231" t="s">
        <v>298</v>
      </c>
      <c r="C55" s="234">
        <f>MIN(MAX(C52-C53-C54,0),C51)</f>
        <v>0</v>
      </c>
      <c r="D55" s="233">
        <f>(C55*$K$1)*$C$1</f>
        <v>0</v>
      </c>
      <c r="E55" s="100"/>
      <c r="F55" s="100"/>
      <c r="G55" s="145" t="s">
        <v>298</v>
      </c>
      <c r="H55" s="187">
        <f>MIN(MAX(H52-H53-H54),H51)</f>
        <v>0</v>
      </c>
      <c r="I55" s="176">
        <f>J55/$R$1</f>
        <v>0</v>
      </c>
      <c r="J55" s="176">
        <f>MIN(MAX(J52-J53-J54),J51)</f>
        <v>0</v>
      </c>
    </row>
    <row r="62" spans="1:10" ht="17.75" customHeight="1" x14ac:dyDescent="0.3">
      <c r="A62" s="937"/>
      <c r="B62" s="1382" t="str">
        <f>"ستروغانوف لحم  1 / " &amp; COUNTIF($C$53:$C$55, "&gt;0")</f>
        <v>ستروغانوف لحم  1 / 1</v>
      </c>
      <c r="C62" s="1383"/>
      <c r="D62" s="1383"/>
      <c r="E62" s="1383"/>
      <c r="F62" s="1383"/>
      <c r="G62" s="1383"/>
      <c r="H62" s="1383"/>
    </row>
    <row r="63" spans="1:10" ht="17.75" customHeight="1" x14ac:dyDescent="0.3">
      <c r="A63" s="937"/>
      <c r="B63" s="1384" t="str">
        <f>"Stroganoff sauce for Beef  1 / " &amp; COUNTIF($C$53:$C$55, "&gt;0")</f>
        <v>Stroganoff sauce for Beef  1 / 1</v>
      </c>
      <c r="C63" s="1385"/>
      <c r="D63" s="1385"/>
      <c r="E63" s="1385"/>
      <c r="F63" s="1385"/>
      <c r="G63" s="1385"/>
      <c r="H63" s="1385"/>
    </row>
    <row r="64" spans="1:10" ht="43.25" customHeight="1" x14ac:dyDescent="0.25">
      <c r="A64" s="91"/>
      <c r="B64" s="243" t="s">
        <v>253</v>
      </c>
      <c r="C64" s="244" t="s">
        <v>254</v>
      </c>
      <c r="D64" s="245" t="s">
        <v>243</v>
      </c>
      <c r="E64" s="218" t="s">
        <v>246</v>
      </c>
      <c r="F64" s="218" t="s">
        <v>255</v>
      </c>
      <c r="G64" s="245" t="s">
        <v>256</v>
      </c>
      <c r="H64" s="218" t="s">
        <v>257</v>
      </c>
    </row>
    <row r="65" spans="1:8" ht="14.25" customHeight="1" x14ac:dyDescent="0.3">
      <c r="A65" s="128" t="s">
        <v>230</v>
      </c>
      <c r="B65" s="323" t="str">
        <f t="shared" ref="B65:D80" si="7">B5</f>
        <v>Indian Meat Alana  - لحم هندى ألانا</v>
      </c>
      <c r="C65" s="323" t="str">
        <f t="shared" si="7"/>
        <v>gm</v>
      </c>
      <c r="D65" s="324">
        <f t="shared" si="7"/>
        <v>6536.0784313725489</v>
      </c>
      <c r="E65" s="126">
        <f>H53</f>
        <v>7.1213960336177875</v>
      </c>
      <c r="F65" s="127">
        <f t="shared" ref="F65:F80" si="8">F5</f>
        <v>1</v>
      </c>
      <c r="G65" s="119">
        <f t="shared" ref="G65:G80" si="9">D65*E65</f>
        <v>46546.003016591239</v>
      </c>
      <c r="H65" s="120">
        <f t="shared" ref="H65:H80" si="10">G65*F65</f>
        <v>46546.003016591239</v>
      </c>
    </row>
    <row r="66" spans="1:8" ht="14.25" customHeight="1" x14ac:dyDescent="0.3">
      <c r="A66" s="128" t="s">
        <v>13</v>
      </c>
      <c r="B66" s="323" t="str">
        <f t="shared" si="7"/>
        <v>Onion - بصل</v>
      </c>
      <c r="C66" s="323" t="str">
        <f t="shared" si="7"/>
        <v>gm</v>
      </c>
      <c r="D66" s="323">
        <f t="shared" si="7"/>
        <v>200</v>
      </c>
      <c r="E66" s="126">
        <f t="shared" ref="E66:E80" si="11">$C$53</f>
        <v>7.1215384615384689</v>
      </c>
      <c r="F66" s="127">
        <f t="shared" si="8"/>
        <v>0.95</v>
      </c>
      <c r="G66" s="119">
        <f t="shared" si="9"/>
        <v>1424.3076923076937</v>
      </c>
      <c r="H66" s="120">
        <f t="shared" si="10"/>
        <v>1353.0923076923091</v>
      </c>
    </row>
    <row r="67" spans="1:8" ht="14.25" customHeight="1" x14ac:dyDescent="0.3">
      <c r="A67" s="128" t="s">
        <v>13</v>
      </c>
      <c r="B67" s="323" t="str">
        <f t="shared" si="7"/>
        <v>Garlic - ثوم مقشر</v>
      </c>
      <c r="C67" s="323" t="str">
        <f t="shared" si="7"/>
        <v>gm</v>
      </c>
      <c r="D67" s="323">
        <f t="shared" si="7"/>
        <v>30</v>
      </c>
      <c r="E67" s="126">
        <f t="shared" si="11"/>
        <v>7.1215384615384689</v>
      </c>
      <c r="F67" s="127">
        <f t="shared" si="8"/>
        <v>0.95</v>
      </c>
      <c r="G67" s="119">
        <f t="shared" si="9"/>
        <v>213.64615384615408</v>
      </c>
      <c r="H67" s="120">
        <f t="shared" si="10"/>
        <v>202.96384615384636</v>
      </c>
    </row>
    <row r="68" spans="1:8" ht="14.25" customHeight="1" x14ac:dyDescent="0.3">
      <c r="A68" s="128" t="s">
        <v>196</v>
      </c>
      <c r="B68" s="323" t="str">
        <f t="shared" si="7"/>
        <v>Mustard - خردل</v>
      </c>
      <c r="C68" s="323" t="str">
        <f t="shared" si="7"/>
        <v>gm</v>
      </c>
      <c r="D68" s="323">
        <f t="shared" si="7"/>
        <v>20</v>
      </c>
      <c r="E68" s="126">
        <f t="shared" si="11"/>
        <v>7.1215384615384689</v>
      </c>
      <c r="F68" s="127">
        <f t="shared" si="8"/>
        <v>1</v>
      </c>
      <c r="G68" s="119">
        <f t="shared" si="9"/>
        <v>142.43076923076939</v>
      </c>
      <c r="H68" s="120">
        <f t="shared" si="10"/>
        <v>142.43076923076939</v>
      </c>
    </row>
    <row r="69" spans="1:8" ht="14.25" customHeight="1" x14ac:dyDescent="0.3">
      <c r="A69" s="128" t="s">
        <v>196</v>
      </c>
      <c r="B69" s="323" t="str">
        <f t="shared" si="7"/>
        <v>Tomato Paste - صلصة طماطم</v>
      </c>
      <c r="C69" s="323" t="str">
        <f t="shared" si="7"/>
        <v>gm</v>
      </c>
      <c r="D69" s="323">
        <f t="shared" si="7"/>
        <v>100</v>
      </c>
      <c r="E69" s="126">
        <f t="shared" si="11"/>
        <v>7.1215384615384689</v>
      </c>
      <c r="F69" s="127">
        <f t="shared" si="8"/>
        <v>1</v>
      </c>
      <c r="G69" s="119">
        <f t="shared" si="9"/>
        <v>712.15384615384687</v>
      </c>
      <c r="H69" s="120">
        <f t="shared" si="10"/>
        <v>712.15384615384687</v>
      </c>
    </row>
    <row r="70" spans="1:8" ht="14.25" customHeight="1" x14ac:dyDescent="0.3">
      <c r="A70" s="128" t="s">
        <v>220</v>
      </c>
      <c r="B70" s="323" t="str">
        <f t="shared" si="7"/>
        <v>لون صفار زعفران بودر - Saffron yellow color powder</v>
      </c>
      <c r="C70" s="323" t="str">
        <f t="shared" si="7"/>
        <v>gm</v>
      </c>
      <c r="D70" s="323">
        <f t="shared" si="7"/>
        <v>3</v>
      </c>
      <c r="E70" s="126">
        <f t="shared" si="11"/>
        <v>7.1215384615384689</v>
      </c>
      <c r="F70" s="127">
        <f t="shared" si="8"/>
        <v>0.75</v>
      </c>
      <c r="G70" s="119">
        <f t="shared" si="9"/>
        <v>21.364615384615405</v>
      </c>
      <c r="H70" s="120">
        <f t="shared" si="10"/>
        <v>16.023461538461554</v>
      </c>
    </row>
    <row r="71" spans="1:8" ht="14.25" customHeight="1" x14ac:dyDescent="0.3">
      <c r="A71" s="128" t="s">
        <v>210</v>
      </c>
      <c r="B71" s="323" t="str">
        <f t="shared" si="7"/>
        <v>Water - ماء</v>
      </c>
      <c r="C71" s="323" t="str">
        <f t="shared" si="7"/>
        <v>ml</v>
      </c>
      <c r="D71" s="323">
        <f t="shared" si="7"/>
        <v>10</v>
      </c>
      <c r="E71" s="126">
        <f t="shared" si="11"/>
        <v>7.1215384615384689</v>
      </c>
      <c r="F71" s="127">
        <f t="shared" si="8"/>
        <v>1</v>
      </c>
      <c r="G71" s="119">
        <f t="shared" si="9"/>
        <v>71.215384615384693</v>
      </c>
      <c r="H71" s="120">
        <f t="shared" si="10"/>
        <v>71.215384615384693</v>
      </c>
    </row>
    <row r="72" spans="1:8" ht="14" customHeight="1" x14ac:dyDescent="0.3">
      <c r="A72" s="128" t="s">
        <v>97</v>
      </c>
      <c r="B72" s="323" t="str">
        <f t="shared" si="7"/>
        <v>Black Pepper Powder - فلفل أسود مطحون</v>
      </c>
      <c r="C72" s="323" t="str">
        <f t="shared" si="7"/>
        <v>gm</v>
      </c>
      <c r="D72" s="323">
        <f t="shared" si="7"/>
        <v>2</v>
      </c>
      <c r="E72" s="126">
        <f t="shared" si="11"/>
        <v>7.1215384615384689</v>
      </c>
      <c r="F72" s="127">
        <f t="shared" si="8"/>
        <v>1</v>
      </c>
      <c r="G72" s="119">
        <f t="shared" si="9"/>
        <v>14.243076923076938</v>
      </c>
      <c r="H72" s="120">
        <f t="shared" si="10"/>
        <v>14.243076923076938</v>
      </c>
    </row>
    <row r="73" spans="1:8" ht="14" customHeight="1" x14ac:dyDescent="0.3">
      <c r="A73" s="128" t="s">
        <v>196</v>
      </c>
      <c r="B73" s="323" t="str">
        <f t="shared" si="7"/>
        <v>Demi Glaze Sauce - صوص ديمي غلاز</v>
      </c>
      <c r="C73" s="323" t="str">
        <f t="shared" si="7"/>
        <v>gm</v>
      </c>
      <c r="D73" s="323">
        <f t="shared" si="7"/>
        <v>25</v>
      </c>
      <c r="E73" s="126">
        <f t="shared" si="11"/>
        <v>7.1215384615384689</v>
      </c>
      <c r="F73" s="127">
        <f t="shared" si="8"/>
        <v>0.75</v>
      </c>
      <c r="G73" s="119">
        <f t="shared" si="9"/>
        <v>178.03846153846172</v>
      </c>
      <c r="H73" s="120">
        <f t="shared" si="10"/>
        <v>133.5288461538463</v>
      </c>
    </row>
    <row r="74" spans="1:8" ht="14.25" customHeight="1" x14ac:dyDescent="0.3">
      <c r="A74" s="128" t="s">
        <v>158</v>
      </c>
      <c r="B74" s="323" t="str">
        <f t="shared" si="7"/>
        <v>Cooking Cream - كريمة طبخ</v>
      </c>
      <c r="C74" s="323" t="str">
        <f t="shared" si="7"/>
        <v>ml</v>
      </c>
      <c r="D74" s="323">
        <f t="shared" si="7"/>
        <v>500</v>
      </c>
      <c r="E74" s="126">
        <f t="shared" si="11"/>
        <v>7.1215384615384689</v>
      </c>
      <c r="F74" s="127">
        <f t="shared" si="8"/>
        <v>1</v>
      </c>
      <c r="G74" s="119">
        <f t="shared" si="9"/>
        <v>3560.7692307692346</v>
      </c>
      <c r="H74" s="120">
        <f t="shared" si="10"/>
        <v>3560.7692307692346</v>
      </c>
    </row>
    <row r="75" spans="1:8" ht="14.25" customHeight="1" x14ac:dyDescent="0.3">
      <c r="A75" s="128" t="s">
        <v>97</v>
      </c>
      <c r="B75" s="323" t="str">
        <f t="shared" si="7"/>
        <v>Maggi Cubes - مكعبات ماجي</v>
      </c>
      <c r="C75" s="323" t="str">
        <f t="shared" si="7"/>
        <v>gm</v>
      </c>
      <c r="D75" s="323">
        <f t="shared" si="7"/>
        <v>8</v>
      </c>
      <c r="E75" s="126">
        <f t="shared" si="11"/>
        <v>7.1215384615384689</v>
      </c>
      <c r="F75" s="127">
        <f t="shared" si="8"/>
        <v>1</v>
      </c>
      <c r="G75" s="119">
        <f t="shared" si="9"/>
        <v>56.972307692307751</v>
      </c>
      <c r="H75" s="120">
        <f t="shared" si="10"/>
        <v>56.972307692307751</v>
      </c>
    </row>
    <row r="76" spans="1:8" ht="14.25" customHeight="1" x14ac:dyDescent="0.3">
      <c r="A76" s="128" t="s">
        <v>97</v>
      </c>
      <c r="B76" s="323" t="str">
        <f t="shared" si="7"/>
        <v>Salt - ملح</v>
      </c>
      <c r="C76" s="323" t="str">
        <f t="shared" si="7"/>
        <v>gm</v>
      </c>
      <c r="D76" s="323">
        <f t="shared" si="7"/>
        <v>5</v>
      </c>
      <c r="E76" s="126">
        <f t="shared" si="11"/>
        <v>7.1215384615384689</v>
      </c>
      <c r="F76" s="127">
        <f t="shared" si="8"/>
        <v>1</v>
      </c>
      <c r="G76" s="119">
        <f t="shared" si="9"/>
        <v>35.607692307692346</v>
      </c>
      <c r="H76" s="120">
        <f t="shared" si="10"/>
        <v>35.607692307692346</v>
      </c>
    </row>
    <row r="77" spans="1:8" ht="14.25" customHeight="1" x14ac:dyDescent="0.3">
      <c r="A77" s="128" t="s">
        <v>192</v>
      </c>
      <c r="B77" s="323" t="str">
        <f t="shared" si="7"/>
        <v>Corn Starch - نشا ذرة</v>
      </c>
      <c r="C77" s="323" t="str">
        <f t="shared" si="7"/>
        <v>gm</v>
      </c>
      <c r="D77" s="323">
        <f t="shared" si="7"/>
        <v>20</v>
      </c>
      <c r="E77" s="126">
        <f t="shared" si="11"/>
        <v>7.1215384615384689</v>
      </c>
      <c r="F77" s="127">
        <f t="shared" si="8"/>
        <v>0.75</v>
      </c>
      <c r="G77" s="119">
        <f t="shared" si="9"/>
        <v>142.43076923076939</v>
      </c>
      <c r="H77" s="120">
        <f t="shared" si="10"/>
        <v>106.82307692307704</v>
      </c>
    </row>
    <row r="78" spans="1:8" ht="14.25" customHeight="1" x14ac:dyDescent="0.3">
      <c r="A78" s="128" t="s">
        <v>13</v>
      </c>
      <c r="B78" s="323" t="str">
        <f t="shared" si="7"/>
        <v>Mushroom - مشروم ابيض</v>
      </c>
      <c r="C78" s="323" t="str">
        <f t="shared" si="7"/>
        <v>gm</v>
      </c>
      <c r="D78" s="323">
        <f t="shared" si="7"/>
        <v>100</v>
      </c>
      <c r="E78" s="126">
        <f t="shared" si="11"/>
        <v>7.1215384615384689</v>
      </c>
      <c r="F78" s="127">
        <f t="shared" si="8"/>
        <v>1</v>
      </c>
      <c r="G78" s="119">
        <f t="shared" si="9"/>
        <v>712.15384615384687</v>
      </c>
      <c r="H78" s="120">
        <f t="shared" si="10"/>
        <v>712.15384615384687</v>
      </c>
    </row>
    <row r="79" spans="1:8" ht="14.25" customHeight="1" x14ac:dyDescent="0.3">
      <c r="A79" s="128" t="s">
        <v>158</v>
      </c>
      <c r="B79" s="323" t="str">
        <f t="shared" si="7"/>
        <v>Butter - زبدة</v>
      </c>
      <c r="C79" s="323" t="str">
        <f t="shared" si="7"/>
        <v>gm</v>
      </c>
      <c r="D79" s="323">
        <f t="shared" si="7"/>
        <v>20</v>
      </c>
      <c r="E79" s="126">
        <f t="shared" si="11"/>
        <v>7.1215384615384689</v>
      </c>
      <c r="F79" s="127">
        <f t="shared" si="8"/>
        <v>1</v>
      </c>
      <c r="G79" s="119">
        <f t="shared" si="9"/>
        <v>142.43076923076939</v>
      </c>
      <c r="H79" s="120">
        <f t="shared" si="10"/>
        <v>142.43076923076939</v>
      </c>
    </row>
    <row r="80" spans="1:8" ht="14.25" customHeight="1" x14ac:dyDescent="0.3">
      <c r="A80" s="128" t="s">
        <v>196</v>
      </c>
      <c r="B80" s="323" t="str">
        <f t="shared" si="7"/>
        <v>Sriracha Sauce - صوص سريراتشا</v>
      </c>
      <c r="C80" s="323" t="str">
        <f t="shared" si="7"/>
        <v>ml</v>
      </c>
      <c r="D80" s="323">
        <f t="shared" si="7"/>
        <v>15</v>
      </c>
      <c r="E80" s="126">
        <f t="shared" si="11"/>
        <v>7.1215384615384689</v>
      </c>
      <c r="F80" s="127">
        <f t="shared" si="8"/>
        <v>0.9</v>
      </c>
      <c r="G80" s="119">
        <f t="shared" si="9"/>
        <v>106.82307692307704</v>
      </c>
      <c r="H80" s="120">
        <f t="shared" si="10"/>
        <v>96.140769230769337</v>
      </c>
    </row>
    <row r="81" spans="1:8" ht="20.25" customHeight="1" x14ac:dyDescent="0.3">
      <c r="A81" s="211"/>
      <c r="B81" s="198" t="s">
        <v>299</v>
      </c>
      <c r="C81" s="200" t="s">
        <v>285</v>
      </c>
      <c r="E81" s="200" t="s">
        <v>300</v>
      </c>
      <c r="G81" s="890" t="s">
        <v>276</v>
      </c>
      <c r="H81" s="890" t="s">
        <v>733</v>
      </c>
    </row>
    <row r="82" spans="1:8" ht="26.75" customHeight="1" x14ac:dyDescent="0.4">
      <c r="A82" s="211"/>
      <c r="B82" s="199">
        <f>$J$53</f>
        <v>23738.461538461532</v>
      </c>
      <c r="C82" s="199">
        <f>E82+G82</f>
        <v>7121.5384615384692</v>
      </c>
      <c r="D82" s="930"/>
      <c r="E82" s="199">
        <f>$D$53*$S$44</f>
        <v>7121.5384615384692</v>
      </c>
      <c r="F82" s="934"/>
      <c r="G82" s="199">
        <f>$D$53*$T$44</f>
        <v>0</v>
      </c>
      <c r="H82" s="199">
        <f>B82+E82</f>
        <v>30860</v>
      </c>
    </row>
    <row r="83" spans="1:8" ht="14.25" customHeight="1" x14ac:dyDescent="0.3">
      <c r="B83" s="100"/>
      <c r="E83" s="100"/>
      <c r="F83" s="100"/>
    </row>
    <row r="84" spans="1:8" ht="14.25" customHeight="1" x14ac:dyDescent="0.3">
      <c r="B84" s="100"/>
      <c r="C84" s="100"/>
      <c r="D84" s="100"/>
      <c r="E84" s="100"/>
      <c r="F84" s="100"/>
      <c r="G84" s="100"/>
      <c r="H84" s="100"/>
    </row>
    <row r="85" spans="1:8" ht="14.25" customHeight="1" x14ac:dyDescent="0.3">
      <c r="B85" s="100"/>
      <c r="C85" s="100"/>
      <c r="D85" s="100"/>
      <c r="E85" s="100"/>
      <c r="F85" s="100"/>
      <c r="G85" s="100"/>
      <c r="H85" s="100"/>
    </row>
    <row r="86" spans="1:8" ht="14.25" customHeight="1" x14ac:dyDescent="0.3">
      <c r="B86" s="100"/>
      <c r="C86" s="100"/>
      <c r="D86" s="100"/>
      <c r="E86" s="100"/>
      <c r="F86" s="100"/>
      <c r="G86" s="100"/>
      <c r="H86" s="100"/>
    </row>
    <row r="87" spans="1:8" ht="17.75" customHeight="1" x14ac:dyDescent="0.3">
      <c r="A87" s="97"/>
      <c r="B87" s="1382" t="str">
        <f>"ستروغانوف لحم  2 / " &amp; COUNTIF($C$53:$C$55, "&gt;0")</f>
        <v>ستروغانوف لحم  2 / 1</v>
      </c>
      <c r="C87" s="1388"/>
      <c r="D87" s="1388"/>
      <c r="E87" s="1388"/>
      <c r="F87" s="1388"/>
      <c r="G87" s="1388"/>
      <c r="H87" s="1388"/>
    </row>
    <row r="88" spans="1:8" ht="17.75" customHeight="1" x14ac:dyDescent="0.3">
      <c r="A88" s="97"/>
      <c r="B88" s="1384" t="str">
        <f>"Stroganoff sauce for Beef  2 / " &amp; COUNTIF($C$53:$C$55, "&gt;0")</f>
        <v>Stroganoff sauce for Beef  2 / 1</v>
      </c>
      <c r="C88" s="1410"/>
      <c r="D88" s="1410"/>
      <c r="E88" s="1410"/>
      <c r="F88" s="1410"/>
      <c r="G88" s="1410"/>
      <c r="H88" s="1410"/>
    </row>
    <row r="89" spans="1:8" ht="25.5" customHeight="1" x14ac:dyDescent="0.25">
      <c r="A89" s="91"/>
      <c r="B89" s="243" t="s">
        <v>253</v>
      </c>
      <c r="C89" s="244" t="s">
        <v>254</v>
      </c>
      <c r="D89" s="245" t="s">
        <v>243</v>
      </c>
      <c r="E89" s="218" t="s">
        <v>246</v>
      </c>
      <c r="F89" s="218" t="s">
        <v>255</v>
      </c>
      <c r="G89" s="245" t="s">
        <v>256</v>
      </c>
      <c r="H89" s="218" t="s">
        <v>257</v>
      </c>
    </row>
    <row r="90" spans="1:8" ht="14.25" customHeight="1" x14ac:dyDescent="0.3">
      <c r="A90" s="128" t="s">
        <v>230</v>
      </c>
      <c r="B90" s="323" t="str">
        <f t="shared" ref="B90:D105" si="12">B5</f>
        <v>Indian Meat Alana  - لحم هندى ألانا</v>
      </c>
      <c r="C90" s="323" t="str">
        <f t="shared" si="12"/>
        <v>gm</v>
      </c>
      <c r="D90" s="324">
        <f t="shared" si="12"/>
        <v>6536.0784313725489</v>
      </c>
      <c r="E90" s="126">
        <f>H54</f>
        <v>0</v>
      </c>
      <c r="F90" s="127">
        <f t="shared" ref="F90:F105" si="13">F5</f>
        <v>1</v>
      </c>
      <c r="G90" s="119">
        <f t="shared" ref="G90:G105" si="14">D90*E90</f>
        <v>0</v>
      </c>
      <c r="H90" s="120">
        <f t="shared" ref="H90:H105" si="15">G90*F90</f>
        <v>0</v>
      </c>
    </row>
    <row r="91" spans="1:8" ht="14.25" customHeight="1" x14ac:dyDescent="0.3">
      <c r="A91" s="128" t="s">
        <v>13</v>
      </c>
      <c r="B91" s="323" t="str">
        <f t="shared" si="12"/>
        <v>Onion - بصل</v>
      </c>
      <c r="C91" s="323" t="str">
        <f t="shared" si="12"/>
        <v>gm</v>
      </c>
      <c r="D91" s="323">
        <f t="shared" si="12"/>
        <v>200</v>
      </c>
      <c r="E91" s="126">
        <f t="shared" ref="E91:E105" si="16">$C$54</f>
        <v>0</v>
      </c>
      <c r="F91" s="127">
        <f t="shared" si="13"/>
        <v>0.95</v>
      </c>
      <c r="G91" s="119">
        <f t="shared" si="14"/>
        <v>0</v>
      </c>
      <c r="H91" s="120">
        <f t="shared" si="15"/>
        <v>0</v>
      </c>
    </row>
    <row r="92" spans="1:8" ht="14.25" customHeight="1" x14ac:dyDescent="0.3">
      <c r="A92" s="128" t="s">
        <v>13</v>
      </c>
      <c r="B92" s="323" t="str">
        <f t="shared" si="12"/>
        <v>Garlic - ثوم مقشر</v>
      </c>
      <c r="C92" s="323" t="str">
        <f t="shared" si="12"/>
        <v>gm</v>
      </c>
      <c r="D92" s="323">
        <f t="shared" si="12"/>
        <v>30</v>
      </c>
      <c r="E92" s="126">
        <f t="shared" si="16"/>
        <v>0</v>
      </c>
      <c r="F92" s="127">
        <f t="shared" si="13"/>
        <v>0.95</v>
      </c>
      <c r="G92" s="119">
        <f t="shared" si="14"/>
        <v>0</v>
      </c>
      <c r="H92" s="120">
        <f t="shared" si="15"/>
        <v>0</v>
      </c>
    </row>
    <row r="93" spans="1:8" ht="14.25" customHeight="1" x14ac:dyDescent="0.3">
      <c r="A93" s="128" t="s">
        <v>196</v>
      </c>
      <c r="B93" s="323" t="str">
        <f t="shared" si="12"/>
        <v>Mustard - خردل</v>
      </c>
      <c r="C93" s="323" t="str">
        <f t="shared" si="12"/>
        <v>gm</v>
      </c>
      <c r="D93" s="323">
        <f t="shared" si="12"/>
        <v>20</v>
      </c>
      <c r="E93" s="126">
        <f t="shared" si="16"/>
        <v>0</v>
      </c>
      <c r="F93" s="127">
        <f t="shared" si="13"/>
        <v>1</v>
      </c>
      <c r="G93" s="119">
        <f t="shared" si="14"/>
        <v>0</v>
      </c>
      <c r="H93" s="120">
        <f t="shared" si="15"/>
        <v>0</v>
      </c>
    </row>
    <row r="94" spans="1:8" ht="14.25" customHeight="1" x14ac:dyDescent="0.3">
      <c r="A94" s="128" t="s">
        <v>196</v>
      </c>
      <c r="B94" s="323" t="str">
        <f t="shared" si="12"/>
        <v>Tomato Paste - صلصة طماطم</v>
      </c>
      <c r="C94" s="323" t="str">
        <f t="shared" si="12"/>
        <v>gm</v>
      </c>
      <c r="D94" s="323">
        <f t="shared" si="12"/>
        <v>100</v>
      </c>
      <c r="E94" s="126">
        <f t="shared" si="16"/>
        <v>0</v>
      </c>
      <c r="F94" s="127">
        <f t="shared" si="13"/>
        <v>1</v>
      </c>
      <c r="G94" s="119">
        <f t="shared" si="14"/>
        <v>0</v>
      </c>
      <c r="H94" s="120">
        <f t="shared" si="15"/>
        <v>0</v>
      </c>
    </row>
    <row r="95" spans="1:8" ht="14.25" customHeight="1" x14ac:dyDescent="0.3">
      <c r="A95" s="128" t="s">
        <v>220</v>
      </c>
      <c r="B95" s="323" t="str">
        <f t="shared" si="12"/>
        <v>لون صفار زعفران بودر - Saffron yellow color powder</v>
      </c>
      <c r="C95" s="323" t="str">
        <f t="shared" si="12"/>
        <v>gm</v>
      </c>
      <c r="D95" s="323">
        <f t="shared" si="12"/>
        <v>3</v>
      </c>
      <c r="E95" s="126">
        <f t="shared" si="16"/>
        <v>0</v>
      </c>
      <c r="F95" s="127">
        <f t="shared" si="13"/>
        <v>0.75</v>
      </c>
      <c r="G95" s="119">
        <f t="shared" si="14"/>
        <v>0</v>
      </c>
      <c r="H95" s="120">
        <f t="shared" si="15"/>
        <v>0</v>
      </c>
    </row>
    <row r="96" spans="1:8" ht="14.25" customHeight="1" x14ac:dyDescent="0.3">
      <c r="A96" s="128" t="s">
        <v>210</v>
      </c>
      <c r="B96" s="323" t="str">
        <f t="shared" si="12"/>
        <v>Water - ماء</v>
      </c>
      <c r="C96" s="323" t="str">
        <f t="shared" si="12"/>
        <v>ml</v>
      </c>
      <c r="D96" s="323">
        <f t="shared" si="12"/>
        <v>10</v>
      </c>
      <c r="E96" s="126">
        <f t="shared" si="16"/>
        <v>0</v>
      </c>
      <c r="F96" s="127">
        <f t="shared" si="13"/>
        <v>1</v>
      </c>
      <c r="G96" s="119">
        <f t="shared" si="14"/>
        <v>0</v>
      </c>
      <c r="H96" s="120">
        <f t="shared" si="15"/>
        <v>0</v>
      </c>
    </row>
    <row r="97" spans="1:8" ht="14.25" customHeight="1" x14ac:dyDescent="0.3">
      <c r="A97" s="128" t="s">
        <v>97</v>
      </c>
      <c r="B97" s="323" t="str">
        <f t="shared" si="12"/>
        <v>Black Pepper Powder - فلفل أسود مطحون</v>
      </c>
      <c r="C97" s="323" t="str">
        <f t="shared" si="12"/>
        <v>gm</v>
      </c>
      <c r="D97" s="323">
        <f t="shared" si="12"/>
        <v>2</v>
      </c>
      <c r="E97" s="126">
        <f t="shared" si="16"/>
        <v>0</v>
      </c>
      <c r="F97" s="127">
        <f t="shared" si="13"/>
        <v>1</v>
      </c>
      <c r="G97" s="119">
        <f t="shared" si="14"/>
        <v>0</v>
      </c>
      <c r="H97" s="120">
        <f t="shared" si="15"/>
        <v>0</v>
      </c>
    </row>
    <row r="98" spans="1:8" ht="14.25" customHeight="1" x14ac:dyDescent="0.3">
      <c r="A98" s="128" t="s">
        <v>196</v>
      </c>
      <c r="B98" s="323" t="str">
        <f t="shared" si="12"/>
        <v>Demi Glaze Sauce - صوص ديمي غلاز</v>
      </c>
      <c r="C98" s="323" t="str">
        <f t="shared" si="12"/>
        <v>gm</v>
      </c>
      <c r="D98" s="323">
        <f t="shared" si="12"/>
        <v>25</v>
      </c>
      <c r="E98" s="126">
        <f t="shared" si="16"/>
        <v>0</v>
      </c>
      <c r="F98" s="127">
        <f t="shared" si="13"/>
        <v>0.75</v>
      </c>
      <c r="G98" s="119">
        <f t="shared" si="14"/>
        <v>0</v>
      </c>
      <c r="H98" s="120">
        <f t="shared" si="15"/>
        <v>0</v>
      </c>
    </row>
    <row r="99" spans="1:8" ht="14.25" customHeight="1" x14ac:dyDescent="0.3">
      <c r="A99" s="128" t="s">
        <v>158</v>
      </c>
      <c r="B99" s="323" t="str">
        <f t="shared" si="12"/>
        <v>Cooking Cream - كريمة طبخ</v>
      </c>
      <c r="C99" s="323" t="str">
        <f t="shared" si="12"/>
        <v>ml</v>
      </c>
      <c r="D99" s="323">
        <f t="shared" si="12"/>
        <v>500</v>
      </c>
      <c r="E99" s="126">
        <f t="shared" si="16"/>
        <v>0</v>
      </c>
      <c r="F99" s="127">
        <f t="shared" si="13"/>
        <v>1</v>
      </c>
      <c r="G99" s="119">
        <f t="shared" si="14"/>
        <v>0</v>
      </c>
      <c r="H99" s="120">
        <f t="shared" si="15"/>
        <v>0</v>
      </c>
    </row>
    <row r="100" spans="1:8" ht="14.25" customHeight="1" x14ac:dyDescent="0.3">
      <c r="A100" s="128" t="s">
        <v>97</v>
      </c>
      <c r="B100" s="323" t="str">
        <f t="shared" si="12"/>
        <v>Maggi Cubes - مكعبات ماجي</v>
      </c>
      <c r="C100" s="323" t="str">
        <f t="shared" si="12"/>
        <v>gm</v>
      </c>
      <c r="D100" s="323">
        <f t="shared" si="12"/>
        <v>8</v>
      </c>
      <c r="E100" s="126">
        <f t="shared" si="16"/>
        <v>0</v>
      </c>
      <c r="F100" s="127">
        <f t="shared" si="13"/>
        <v>1</v>
      </c>
      <c r="G100" s="119">
        <f t="shared" si="14"/>
        <v>0</v>
      </c>
      <c r="H100" s="120">
        <f t="shared" si="15"/>
        <v>0</v>
      </c>
    </row>
    <row r="101" spans="1:8" ht="14.25" customHeight="1" x14ac:dyDescent="0.3">
      <c r="A101" s="128" t="s">
        <v>97</v>
      </c>
      <c r="B101" s="323" t="str">
        <f t="shared" si="12"/>
        <v>Salt - ملح</v>
      </c>
      <c r="C101" s="323" t="str">
        <f t="shared" si="12"/>
        <v>gm</v>
      </c>
      <c r="D101" s="323">
        <f t="shared" si="12"/>
        <v>5</v>
      </c>
      <c r="E101" s="126">
        <f t="shared" si="16"/>
        <v>0</v>
      </c>
      <c r="F101" s="127">
        <f t="shared" si="13"/>
        <v>1</v>
      </c>
      <c r="G101" s="119">
        <f t="shared" si="14"/>
        <v>0</v>
      </c>
      <c r="H101" s="120">
        <f t="shared" si="15"/>
        <v>0</v>
      </c>
    </row>
    <row r="102" spans="1:8" ht="14.25" customHeight="1" x14ac:dyDescent="0.3">
      <c r="A102" s="128" t="s">
        <v>192</v>
      </c>
      <c r="B102" s="323" t="str">
        <f t="shared" si="12"/>
        <v>Corn Starch - نشا ذرة</v>
      </c>
      <c r="C102" s="323" t="str">
        <f t="shared" si="12"/>
        <v>gm</v>
      </c>
      <c r="D102" s="323">
        <f t="shared" si="12"/>
        <v>20</v>
      </c>
      <c r="E102" s="126">
        <f t="shared" si="16"/>
        <v>0</v>
      </c>
      <c r="F102" s="127">
        <f t="shared" si="13"/>
        <v>0.75</v>
      </c>
      <c r="G102" s="119">
        <f t="shared" si="14"/>
        <v>0</v>
      </c>
      <c r="H102" s="120">
        <f t="shared" si="15"/>
        <v>0</v>
      </c>
    </row>
    <row r="103" spans="1:8" ht="14.25" customHeight="1" x14ac:dyDescent="0.3">
      <c r="A103" s="128" t="s">
        <v>13</v>
      </c>
      <c r="B103" s="323" t="str">
        <f t="shared" si="12"/>
        <v>Mushroom - مشروم ابيض</v>
      </c>
      <c r="C103" s="323" t="str">
        <f t="shared" si="12"/>
        <v>gm</v>
      </c>
      <c r="D103" s="323">
        <f t="shared" si="12"/>
        <v>100</v>
      </c>
      <c r="E103" s="126">
        <f t="shared" si="16"/>
        <v>0</v>
      </c>
      <c r="F103" s="127">
        <f t="shared" si="13"/>
        <v>1</v>
      </c>
      <c r="G103" s="119">
        <f t="shared" si="14"/>
        <v>0</v>
      </c>
      <c r="H103" s="120">
        <f t="shared" si="15"/>
        <v>0</v>
      </c>
    </row>
    <row r="104" spans="1:8" ht="14.25" customHeight="1" x14ac:dyDescent="0.3">
      <c r="A104" s="128" t="s">
        <v>158</v>
      </c>
      <c r="B104" s="323" t="str">
        <f t="shared" si="12"/>
        <v>Butter - زبدة</v>
      </c>
      <c r="C104" s="323" t="str">
        <f t="shared" si="12"/>
        <v>gm</v>
      </c>
      <c r="D104" s="323">
        <f t="shared" si="12"/>
        <v>20</v>
      </c>
      <c r="E104" s="126">
        <f t="shared" si="16"/>
        <v>0</v>
      </c>
      <c r="F104" s="127">
        <f t="shared" si="13"/>
        <v>1</v>
      </c>
      <c r="G104" s="119">
        <f t="shared" si="14"/>
        <v>0</v>
      </c>
      <c r="H104" s="120">
        <f t="shared" si="15"/>
        <v>0</v>
      </c>
    </row>
    <row r="105" spans="1:8" ht="14.25" customHeight="1" x14ac:dyDescent="0.3">
      <c r="A105" s="128" t="s">
        <v>196</v>
      </c>
      <c r="B105" s="323" t="str">
        <f t="shared" si="12"/>
        <v>Sriracha Sauce - صوص سريراتشا</v>
      </c>
      <c r="C105" s="323" t="str">
        <f t="shared" si="12"/>
        <v>ml</v>
      </c>
      <c r="D105" s="323">
        <f t="shared" si="12"/>
        <v>15</v>
      </c>
      <c r="E105" s="126">
        <f t="shared" si="16"/>
        <v>0</v>
      </c>
      <c r="F105" s="127">
        <f t="shared" si="13"/>
        <v>0.9</v>
      </c>
      <c r="G105" s="119">
        <f t="shared" si="14"/>
        <v>0</v>
      </c>
      <c r="H105" s="120">
        <f t="shared" si="15"/>
        <v>0</v>
      </c>
    </row>
    <row r="106" spans="1:8" ht="20.25" customHeight="1" x14ac:dyDescent="0.3">
      <c r="A106" s="211"/>
      <c r="B106" s="198" t="s">
        <v>299</v>
      </c>
      <c r="C106" s="200" t="s">
        <v>285</v>
      </c>
      <c r="E106" s="200" t="s">
        <v>300</v>
      </c>
      <c r="G106" s="890" t="s">
        <v>276</v>
      </c>
      <c r="H106" s="890" t="s">
        <v>733</v>
      </c>
    </row>
    <row r="107" spans="1:8" ht="20" x14ac:dyDescent="0.4">
      <c r="A107" s="211"/>
      <c r="B107" s="199">
        <f>$J$54</f>
        <v>0</v>
      </c>
      <c r="C107" s="199">
        <f>E107+G107</f>
        <v>0</v>
      </c>
      <c r="D107" s="930"/>
      <c r="E107" s="199">
        <f>$D$54*$S$44</f>
        <v>0</v>
      </c>
      <c r="F107" s="934"/>
      <c r="G107" s="199">
        <f>$D$54*$T$44</f>
        <v>0</v>
      </c>
      <c r="H107" s="199">
        <f>B107+E107</f>
        <v>0</v>
      </c>
    </row>
  </sheetData>
  <mergeCells count="10">
    <mergeCell ref="AE2:AG3"/>
    <mergeCell ref="B88:H88"/>
    <mergeCell ref="R26:U26"/>
    <mergeCell ref="B87:H87"/>
    <mergeCell ref="R25:U25"/>
    <mergeCell ref="B62:H62"/>
    <mergeCell ref="B2:K3"/>
    <mergeCell ref="B63:H63"/>
    <mergeCell ref="C29:G29"/>
    <mergeCell ref="B35:F35"/>
  </mergeCells>
  <printOptions horizontalCentered="1"/>
  <pageMargins left="0.5" right="0.5" top="1" bottom="0.5" header="0.3" footer="0.511811023622047"/>
  <pageSetup paperSize="9" scale="29" orientation="portrait"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rgb="FFFF0000"/>
    <pageSetUpPr fitToPage="1"/>
  </sheetPr>
  <dimension ref="A1:AD129"/>
  <sheetViews>
    <sheetView topLeftCell="R18" zoomScale="85" zoomScaleNormal="85" workbookViewId="0">
      <selection activeCell="Z24" sqref="Z24"/>
    </sheetView>
  </sheetViews>
  <sheetFormatPr defaultColWidth="12.5" defaultRowHeight="14" x14ac:dyDescent="0.3"/>
  <cols>
    <col min="1" max="1" width="12.5" style="79" customWidth="1"/>
    <col min="2" max="2" width="32.58203125" style="14" customWidth="1"/>
    <col min="3" max="3" width="12.16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9" width="18.58203125" style="14" customWidth="1"/>
    <col min="10" max="10" width="16.25" style="14" customWidth="1"/>
    <col min="11" max="11" width="12.5" style="14" customWidth="1"/>
    <col min="12" max="12" width="8.33203125" style="14" customWidth="1"/>
    <col min="13" max="14" width="6.75" style="14" customWidth="1"/>
    <col min="15" max="17" width="12.5" style="14" customWidth="1"/>
    <col min="18" max="18" width="32.83203125" style="14" customWidth="1"/>
    <col min="19" max="19" width="12.5" style="14" customWidth="1"/>
    <col min="20" max="26" width="12.5" style="14"/>
    <col min="27" max="27" width="10.75" style="14" customWidth="1"/>
    <col min="28" max="28" width="13.75" style="14" customWidth="1"/>
    <col min="29" max="29" width="13.25" style="14" bestFit="1" customWidth="1"/>
    <col min="30" max="16384" width="12.5" style="14"/>
  </cols>
  <sheetData>
    <row r="1" spans="1:30" ht="23.75" customHeight="1" x14ac:dyDescent="0.3">
      <c r="B1" s="80" t="s">
        <v>243</v>
      </c>
      <c r="C1" s="81">
        <v>1000</v>
      </c>
      <c r="D1" s="82" t="s">
        <v>244</v>
      </c>
      <c r="E1" s="117">
        <f>T32</f>
        <v>12344</v>
      </c>
      <c r="F1" s="80" t="s">
        <v>245</v>
      </c>
      <c r="G1" s="81">
        <f>E1/C1</f>
        <v>12.343999999999999</v>
      </c>
      <c r="H1" s="80" t="s">
        <v>246</v>
      </c>
      <c r="I1" s="283">
        <f>G1/K1</f>
        <v>12.343999999999999</v>
      </c>
      <c r="J1" s="86" t="s">
        <v>247</v>
      </c>
      <c r="K1" s="327">
        <v>1</v>
      </c>
      <c r="L1" s="100"/>
      <c r="M1" s="89"/>
      <c r="N1" s="90"/>
      <c r="O1" s="91" t="s">
        <v>248</v>
      </c>
      <c r="P1" s="100"/>
      <c r="Q1" s="93" t="s">
        <v>551</v>
      </c>
      <c r="R1" s="14">
        <v>2.5</v>
      </c>
      <c r="Y1" s="91" t="s">
        <v>479</v>
      </c>
      <c r="Z1" s="847">
        <v>30860</v>
      </c>
      <c r="AA1" s="91" t="s">
        <v>600</v>
      </c>
      <c r="AB1" s="847">
        <v>0</v>
      </c>
      <c r="AC1" s="91" t="s">
        <v>587</v>
      </c>
      <c r="AD1" s="847">
        <v>210</v>
      </c>
    </row>
    <row r="2" spans="1:30" ht="12.75" customHeight="1" x14ac:dyDescent="0.3">
      <c r="A2" s="97"/>
      <c r="B2" s="1408" t="s">
        <v>429</v>
      </c>
      <c r="C2" s="1429"/>
      <c r="D2" s="1429"/>
      <c r="E2" s="1429"/>
      <c r="F2" s="1429"/>
      <c r="G2" s="1429"/>
      <c r="H2" s="1429"/>
      <c r="I2" s="491"/>
      <c r="J2" s="491"/>
      <c r="K2" s="503"/>
      <c r="L2" s="293"/>
      <c r="M2" s="100"/>
      <c r="N2" s="100"/>
      <c r="O2" s="100"/>
      <c r="P2" s="100"/>
      <c r="Q2" s="100"/>
    </row>
    <row r="3" spans="1:30" ht="12.75" customHeight="1" x14ac:dyDescent="0.3">
      <c r="A3" s="97"/>
      <c r="B3" s="1388"/>
      <c r="C3" s="1388"/>
      <c r="D3" s="1388"/>
      <c r="E3" s="1388"/>
      <c r="F3" s="1388"/>
      <c r="G3" s="1388"/>
      <c r="H3" s="1388"/>
      <c r="I3" s="370"/>
      <c r="J3" s="370"/>
      <c r="K3" s="504"/>
      <c r="L3" s="293"/>
      <c r="M3" s="100"/>
      <c r="N3" s="100"/>
      <c r="O3" s="100"/>
      <c r="P3" s="100"/>
      <c r="Q3" s="100"/>
    </row>
    <row r="4" spans="1:30" ht="35.25" customHeight="1" x14ac:dyDescent="0.25">
      <c r="A4" s="91" t="s">
        <v>1</v>
      </c>
      <c r="B4" s="91" t="s">
        <v>253</v>
      </c>
      <c r="C4" s="107" t="s">
        <v>254</v>
      </c>
      <c r="D4" s="91" t="s">
        <v>243</v>
      </c>
      <c r="E4" s="218" t="s">
        <v>246</v>
      </c>
      <c r="F4" s="108" t="s">
        <v>255</v>
      </c>
      <c r="G4" s="91" t="s">
        <v>256</v>
      </c>
      <c r="H4" s="107" t="s">
        <v>347</v>
      </c>
      <c r="I4" s="91" t="s">
        <v>258</v>
      </c>
      <c r="J4" s="91" t="s">
        <v>259</v>
      </c>
      <c r="K4" s="91" t="s">
        <v>260</v>
      </c>
      <c r="L4" s="91" t="s">
        <v>261</v>
      </c>
      <c r="M4" s="100"/>
      <c r="N4" s="100"/>
      <c r="O4" s="100"/>
    </row>
    <row r="5" spans="1:30" ht="14.25" customHeight="1" x14ac:dyDescent="0.25">
      <c r="A5" s="266"/>
      <c r="B5" s="401" t="s">
        <v>430</v>
      </c>
      <c r="C5" s="124" t="s">
        <v>14</v>
      </c>
      <c r="D5" s="1023">
        <f>I51/H51</f>
        <v>600</v>
      </c>
      <c r="E5" s="197">
        <f t="shared" ref="E5:E20" si="0">$I$1</f>
        <v>12.343999999999999</v>
      </c>
      <c r="F5" s="127">
        <v>1</v>
      </c>
      <c r="G5" s="121">
        <f>D5*E5</f>
        <v>7406.4</v>
      </c>
      <c r="H5" s="120">
        <f>G5*F5</f>
        <v>7406.4</v>
      </c>
      <c r="I5" s="81">
        <f>VLOOKUP(B5,All_Ingredients!$A$1:$F$151,6,FALSE())</f>
        <v>1</v>
      </c>
      <c r="J5" s="119">
        <f>VLOOKUP(B5,All_Ingredients!$A$1:$J$151,10,FALSE())</f>
        <v>8.3333333333333321</v>
      </c>
      <c r="K5" s="122">
        <f>(H5/I5)/1000</f>
        <v>7.4063999999999997</v>
      </c>
      <c r="L5" s="122">
        <f>K5*J5</f>
        <v>61.719999999999992</v>
      </c>
      <c r="M5" s="100"/>
      <c r="N5" s="100"/>
      <c r="O5" s="100"/>
    </row>
    <row r="6" spans="1:30" ht="14.25" customHeight="1" x14ac:dyDescent="0.3">
      <c r="A6" s="128" t="s">
        <v>13</v>
      </c>
      <c r="B6" s="22" t="s">
        <v>12</v>
      </c>
      <c r="C6" s="124" t="s">
        <v>14</v>
      </c>
      <c r="D6" s="207">
        <v>202.12765957446808</v>
      </c>
      <c r="E6" s="197">
        <f t="shared" si="0"/>
        <v>12.343999999999999</v>
      </c>
      <c r="F6" s="127">
        <v>0.95</v>
      </c>
      <c r="G6" s="121">
        <f t="shared" ref="G6:G20" si="1">D6*E6</f>
        <v>2495.0638297872338</v>
      </c>
      <c r="H6" s="120">
        <f t="shared" ref="H6:H20" si="2">G6*F6</f>
        <v>2370.3106382978722</v>
      </c>
      <c r="I6" s="81">
        <f>VLOOKUP(B6,All_Ingredients!$A$1:$F$151,6,FALSE())</f>
        <v>0.9</v>
      </c>
      <c r="J6" s="119">
        <f>VLOOKUP(B6,All_Ingredients!$A$1:$J$151,10,FALSE())</f>
        <v>3</v>
      </c>
      <c r="K6" s="122">
        <f t="shared" ref="K6:K20" si="3">(H6/I6)/1000</f>
        <v>2.6336784869976357</v>
      </c>
      <c r="L6" s="122">
        <f t="shared" ref="L6:L20" si="4">K6*J6</f>
        <v>7.9010354609929072</v>
      </c>
    </row>
    <row r="7" spans="1:30" ht="14.25" customHeight="1" x14ac:dyDescent="0.3">
      <c r="A7" s="128" t="s">
        <v>13</v>
      </c>
      <c r="B7" s="22" t="s">
        <v>792</v>
      </c>
      <c r="C7" s="124" t="s">
        <v>14</v>
      </c>
      <c r="D7" s="207">
        <v>30.319148936170212</v>
      </c>
      <c r="E7" s="197">
        <f t="shared" si="0"/>
        <v>12.343999999999999</v>
      </c>
      <c r="F7" s="127">
        <v>0.95</v>
      </c>
      <c r="G7" s="121">
        <f t="shared" si="1"/>
        <v>374.25957446808508</v>
      </c>
      <c r="H7" s="120">
        <f t="shared" si="2"/>
        <v>355.54659574468081</v>
      </c>
      <c r="I7" s="81">
        <f>VLOOKUP(B7,All_Ingredients!$A$1:$F$151,6,FALSE())</f>
        <v>1</v>
      </c>
      <c r="J7" s="119">
        <f>VLOOKUP(B7,All_Ingredients!$A$1:$J$151,10,FALSE())</f>
        <v>10.5</v>
      </c>
      <c r="K7" s="122">
        <f t="shared" si="3"/>
        <v>0.35554659574468084</v>
      </c>
      <c r="L7" s="122">
        <f t="shared" si="4"/>
        <v>3.7332392553191487</v>
      </c>
    </row>
    <row r="8" spans="1:30" ht="14.25" customHeight="1" x14ac:dyDescent="0.3">
      <c r="A8" s="128" t="s">
        <v>196</v>
      </c>
      <c r="B8" s="22" t="s">
        <v>208</v>
      </c>
      <c r="C8" s="124" t="s">
        <v>14</v>
      </c>
      <c r="D8" s="207">
        <v>20.212765957446805</v>
      </c>
      <c r="E8" s="197">
        <f t="shared" si="0"/>
        <v>12.343999999999999</v>
      </c>
      <c r="F8" s="127">
        <v>1</v>
      </c>
      <c r="G8" s="121">
        <f t="shared" si="1"/>
        <v>249.50638297872337</v>
      </c>
      <c r="H8" s="120">
        <f t="shared" si="2"/>
        <v>249.50638297872337</v>
      </c>
      <c r="I8" s="81">
        <f>VLOOKUP(B8,All_Ingredients!$A$1:$F$151,6,FALSE())</f>
        <v>1</v>
      </c>
      <c r="J8" s="119">
        <f>VLOOKUP(B8,All_Ingredients!$A$1:$J$151,10,FALSE())</f>
        <v>11.243386243386244</v>
      </c>
      <c r="K8" s="122">
        <f t="shared" si="3"/>
        <v>0.24950638297872338</v>
      </c>
      <c r="L8" s="122">
        <f t="shared" si="4"/>
        <v>2.805296634020038</v>
      </c>
    </row>
    <row r="9" spans="1:30" ht="14.25" customHeight="1" x14ac:dyDescent="0.3">
      <c r="A9" s="128" t="s">
        <v>196</v>
      </c>
      <c r="B9" s="22" t="s">
        <v>761</v>
      </c>
      <c r="C9" s="124" t="s">
        <v>14</v>
      </c>
      <c r="D9" s="207">
        <v>101.06382978723404</v>
      </c>
      <c r="E9" s="197">
        <f t="shared" si="0"/>
        <v>12.343999999999999</v>
      </c>
      <c r="F9" s="127">
        <v>1</v>
      </c>
      <c r="G9" s="121">
        <f t="shared" si="1"/>
        <v>1247.5319148936169</v>
      </c>
      <c r="H9" s="120">
        <f t="shared" si="2"/>
        <v>1247.5319148936169</v>
      </c>
      <c r="I9" s="81">
        <f>VLOOKUP(B9,All_Ingredients!$A$1:$F$151,6,FALSE())</f>
        <v>1</v>
      </c>
      <c r="J9" s="119">
        <f>VLOOKUP(B9,All_Ingredients!$A$1:$J$151,10,FALSE())</f>
        <v>8.1520833333333336</v>
      </c>
      <c r="K9" s="122">
        <f t="shared" si="3"/>
        <v>1.2475319148936168</v>
      </c>
      <c r="L9" s="122">
        <f t="shared" si="4"/>
        <v>10.169984131205672</v>
      </c>
    </row>
    <row r="10" spans="1:30" ht="14.25" customHeight="1" x14ac:dyDescent="0.3">
      <c r="A10" s="128" t="s">
        <v>220</v>
      </c>
      <c r="B10" s="22" t="s">
        <v>815</v>
      </c>
      <c r="C10" s="124" t="s">
        <v>14</v>
      </c>
      <c r="D10" s="207">
        <v>3.0319148936170208</v>
      </c>
      <c r="E10" s="197">
        <f t="shared" si="0"/>
        <v>12.343999999999999</v>
      </c>
      <c r="F10" s="127">
        <v>0.75</v>
      </c>
      <c r="G10" s="121">
        <f t="shared" si="1"/>
        <v>37.425957446808503</v>
      </c>
      <c r="H10" s="120">
        <f t="shared" si="2"/>
        <v>28.069468085106379</v>
      </c>
      <c r="I10" s="81">
        <f>VLOOKUP(B10,All_Ingredients!$A$1:$F$151,6,FALSE())</f>
        <v>1</v>
      </c>
      <c r="J10" s="119">
        <f>VLOOKUP(B10,All_Ingredients!$A$1:$J$151,10,FALSE())</f>
        <v>22.5</v>
      </c>
      <c r="K10" s="122">
        <f t="shared" si="3"/>
        <v>2.806946808510638E-2</v>
      </c>
      <c r="L10" s="122">
        <f t="shared" si="4"/>
        <v>0.6315630319148936</v>
      </c>
    </row>
    <row r="11" spans="1:30" ht="14.25" customHeight="1" x14ac:dyDescent="0.3">
      <c r="A11" s="128" t="s">
        <v>210</v>
      </c>
      <c r="B11" s="22" t="s">
        <v>209</v>
      </c>
      <c r="C11" s="124" t="s">
        <v>165</v>
      </c>
      <c r="D11" s="207">
        <v>10.106382978723403</v>
      </c>
      <c r="E11" s="197">
        <f t="shared" si="0"/>
        <v>12.343999999999999</v>
      </c>
      <c r="F11" s="127">
        <v>1</v>
      </c>
      <c r="G11" s="121">
        <f t="shared" si="1"/>
        <v>124.75319148936168</v>
      </c>
      <c r="H11" s="120">
        <f t="shared" si="2"/>
        <v>124.75319148936168</v>
      </c>
      <c r="I11" s="81">
        <f>VLOOKUP(B11,All_Ingredients!$A$1:$F$151,6,FALSE())</f>
        <v>1</v>
      </c>
      <c r="J11" s="119">
        <f>VLOOKUP(B11,All_Ingredients!$A$1:$J$151,10,FALSE())</f>
        <v>0</v>
      </c>
      <c r="K11" s="122">
        <f t="shared" si="3"/>
        <v>0.12475319148936169</v>
      </c>
      <c r="L11" s="122">
        <f t="shared" si="4"/>
        <v>0</v>
      </c>
    </row>
    <row r="12" spans="1:30" ht="14.25" customHeight="1" x14ac:dyDescent="0.3">
      <c r="A12" s="128" t="s">
        <v>97</v>
      </c>
      <c r="B12" s="22" t="s">
        <v>102</v>
      </c>
      <c r="C12" s="124" t="s">
        <v>14</v>
      </c>
      <c r="D12" s="207">
        <v>2.0212765957446805</v>
      </c>
      <c r="E12" s="197">
        <f t="shared" si="0"/>
        <v>12.343999999999999</v>
      </c>
      <c r="F12" s="127">
        <v>1</v>
      </c>
      <c r="G12" s="121">
        <f t="shared" si="1"/>
        <v>24.950638297872334</v>
      </c>
      <c r="H12" s="120">
        <f t="shared" si="2"/>
        <v>24.950638297872334</v>
      </c>
      <c r="I12" s="81">
        <f>VLOOKUP(B12,All_Ingredients!$A$1:$F$151,6,FALSE())</f>
        <v>1</v>
      </c>
      <c r="J12" s="119">
        <f>VLOOKUP(B12,All_Ingredients!$A$1:$J$151,10,FALSE())</f>
        <v>31</v>
      </c>
      <c r="K12" s="122">
        <f t="shared" si="3"/>
        <v>2.4950638297872335E-2</v>
      </c>
      <c r="L12" s="122">
        <f t="shared" si="4"/>
        <v>0.77346978723404236</v>
      </c>
    </row>
    <row r="13" spans="1:30" ht="14.25" customHeight="1" x14ac:dyDescent="0.3">
      <c r="A13" s="128" t="s">
        <v>196</v>
      </c>
      <c r="B13" s="22" t="s">
        <v>206</v>
      </c>
      <c r="C13" s="124" t="s">
        <v>14</v>
      </c>
      <c r="D13" s="207">
        <v>25.26595744680851</v>
      </c>
      <c r="E13" s="197">
        <f t="shared" si="0"/>
        <v>12.343999999999999</v>
      </c>
      <c r="F13" s="127">
        <v>0.75</v>
      </c>
      <c r="G13" s="121">
        <f t="shared" si="1"/>
        <v>311.88297872340422</v>
      </c>
      <c r="H13" s="120">
        <f t="shared" si="2"/>
        <v>233.91223404255317</v>
      </c>
      <c r="I13" s="81">
        <f>VLOOKUP(B13,All_Ingredients!$A$1:$F$151,6,FALSE())</f>
        <v>1</v>
      </c>
      <c r="J13" s="119">
        <f>VLOOKUP(B13,All_Ingredients!$A$1:$J$151,10,FALSE())</f>
        <v>63.333333333333336</v>
      </c>
      <c r="K13" s="122">
        <f t="shared" si="3"/>
        <v>0.23391223404255318</v>
      </c>
      <c r="L13" s="122">
        <f t="shared" si="4"/>
        <v>14.814441489361702</v>
      </c>
    </row>
    <row r="14" spans="1:30" ht="14.25" customHeight="1" x14ac:dyDescent="0.3">
      <c r="A14" s="128" t="s">
        <v>158</v>
      </c>
      <c r="B14" s="22" t="s">
        <v>171</v>
      </c>
      <c r="C14" s="124" t="s">
        <v>165</v>
      </c>
      <c r="D14" s="207">
        <v>505.31914893617017</v>
      </c>
      <c r="E14" s="197">
        <f t="shared" si="0"/>
        <v>12.343999999999999</v>
      </c>
      <c r="F14" s="127">
        <v>1</v>
      </c>
      <c r="G14" s="121">
        <f t="shared" si="1"/>
        <v>6237.6595744680844</v>
      </c>
      <c r="H14" s="120">
        <f t="shared" si="2"/>
        <v>6237.6595744680844</v>
      </c>
      <c r="I14" s="81">
        <f>VLOOKUP(B14,All_Ingredients!$A$1:$F$151,6,FALSE())</f>
        <v>1</v>
      </c>
      <c r="J14" s="119">
        <f>VLOOKUP(B14,All_Ingredients!$A$1:$J$151,10,FALSE())</f>
        <v>12.666666666666666</v>
      </c>
      <c r="K14" s="122">
        <f t="shared" si="3"/>
        <v>6.2376595744680845</v>
      </c>
      <c r="L14" s="122">
        <f t="shared" si="4"/>
        <v>79.010354609929067</v>
      </c>
    </row>
    <row r="15" spans="1:30" ht="14.25" customHeight="1" x14ac:dyDescent="0.3">
      <c r="A15" s="128" t="s">
        <v>97</v>
      </c>
      <c r="B15" s="22" t="s">
        <v>144</v>
      </c>
      <c r="C15" s="124" t="s">
        <v>14</v>
      </c>
      <c r="D15" s="207">
        <v>8.0851063829787222</v>
      </c>
      <c r="E15" s="197">
        <f t="shared" si="0"/>
        <v>12.343999999999999</v>
      </c>
      <c r="F15" s="127">
        <v>1</v>
      </c>
      <c r="G15" s="121">
        <f t="shared" si="1"/>
        <v>99.802553191489338</v>
      </c>
      <c r="H15" s="120">
        <f t="shared" si="2"/>
        <v>99.802553191489338</v>
      </c>
      <c r="I15" s="81">
        <f>VLOOKUP(B15,All_Ingredients!$A$1:$F$151,6,FALSE())</f>
        <v>1</v>
      </c>
      <c r="J15" s="119">
        <f>VLOOKUP(B15,All_Ingredients!$A$1:$J$151,10,FALSE())</f>
        <v>15.277777777777779</v>
      </c>
      <c r="K15" s="122">
        <f t="shared" si="3"/>
        <v>9.980255319148934E-2</v>
      </c>
      <c r="L15" s="122">
        <f t="shared" si="4"/>
        <v>1.5247612293144206</v>
      </c>
    </row>
    <row r="16" spans="1:30" ht="14.25" customHeight="1" x14ac:dyDescent="0.3">
      <c r="A16" s="128" t="s">
        <v>97</v>
      </c>
      <c r="B16" s="22" t="s">
        <v>96</v>
      </c>
      <c r="C16" s="124" t="s">
        <v>14</v>
      </c>
      <c r="D16" s="207">
        <v>5.0531914893617014</v>
      </c>
      <c r="E16" s="197">
        <f t="shared" si="0"/>
        <v>12.343999999999999</v>
      </c>
      <c r="F16" s="127">
        <v>1</v>
      </c>
      <c r="G16" s="121">
        <f t="shared" si="1"/>
        <v>62.376595744680841</v>
      </c>
      <c r="H16" s="120">
        <f t="shared" si="2"/>
        <v>62.376595744680841</v>
      </c>
      <c r="I16" s="81">
        <f>VLOOKUP(B16,All_Ingredients!$A$1:$F$151,6,FALSE())</f>
        <v>1</v>
      </c>
      <c r="J16" s="119">
        <f>VLOOKUP(B16,All_Ingredients!$A$1:$J$151,10,FALSE())</f>
        <v>0.74</v>
      </c>
      <c r="K16" s="122">
        <f t="shared" si="3"/>
        <v>6.2376595744680845E-2</v>
      </c>
      <c r="L16" s="122">
        <f t="shared" si="4"/>
        <v>4.6158680851063824E-2</v>
      </c>
    </row>
    <row r="17" spans="1:29" ht="14.25" customHeight="1" x14ac:dyDescent="0.3">
      <c r="A17" s="128" t="s">
        <v>192</v>
      </c>
      <c r="B17" s="22" t="s">
        <v>193</v>
      </c>
      <c r="C17" s="124" t="s">
        <v>14</v>
      </c>
      <c r="D17" s="207">
        <v>70.744680851063819</v>
      </c>
      <c r="E17" s="197">
        <f t="shared" si="0"/>
        <v>12.343999999999999</v>
      </c>
      <c r="F17" s="127">
        <v>0.75</v>
      </c>
      <c r="G17" s="121">
        <f t="shared" si="1"/>
        <v>873.27234042553175</v>
      </c>
      <c r="H17" s="120">
        <f t="shared" si="2"/>
        <v>654.95425531914884</v>
      </c>
      <c r="I17" s="81">
        <f>VLOOKUP(B17,All_Ingredients!$A$1:$F$151,6,FALSE())</f>
        <v>0.9</v>
      </c>
      <c r="J17" s="119">
        <f>VLOOKUP(B17,All_Ingredients!$A$1:$J$151,10,FALSE())</f>
        <v>2.3199999999999998</v>
      </c>
      <c r="K17" s="122">
        <f t="shared" si="3"/>
        <v>0.72772695035460977</v>
      </c>
      <c r="L17" s="122">
        <f t="shared" si="4"/>
        <v>1.6883265248226946</v>
      </c>
    </row>
    <row r="18" spans="1:29" ht="14.25" customHeight="1" x14ac:dyDescent="0.3">
      <c r="A18" s="128" t="s">
        <v>13</v>
      </c>
      <c r="B18" s="22" t="s">
        <v>820</v>
      </c>
      <c r="C18" s="124" t="s">
        <v>14</v>
      </c>
      <c r="D18" s="207">
        <v>101.06382978723404</v>
      </c>
      <c r="E18" s="197">
        <f t="shared" si="0"/>
        <v>12.343999999999999</v>
      </c>
      <c r="F18" s="127">
        <v>1</v>
      </c>
      <c r="G18" s="121">
        <f t="shared" si="1"/>
        <v>1247.5319148936169</v>
      </c>
      <c r="H18" s="120">
        <f t="shared" si="2"/>
        <v>1247.5319148936169</v>
      </c>
      <c r="I18" s="81">
        <f>VLOOKUP(B18,All_Ingredients!$A$1:$F$151,6,FALSE())</f>
        <v>1</v>
      </c>
      <c r="J18" s="119">
        <f>VLOOKUP(B18,All_Ingredients!$A$1:$J$151,10,FALSE())</f>
        <v>22</v>
      </c>
      <c r="K18" s="122">
        <f t="shared" si="3"/>
        <v>1.2475319148936168</v>
      </c>
      <c r="L18" s="122">
        <f t="shared" si="4"/>
        <v>27.445702127659569</v>
      </c>
    </row>
    <row r="19" spans="1:29" ht="14.25" customHeight="1" x14ac:dyDescent="0.3">
      <c r="A19" s="128" t="s">
        <v>158</v>
      </c>
      <c r="B19" s="222" t="s">
        <v>157</v>
      </c>
      <c r="C19" s="124" t="s">
        <v>14</v>
      </c>
      <c r="D19" s="207">
        <v>20.212765957446805</v>
      </c>
      <c r="E19" s="197">
        <f t="shared" si="0"/>
        <v>12.343999999999999</v>
      </c>
      <c r="F19" s="127">
        <v>1</v>
      </c>
      <c r="G19" s="121">
        <f t="shared" si="1"/>
        <v>249.50638297872337</v>
      </c>
      <c r="H19" s="120">
        <f t="shared" si="2"/>
        <v>249.50638297872337</v>
      </c>
      <c r="I19" s="81">
        <f>VLOOKUP(B19,All_Ingredients!$A$1:$F$151,6,FALSE())</f>
        <v>1</v>
      </c>
      <c r="J19" s="119">
        <f>VLOOKUP(B19,All_Ingredients!$A$1:$J$151,10,FALSE())</f>
        <v>30</v>
      </c>
      <c r="K19" s="122">
        <f t="shared" si="3"/>
        <v>0.24950638297872338</v>
      </c>
      <c r="L19" s="122">
        <f t="shared" si="4"/>
        <v>7.4851914893617018</v>
      </c>
    </row>
    <row r="20" spans="1:29" ht="14.25" customHeight="1" x14ac:dyDescent="0.3">
      <c r="A20" s="128" t="s">
        <v>196</v>
      </c>
      <c r="B20" s="222" t="s">
        <v>198</v>
      </c>
      <c r="C20" s="124" t="s">
        <v>165</v>
      </c>
      <c r="D20" s="207">
        <v>15.159574468085106</v>
      </c>
      <c r="E20" s="197">
        <f t="shared" si="0"/>
        <v>12.343999999999999</v>
      </c>
      <c r="F20" s="127">
        <v>0.9</v>
      </c>
      <c r="G20" s="121">
        <f t="shared" si="1"/>
        <v>187.12978723404254</v>
      </c>
      <c r="H20" s="120">
        <f t="shared" si="2"/>
        <v>168.41680851063828</v>
      </c>
      <c r="I20" s="81">
        <f>VLOOKUP(B20,All_Ingredients!$A$1:$F$151,6,FALSE())</f>
        <v>1</v>
      </c>
      <c r="J20" s="119">
        <f>VLOOKUP(B20,All_Ingredients!$A$1:$J$151,10,FALSE())</f>
        <v>58.685446009389672</v>
      </c>
      <c r="K20" s="122">
        <f t="shared" si="3"/>
        <v>0.16841680851063828</v>
      </c>
      <c r="L20" s="122">
        <f t="shared" si="4"/>
        <v>9.8836155229247815</v>
      </c>
    </row>
    <row r="21" spans="1:29" ht="14.25" customHeight="1" x14ac:dyDescent="0.3">
      <c r="B21" s="100"/>
      <c r="C21" s="171"/>
      <c r="D21" s="171"/>
      <c r="E21" s="100"/>
      <c r="F21" s="100"/>
      <c r="G21" s="171"/>
      <c r="L21" s="297"/>
    </row>
    <row r="22" spans="1:29" ht="14.25" customHeight="1" x14ac:dyDescent="0.3"/>
    <row r="23" spans="1:29" ht="14.25" customHeight="1" x14ac:dyDescent="0.3"/>
    <row r="24" spans="1:29" ht="14.25" customHeight="1" x14ac:dyDescent="0.3">
      <c r="Z24" s="1234"/>
    </row>
    <row r="25" spans="1:29" ht="14.25" customHeight="1" x14ac:dyDescent="0.3">
      <c r="R25" s="1430" t="s">
        <v>431</v>
      </c>
      <c r="S25" s="1388"/>
      <c r="T25" s="1388"/>
      <c r="U25" s="1388"/>
      <c r="Z25" s="141" t="s">
        <v>264</v>
      </c>
      <c r="AA25" s="142">
        <v>31020</v>
      </c>
      <c r="AB25" s="141" t="s">
        <v>261</v>
      </c>
      <c r="AC25" s="143">
        <f>AC30*AA25</f>
        <v>230.82372009143751</v>
      </c>
    </row>
    <row r="26" spans="1:29" ht="14.25" customHeight="1" x14ac:dyDescent="0.3">
      <c r="R26" s="1430" t="s">
        <v>432</v>
      </c>
      <c r="S26" s="1388"/>
      <c r="T26" s="1388"/>
      <c r="U26" s="1388"/>
    </row>
    <row r="27" spans="1:29" ht="14.25" customHeight="1" x14ac:dyDescent="0.3">
      <c r="R27" s="145" t="s">
        <v>266</v>
      </c>
      <c r="S27" s="146" t="s">
        <v>364</v>
      </c>
      <c r="T27" s="146" t="s">
        <v>268</v>
      </c>
      <c r="U27" s="146" t="s">
        <v>269</v>
      </c>
      <c r="Z27" s="141" t="s">
        <v>270</v>
      </c>
      <c r="AA27" s="147" t="s">
        <v>364</v>
      </c>
      <c r="AB27" s="147" t="s">
        <v>272</v>
      </c>
      <c r="AC27" s="147" t="s">
        <v>274</v>
      </c>
    </row>
    <row r="28" spans="1:29" ht="14.25" customHeight="1" x14ac:dyDescent="0.3">
      <c r="B28" s="179"/>
      <c r="D28" s="389"/>
      <c r="E28" s="100"/>
      <c r="F28" s="100"/>
      <c r="R28" s="148" t="s">
        <v>275</v>
      </c>
      <c r="S28" s="149">
        <f>U28*S40</f>
        <v>18516</v>
      </c>
      <c r="T28" s="149">
        <f>U28*U40</f>
        <v>12344</v>
      </c>
      <c r="U28" s="150">
        <f>$Z$1</f>
        <v>30860</v>
      </c>
      <c r="Z28" s="151"/>
      <c r="AA28" s="152">
        <f>AA25*$S$40</f>
        <v>18612</v>
      </c>
      <c r="AB28" s="152">
        <f>AA25*$U$40</f>
        <v>12408</v>
      </c>
      <c r="AC28" s="154">
        <f>SUM(AA28:AB28)</f>
        <v>31020</v>
      </c>
    </row>
    <row r="29" spans="1:29" ht="22.25" customHeight="1" x14ac:dyDescent="0.3">
      <c r="B29" s="179"/>
      <c r="D29" s="389"/>
      <c r="E29" s="100"/>
      <c r="F29" s="100"/>
      <c r="R29" s="148" t="s">
        <v>276</v>
      </c>
      <c r="S29" s="155"/>
      <c r="T29" s="149"/>
      <c r="U29" s="149">
        <f>T29</f>
        <v>0</v>
      </c>
      <c r="Z29" s="151"/>
      <c r="AA29" s="156">
        <f>AA28/$AC$28</f>
        <v>0.6</v>
      </c>
      <c r="AB29" s="156">
        <f>AB28/$AC$28</f>
        <v>0.4</v>
      </c>
      <c r="AC29" s="156">
        <f>AC28/$AC$28</f>
        <v>1</v>
      </c>
    </row>
    <row r="30" spans="1:29" ht="21" customHeight="1" x14ac:dyDescent="0.3">
      <c r="B30" s="179"/>
      <c r="D30" s="389"/>
      <c r="E30" s="100"/>
      <c r="F30" s="100"/>
      <c r="R30" s="148" t="s">
        <v>277</v>
      </c>
      <c r="S30" s="1306">
        <f>U30*S40</f>
        <v>0</v>
      </c>
      <c r="T30" s="1320">
        <f>U30*U40</f>
        <v>0</v>
      </c>
      <c r="U30" s="150">
        <f>$AB$1</f>
        <v>0</v>
      </c>
      <c r="Z30" s="141" t="s">
        <v>278</v>
      </c>
      <c r="AA30" s="157">
        <f>S35/(S28)</f>
        <v>3.3333333333333327E-3</v>
      </c>
      <c r="AB30" s="158">
        <f>T35/T32</f>
        <v>1.3602814320715466E-2</v>
      </c>
      <c r="AC30" s="159">
        <f>SUMPRODUCT(AA30:AB30,AA29:AB29)</f>
        <v>7.4411257282861864E-3</v>
      </c>
    </row>
    <row r="31" spans="1:29" ht="14.25" customHeight="1" x14ac:dyDescent="0.3">
      <c r="B31" s="179"/>
      <c r="D31" s="389"/>
      <c r="E31" s="100"/>
      <c r="F31" s="100"/>
      <c r="R31" s="148" t="s">
        <v>279</v>
      </c>
      <c r="S31" s="155"/>
      <c r="T31" s="149"/>
      <c r="U31" s="149"/>
    </row>
    <row r="32" spans="1:29" ht="14.25" customHeight="1" x14ac:dyDescent="0.3">
      <c r="B32" s="179"/>
      <c r="D32" s="389"/>
      <c r="E32" s="100"/>
      <c r="F32" s="100"/>
      <c r="R32" s="160" t="s">
        <v>269</v>
      </c>
      <c r="S32" s="149">
        <f>SUM(S28:S30)</f>
        <v>18516</v>
      </c>
      <c r="T32" s="149">
        <f>SUM(T28:T30)</f>
        <v>12344</v>
      </c>
      <c r="U32" s="149">
        <f>SUM(U28:U30)</f>
        <v>30860</v>
      </c>
    </row>
    <row r="33" spans="2:23" ht="14.25" customHeight="1" x14ac:dyDescent="0.3">
      <c r="B33" s="100"/>
      <c r="E33" s="100"/>
      <c r="F33" s="100"/>
      <c r="R33" s="161" t="s">
        <v>280</v>
      </c>
      <c r="S33" s="155"/>
      <c r="T33" s="155"/>
      <c r="U33" s="155"/>
    </row>
    <row r="34" spans="2:23" ht="14.25" customHeight="1" x14ac:dyDescent="0.3">
      <c r="B34" s="100"/>
      <c r="E34" s="100"/>
      <c r="F34" s="100"/>
      <c r="R34" s="162" t="s">
        <v>281</v>
      </c>
      <c r="S34" s="155"/>
      <c r="T34" s="149"/>
      <c r="U34" s="155"/>
    </row>
    <row r="35" spans="2:23" ht="14.25" customHeight="1" x14ac:dyDescent="0.3">
      <c r="R35" s="163" t="s">
        <v>261</v>
      </c>
      <c r="S35" s="1144">
        <f>$L$5</f>
        <v>61.719999999999992</v>
      </c>
      <c r="T35" s="1144">
        <f>SUM(L6:L20)</f>
        <v>167.9131399749117</v>
      </c>
      <c r="U35" s="1144">
        <f>S35+T35</f>
        <v>229.6331399749117</v>
      </c>
    </row>
    <row r="40" spans="2:23" ht="52" x14ac:dyDescent="0.3">
      <c r="R40" s="165" t="s">
        <v>282</v>
      </c>
      <c r="S40" s="166">
        <v>0.6</v>
      </c>
      <c r="T40" s="165" t="s">
        <v>283</v>
      </c>
      <c r="U40" s="167">
        <v>0.4</v>
      </c>
      <c r="V40" s="168">
        <f>S40+U40</f>
        <v>1</v>
      </c>
    </row>
    <row r="41" spans="2:23" x14ac:dyDescent="0.3">
      <c r="U41" s="169"/>
    </row>
    <row r="43" spans="2:23" x14ac:dyDescent="0.3">
      <c r="Q43" s="170" t="s">
        <v>284</v>
      </c>
      <c r="R43" s="170" t="s">
        <v>285</v>
      </c>
      <c r="S43" s="170" t="s">
        <v>286</v>
      </c>
      <c r="T43" s="170" t="s">
        <v>287</v>
      </c>
      <c r="U43" s="170" t="s">
        <v>288</v>
      </c>
      <c r="V43" s="170" t="s">
        <v>289</v>
      </c>
      <c r="W43" s="258" t="s">
        <v>545</v>
      </c>
    </row>
    <row r="44" spans="2:23" ht="15" customHeight="1" x14ac:dyDescent="0.3">
      <c r="Q44" s="551">
        <v>25000</v>
      </c>
      <c r="R44" s="173">
        <f>D51</f>
        <v>10000</v>
      </c>
      <c r="S44" s="174">
        <v>1</v>
      </c>
      <c r="T44" s="174">
        <v>0</v>
      </c>
      <c r="U44" s="242">
        <f>R44*S44</f>
        <v>10000</v>
      </c>
      <c r="V44" s="176">
        <f>R44*T44</f>
        <v>0</v>
      </c>
      <c r="W44" s="651">
        <f>Q44-U44</f>
        <v>15000</v>
      </c>
    </row>
    <row r="50" spans="1:10" ht="14" customHeight="1" x14ac:dyDescent="0.3">
      <c r="B50" s="145"/>
      <c r="C50" s="145" t="s">
        <v>245</v>
      </c>
      <c r="D50" s="145" t="s">
        <v>291</v>
      </c>
      <c r="E50" s="100"/>
      <c r="F50" s="100"/>
      <c r="G50" s="145" t="s">
        <v>292</v>
      </c>
      <c r="H50" s="145" t="s">
        <v>245</v>
      </c>
      <c r="I50" s="145" t="s">
        <v>544</v>
      </c>
      <c r="J50" s="145" t="s">
        <v>543</v>
      </c>
    </row>
    <row r="51" spans="1:10" x14ac:dyDescent="0.3">
      <c r="B51" s="180" t="s">
        <v>295</v>
      </c>
      <c r="C51" s="181">
        <f>10/$K$1</f>
        <v>10</v>
      </c>
      <c r="D51" s="182">
        <f>$C$1*10</f>
        <v>10000</v>
      </c>
      <c r="E51" s="100"/>
      <c r="F51" s="100"/>
      <c r="G51" s="180" t="s">
        <v>295</v>
      </c>
      <c r="H51" s="277">
        <v>10</v>
      </c>
      <c r="I51" s="181">
        <f>J51/$R$1</f>
        <v>6000</v>
      </c>
      <c r="J51" s="181">
        <f>$W$44</f>
        <v>15000</v>
      </c>
    </row>
    <row r="52" spans="1:10" x14ac:dyDescent="0.3">
      <c r="B52" s="145" t="s">
        <v>274</v>
      </c>
      <c r="C52" s="184">
        <f>I1</f>
        <v>12.343999999999999</v>
      </c>
      <c r="D52" s="185">
        <f>E1</f>
        <v>12344</v>
      </c>
      <c r="E52" s="100"/>
      <c r="F52" s="100"/>
      <c r="G52" s="148" t="s">
        <v>274</v>
      </c>
      <c r="H52" s="210">
        <f>I52/$D$5</f>
        <v>12.343999999999999</v>
      </c>
      <c r="I52" s="176">
        <f>J52/$R$1</f>
        <v>7406.4</v>
      </c>
      <c r="J52" s="184">
        <f>$S$32</f>
        <v>18516</v>
      </c>
    </row>
    <row r="53" spans="1:10" x14ac:dyDescent="0.3">
      <c r="B53" s="145" t="s">
        <v>296</v>
      </c>
      <c r="C53" s="425">
        <f>MIN($C$52, C51)</f>
        <v>10</v>
      </c>
      <c r="D53" s="185">
        <f>(C53*$K$1)*$C$1</f>
        <v>10000</v>
      </c>
      <c r="E53" s="100"/>
      <c r="F53" s="100"/>
      <c r="G53" s="148" t="s">
        <v>296</v>
      </c>
      <c r="H53" s="187">
        <f>MIN(H52,H51)</f>
        <v>10</v>
      </c>
      <c r="I53" s="176">
        <f>J53/$R$1</f>
        <v>6000</v>
      </c>
      <c r="J53" s="176">
        <f>MIN(J52,J51)</f>
        <v>15000</v>
      </c>
    </row>
    <row r="54" spans="1:10" ht="18" customHeight="1" x14ac:dyDescent="0.3">
      <c r="B54" s="145"/>
      <c r="C54" s="186">
        <f>MIN(MAX($C$52-C53,0),C51)</f>
        <v>2.3439999999999994</v>
      </c>
      <c r="D54" s="185">
        <f>(C54*$K$1)*$C$1</f>
        <v>2343.9999999999995</v>
      </c>
      <c r="E54" s="100"/>
      <c r="F54" s="100"/>
      <c r="G54" s="148" t="s">
        <v>297</v>
      </c>
      <c r="H54" s="187">
        <f>MIN(MAX(H52-H53),H51)</f>
        <v>2.3439999999999994</v>
      </c>
      <c r="I54" s="176">
        <f>J54/$R$1</f>
        <v>1406.4</v>
      </c>
      <c r="J54" s="176">
        <f>MIN(MAX(J52-J53),J51)</f>
        <v>3516</v>
      </c>
    </row>
    <row r="55" spans="1:10" x14ac:dyDescent="0.3">
      <c r="B55" s="145"/>
      <c r="C55" s="186">
        <f>MIN(MAX($C$52-C53-C54,0),C51)</f>
        <v>0</v>
      </c>
      <c r="D55" s="185">
        <f>(C55*$K$1)*$C$1</f>
        <v>0</v>
      </c>
      <c r="E55" s="100"/>
      <c r="F55" s="100"/>
      <c r="G55" s="145" t="s">
        <v>298</v>
      </c>
      <c r="H55" s="187">
        <f>MIN(MAX(H52-H53-H54),H51)</f>
        <v>0</v>
      </c>
      <c r="I55" s="176">
        <f>J55/$R$1</f>
        <v>0</v>
      </c>
      <c r="J55" s="176">
        <f>MIN(MAX(J52-J53-J54),J51)</f>
        <v>0</v>
      </c>
    </row>
    <row r="62" spans="1:10" ht="17.75" customHeight="1" x14ac:dyDescent="0.3">
      <c r="A62" s="937"/>
      <c r="B62" s="1382" t="str">
        <f>"ستروغانوف باستا  1 / " &amp; COUNTIF($C$53:$C$55, "&gt;0")</f>
        <v>ستروغانوف باستا  1 / 2</v>
      </c>
      <c r="C62" s="1383"/>
      <c r="D62" s="1383"/>
      <c r="E62" s="1383"/>
      <c r="F62" s="1383"/>
      <c r="G62" s="1383"/>
      <c r="H62" s="1383"/>
    </row>
    <row r="63" spans="1:10" ht="18" customHeight="1" x14ac:dyDescent="0.3">
      <c r="A63" s="937"/>
      <c r="B63" s="1384" t="str">
        <f>"Stroganoff sauce for pasta  1 / " &amp; COUNTIF($C$53:$C$55, "&gt;0")</f>
        <v>Stroganoff sauce for pasta  1 / 2</v>
      </c>
      <c r="C63" s="1385"/>
      <c r="D63" s="1385"/>
      <c r="E63" s="1385"/>
      <c r="F63" s="1385"/>
      <c r="G63" s="1385"/>
      <c r="H63" s="1385"/>
    </row>
    <row r="64" spans="1:10" ht="44.75" customHeight="1" x14ac:dyDescent="0.25">
      <c r="A64" s="91"/>
      <c r="B64" s="243" t="s">
        <v>253</v>
      </c>
      <c r="C64" s="244" t="s">
        <v>254</v>
      </c>
      <c r="D64" s="245" t="s">
        <v>243</v>
      </c>
      <c r="E64" s="218" t="s">
        <v>246</v>
      </c>
      <c r="F64" s="218" t="s">
        <v>255</v>
      </c>
      <c r="G64" s="245" t="s">
        <v>256</v>
      </c>
      <c r="H64" s="218" t="s">
        <v>257</v>
      </c>
    </row>
    <row r="65" spans="1:8" ht="14.25" customHeight="1" x14ac:dyDescent="0.3">
      <c r="A65" s="128" t="s">
        <v>13</v>
      </c>
      <c r="B65" s="323" t="str">
        <f t="shared" ref="B65:D80" si="5">B5</f>
        <v>Pasta fusilli - مكرونة مبرومة</v>
      </c>
      <c r="C65" s="323" t="str">
        <f t="shared" si="5"/>
        <v>gm</v>
      </c>
      <c r="D65" s="324">
        <f t="shared" si="5"/>
        <v>600</v>
      </c>
      <c r="E65" s="126">
        <f>H53</f>
        <v>10</v>
      </c>
      <c r="F65" s="127">
        <f t="shared" ref="F65:F80" si="6">F5</f>
        <v>1</v>
      </c>
      <c r="G65" s="119">
        <f>D65*E65</f>
        <v>6000</v>
      </c>
      <c r="H65" s="120">
        <f>G65*F65</f>
        <v>6000</v>
      </c>
    </row>
    <row r="66" spans="1:8" ht="14.25" customHeight="1" x14ac:dyDescent="0.3">
      <c r="A66" s="128" t="s">
        <v>13</v>
      </c>
      <c r="B66" s="323" t="str">
        <f t="shared" si="5"/>
        <v>Onion - بصل</v>
      </c>
      <c r="C66" s="323" t="str">
        <f t="shared" si="5"/>
        <v>gm</v>
      </c>
      <c r="D66" s="324">
        <f t="shared" si="5"/>
        <v>202.12765957446808</v>
      </c>
      <c r="E66" s="126">
        <f t="shared" ref="E66:E80" si="7">$C$53</f>
        <v>10</v>
      </c>
      <c r="F66" s="127">
        <f t="shared" si="6"/>
        <v>0.95</v>
      </c>
      <c r="G66" s="119">
        <f t="shared" ref="G66:G80" si="8">D66*E66</f>
        <v>2021.2765957446809</v>
      </c>
      <c r="H66" s="120">
        <f t="shared" ref="H66:H80" si="9">G66*F66</f>
        <v>1920.2127659574467</v>
      </c>
    </row>
    <row r="67" spans="1:8" ht="14.25" customHeight="1" x14ac:dyDescent="0.3">
      <c r="A67" s="128" t="s">
        <v>13</v>
      </c>
      <c r="B67" s="323" t="str">
        <f t="shared" si="5"/>
        <v>Garlic - ثوم مقشر</v>
      </c>
      <c r="C67" s="323" t="str">
        <f t="shared" si="5"/>
        <v>gm</v>
      </c>
      <c r="D67" s="324">
        <f t="shared" si="5"/>
        <v>30.319148936170212</v>
      </c>
      <c r="E67" s="126">
        <f t="shared" si="7"/>
        <v>10</v>
      </c>
      <c r="F67" s="127">
        <f t="shared" si="6"/>
        <v>0.95</v>
      </c>
      <c r="G67" s="119">
        <f t="shared" si="8"/>
        <v>303.19148936170211</v>
      </c>
      <c r="H67" s="120">
        <f t="shared" si="9"/>
        <v>288.031914893617</v>
      </c>
    </row>
    <row r="68" spans="1:8" ht="14.25" customHeight="1" x14ac:dyDescent="0.3">
      <c r="A68" s="128" t="s">
        <v>196</v>
      </c>
      <c r="B68" s="323" t="str">
        <f t="shared" si="5"/>
        <v>Mustard - خردل</v>
      </c>
      <c r="C68" s="323" t="str">
        <f t="shared" si="5"/>
        <v>gm</v>
      </c>
      <c r="D68" s="324">
        <f t="shared" si="5"/>
        <v>20.212765957446805</v>
      </c>
      <c r="E68" s="126">
        <f t="shared" si="7"/>
        <v>10</v>
      </c>
      <c r="F68" s="127">
        <f t="shared" si="6"/>
        <v>1</v>
      </c>
      <c r="G68" s="119">
        <f t="shared" si="8"/>
        <v>202.12765957446805</v>
      </c>
      <c r="H68" s="120">
        <f t="shared" si="9"/>
        <v>202.12765957446805</v>
      </c>
    </row>
    <row r="69" spans="1:8" ht="14" customHeight="1" x14ac:dyDescent="0.3">
      <c r="A69" s="128" t="s">
        <v>196</v>
      </c>
      <c r="B69" s="323" t="str">
        <f t="shared" si="5"/>
        <v>Tomato Paste - صلصة طماطم</v>
      </c>
      <c r="C69" s="323" t="str">
        <f t="shared" si="5"/>
        <v>gm</v>
      </c>
      <c r="D69" s="324">
        <f t="shared" si="5"/>
        <v>101.06382978723404</v>
      </c>
      <c r="E69" s="126">
        <f t="shared" si="7"/>
        <v>10</v>
      </c>
      <c r="F69" s="127">
        <f t="shared" si="6"/>
        <v>1</v>
      </c>
      <c r="G69" s="119">
        <f t="shared" si="8"/>
        <v>1010.6382978723404</v>
      </c>
      <c r="H69" s="120">
        <f t="shared" si="9"/>
        <v>1010.6382978723404</v>
      </c>
    </row>
    <row r="70" spans="1:8" ht="14" customHeight="1" x14ac:dyDescent="0.3">
      <c r="A70" s="128" t="s">
        <v>220</v>
      </c>
      <c r="B70" s="323" t="str">
        <f t="shared" si="5"/>
        <v>لون صفار زعفران بودر - Saffron yellow color powder</v>
      </c>
      <c r="C70" s="323" t="str">
        <f t="shared" si="5"/>
        <v>gm</v>
      </c>
      <c r="D70" s="324">
        <f t="shared" si="5"/>
        <v>3.0319148936170208</v>
      </c>
      <c r="E70" s="126">
        <f t="shared" si="7"/>
        <v>10</v>
      </c>
      <c r="F70" s="127">
        <f t="shared" si="6"/>
        <v>0.75</v>
      </c>
      <c r="G70" s="119">
        <f t="shared" si="8"/>
        <v>30.319148936170208</v>
      </c>
      <c r="H70" s="120">
        <f t="shared" si="9"/>
        <v>22.739361702127656</v>
      </c>
    </row>
    <row r="71" spans="1:8" ht="14.25" customHeight="1" x14ac:dyDescent="0.3">
      <c r="A71" s="128" t="s">
        <v>210</v>
      </c>
      <c r="B71" s="323" t="str">
        <f t="shared" si="5"/>
        <v>Water - ماء</v>
      </c>
      <c r="C71" s="323" t="str">
        <f t="shared" si="5"/>
        <v>ml</v>
      </c>
      <c r="D71" s="324">
        <f t="shared" si="5"/>
        <v>10.106382978723403</v>
      </c>
      <c r="E71" s="126">
        <f t="shared" si="7"/>
        <v>10</v>
      </c>
      <c r="F71" s="127">
        <f t="shared" si="6"/>
        <v>1</v>
      </c>
      <c r="G71" s="119">
        <f t="shared" si="8"/>
        <v>101.06382978723403</v>
      </c>
      <c r="H71" s="120">
        <f t="shared" si="9"/>
        <v>101.06382978723403</v>
      </c>
    </row>
    <row r="72" spans="1:8" ht="14.25" customHeight="1" x14ac:dyDescent="0.3">
      <c r="A72" s="128" t="s">
        <v>97</v>
      </c>
      <c r="B72" s="323" t="str">
        <f t="shared" si="5"/>
        <v>Black Pepper Powder - فلفل أسود مطحون</v>
      </c>
      <c r="C72" s="323" t="str">
        <f t="shared" si="5"/>
        <v>gm</v>
      </c>
      <c r="D72" s="324">
        <f t="shared" si="5"/>
        <v>2.0212765957446805</v>
      </c>
      <c r="E72" s="126">
        <f t="shared" si="7"/>
        <v>10</v>
      </c>
      <c r="F72" s="127">
        <f t="shared" si="6"/>
        <v>1</v>
      </c>
      <c r="G72" s="119">
        <f t="shared" si="8"/>
        <v>20.212765957446805</v>
      </c>
      <c r="H72" s="120">
        <f t="shared" si="9"/>
        <v>20.212765957446805</v>
      </c>
    </row>
    <row r="73" spans="1:8" ht="14.25" customHeight="1" x14ac:dyDescent="0.3">
      <c r="A73" s="128" t="s">
        <v>196</v>
      </c>
      <c r="B73" s="323" t="str">
        <f t="shared" si="5"/>
        <v>Demi Glaze Sauce - صوص ديمي غلاز</v>
      </c>
      <c r="C73" s="323" t="str">
        <f t="shared" si="5"/>
        <v>gm</v>
      </c>
      <c r="D73" s="324">
        <f t="shared" si="5"/>
        <v>25.26595744680851</v>
      </c>
      <c r="E73" s="126">
        <f t="shared" si="7"/>
        <v>10</v>
      </c>
      <c r="F73" s="127">
        <f t="shared" si="6"/>
        <v>0.75</v>
      </c>
      <c r="G73" s="119">
        <f t="shared" si="8"/>
        <v>252.65957446808511</v>
      </c>
      <c r="H73" s="120">
        <f t="shared" si="9"/>
        <v>189.49468085106383</v>
      </c>
    </row>
    <row r="74" spans="1:8" ht="14.25" customHeight="1" x14ac:dyDescent="0.3">
      <c r="A74" s="128" t="s">
        <v>158</v>
      </c>
      <c r="B74" s="323" t="str">
        <f t="shared" si="5"/>
        <v>Cooking Cream - كريمة طبخ</v>
      </c>
      <c r="C74" s="323" t="str">
        <f t="shared" si="5"/>
        <v>ml</v>
      </c>
      <c r="D74" s="324">
        <f t="shared" si="5"/>
        <v>505.31914893617017</v>
      </c>
      <c r="E74" s="126">
        <f t="shared" si="7"/>
        <v>10</v>
      </c>
      <c r="F74" s="127">
        <f t="shared" si="6"/>
        <v>1</v>
      </c>
      <c r="G74" s="119">
        <f t="shared" si="8"/>
        <v>5053.1914893617013</v>
      </c>
      <c r="H74" s="120">
        <f t="shared" si="9"/>
        <v>5053.1914893617013</v>
      </c>
    </row>
    <row r="75" spans="1:8" ht="14.25" customHeight="1" x14ac:dyDescent="0.3">
      <c r="A75" s="128" t="s">
        <v>97</v>
      </c>
      <c r="B75" s="323" t="str">
        <f t="shared" si="5"/>
        <v>Maggi Cubes - مكعبات ماجي</v>
      </c>
      <c r="C75" s="323" t="str">
        <f t="shared" si="5"/>
        <v>gm</v>
      </c>
      <c r="D75" s="324">
        <f t="shared" si="5"/>
        <v>8.0851063829787222</v>
      </c>
      <c r="E75" s="126">
        <f t="shared" si="7"/>
        <v>10</v>
      </c>
      <c r="F75" s="127">
        <f t="shared" si="6"/>
        <v>1</v>
      </c>
      <c r="G75" s="119">
        <f t="shared" si="8"/>
        <v>80.851063829787222</v>
      </c>
      <c r="H75" s="120">
        <f t="shared" si="9"/>
        <v>80.851063829787222</v>
      </c>
    </row>
    <row r="76" spans="1:8" ht="14.25" customHeight="1" x14ac:dyDescent="0.3">
      <c r="A76" s="128" t="s">
        <v>97</v>
      </c>
      <c r="B76" s="323" t="str">
        <f t="shared" si="5"/>
        <v>Salt - ملح</v>
      </c>
      <c r="C76" s="323" t="str">
        <f t="shared" si="5"/>
        <v>gm</v>
      </c>
      <c r="D76" s="324">
        <f t="shared" si="5"/>
        <v>5.0531914893617014</v>
      </c>
      <c r="E76" s="126">
        <f t="shared" si="7"/>
        <v>10</v>
      </c>
      <c r="F76" s="127">
        <f t="shared" si="6"/>
        <v>1</v>
      </c>
      <c r="G76" s="119">
        <f t="shared" si="8"/>
        <v>50.531914893617014</v>
      </c>
      <c r="H76" s="120">
        <f t="shared" si="9"/>
        <v>50.531914893617014</v>
      </c>
    </row>
    <row r="77" spans="1:8" ht="14.25" customHeight="1" x14ac:dyDescent="0.3">
      <c r="A77" s="128" t="s">
        <v>192</v>
      </c>
      <c r="B77" s="323" t="str">
        <f t="shared" si="5"/>
        <v>Corn Starch - نشا ذرة</v>
      </c>
      <c r="C77" s="323" t="str">
        <f t="shared" si="5"/>
        <v>gm</v>
      </c>
      <c r="D77" s="324">
        <f t="shared" si="5"/>
        <v>70.744680851063819</v>
      </c>
      <c r="E77" s="126">
        <f t="shared" si="7"/>
        <v>10</v>
      </c>
      <c r="F77" s="127">
        <f t="shared" si="6"/>
        <v>0.75</v>
      </c>
      <c r="G77" s="119">
        <f t="shared" si="8"/>
        <v>707.44680851063822</v>
      </c>
      <c r="H77" s="120">
        <f t="shared" si="9"/>
        <v>530.58510638297867</v>
      </c>
    </row>
    <row r="78" spans="1:8" ht="14.25" customHeight="1" x14ac:dyDescent="0.3">
      <c r="A78" s="128" t="s">
        <v>13</v>
      </c>
      <c r="B78" s="323" t="str">
        <f t="shared" si="5"/>
        <v>Mushroom - مشروم ابيض</v>
      </c>
      <c r="C78" s="323" t="str">
        <f t="shared" si="5"/>
        <v>gm</v>
      </c>
      <c r="D78" s="324">
        <f t="shared" si="5"/>
        <v>101.06382978723404</v>
      </c>
      <c r="E78" s="126">
        <f t="shared" si="7"/>
        <v>10</v>
      </c>
      <c r="F78" s="127">
        <f t="shared" si="6"/>
        <v>1</v>
      </c>
      <c r="G78" s="119">
        <f t="shared" si="8"/>
        <v>1010.6382978723404</v>
      </c>
      <c r="H78" s="120">
        <f t="shared" si="9"/>
        <v>1010.6382978723404</v>
      </c>
    </row>
    <row r="79" spans="1:8" ht="14.25" customHeight="1" x14ac:dyDescent="0.3">
      <c r="A79" s="128" t="s">
        <v>158</v>
      </c>
      <c r="B79" s="323" t="str">
        <f t="shared" si="5"/>
        <v>Butter - زبدة</v>
      </c>
      <c r="C79" s="323" t="str">
        <f t="shared" si="5"/>
        <v>gm</v>
      </c>
      <c r="D79" s="324">
        <f t="shared" si="5"/>
        <v>20.212765957446805</v>
      </c>
      <c r="E79" s="126">
        <f t="shared" si="7"/>
        <v>10</v>
      </c>
      <c r="F79" s="127">
        <f t="shared" si="6"/>
        <v>1</v>
      </c>
      <c r="G79" s="119">
        <f t="shared" si="8"/>
        <v>202.12765957446805</v>
      </c>
      <c r="H79" s="120">
        <f t="shared" si="9"/>
        <v>202.12765957446805</v>
      </c>
    </row>
    <row r="80" spans="1:8" ht="20.25" customHeight="1" x14ac:dyDescent="0.3">
      <c r="A80" s="128" t="s">
        <v>196</v>
      </c>
      <c r="B80" s="323" t="str">
        <f t="shared" si="5"/>
        <v>Sriracha Sauce - صوص سريراتشا</v>
      </c>
      <c r="C80" s="323" t="str">
        <f t="shared" si="5"/>
        <v>ml</v>
      </c>
      <c r="D80" s="324">
        <f t="shared" si="5"/>
        <v>15.159574468085106</v>
      </c>
      <c r="E80" s="126">
        <f t="shared" si="7"/>
        <v>10</v>
      </c>
      <c r="F80" s="127">
        <f t="shared" si="6"/>
        <v>0.9</v>
      </c>
      <c r="G80" s="119">
        <f t="shared" si="8"/>
        <v>151.59574468085106</v>
      </c>
      <c r="H80" s="120">
        <f t="shared" si="9"/>
        <v>136.43617021276594</v>
      </c>
    </row>
    <row r="81" spans="1:8" ht="14.25" customHeight="1" x14ac:dyDescent="0.3">
      <c r="B81" s="198" t="s">
        <v>364</v>
      </c>
      <c r="C81" s="200" t="s">
        <v>285</v>
      </c>
      <c r="E81" s="200" t="s">
        <v>300</v>
      </c>
      <c r="G81" s="890" t="s">
        <v>276</v>
      </c>
      <c r="H81" s="890" t="s">
        <v>744</v>
      </c>
    </row>
    <row r="82" spans="1:8" ht="28.5" customHeight="1" x14ac:dyDescent="0.4">
      <c r="B82" s="199">
        <f>$J$53</f>
        <v>15000</v>
      </c>
      <c r="C82" s="199">
        <f>E82+G82</f>
        <v>10000</v>
      </c>
      <c r="D82" s="930"/>
      <c r="E82" s="199">
        <f>$D$53*$S$44</f>
        <v>10000</v>
      </c>
      <c r="F82" s="934"/>
      <c r="G82" s="199">
        <f>$D$53*$T$44</f>
        <v>0</v>
      </c>
      <c r="H82" s="199">
        <f>B82+E82</f>
        <v>25000</v>
      </c>
    </row>
    <row r="83" spans="1:8" ht="14.25" customHeight="1" x14ac:dyDescent="0.3">
      <c r="B83" s="100"/>
      <c r="E83" s="100"/>
      <c r="F83" s="100"/>
    </row>
    <row r="84" spans="1:8" ht="14.25" customHeight="1" x14ac:dyDescent="0.3">
      <c r="B84" s="100"/>
      <c r="C84" s="100"/>
      <c r="D84" s="100"/>
      <c r="E84" s="100"/>
      <c r="F84" s="100"/>
      <c r="G84" s="100"/>
      <c r="H84" s="100"/>
    </row>
    <row r="85" spans="1:8" ht="14.25" customHeight="1" x14ac:dyDescent="0.3">
      <c r="B85" s="100"/>
      <c r="C85" s="100"/>
      <c r="D85" s="100"/>
      <c r="E85" s="100"/>
      <c r="F85" s="100"/>
      <c r="G85" s="100"/>
      <c r="H85" s="100"/>
    </row>
    <row r="86" spans="1:8" ht="17.75" customHeight="1" x14ac:dyDescent="0.3">
      <c r="B86" s="100"/>
      <c r="C86" s="100"/>
      <c r="D86" s="100"/>
      <c r="E86" s="100"/>
      <c r="F86" s="100"/>
      <c r="G86" s="100"/>
      <c r="H86" s="100"/>
    </row>
    <row r="87" spans="1:8" ht="18" customHeight="1" x14ac:dyDescent="0.3">
      <c r="A87" s="937"/>
      <c r="B87" s="1382" t="str">
        <f>"ستروغانوف باستا  2 / " &amp; COUNTIF($C$53:$C$55, "&gt;0")</f>
        <v>ستروغانوف باستا  2 / 2</v>
      </c>
      <c r="C87" s="1383"/>
      <c r="D87" s="1383"/>
      <c r="E87" s="1383"/>
      <c r="F87" s="1383"/>
      <c r="G87" s="1383"/>
      <c r="H87" s="1383"/>
    </row>
    <row r="88" spans="1:8" ht="25.5" customHeight="1" x14ac:dyDescent="0.3">
      <c r="A88" s="937"/>
      <c r="B88" s="1384" t="str">
        <f>"Stroganoff sauce for pasta  2 / " &amp; COUNTIF($C$53:$C$55, "&gt;0")</f>
        <v>Stroganoff sauce for pasta  2 / 2</v>
      </c>
      <c r="C88" s="1385"/>
      <c r="D88" s="1385"/>
      <c r="E88" s="1385"/>
      <c r="F88" s="1385"/>
      <c r="G88" s="1385"/>
      <c r="H88" s="1385"/>
    </row>
    <row r="89" spans="1:8" ht="43.5" customHeight="1" x14ac:dyDescent="0.25">
      <c r="A89" s="91"/>
      <c r="B89" s="243" t="s">
        <v>253</v>
      </c>
      <c r="C89" s="244" t="s">
        <v>254</v>
      </c>
      <c r="D89" s="245" t="s">
        <v>243</v>
      </c>
      <c r="E89" s="218" t="s">
        <v>246</v>
      </c>
      <c r="F89" s="218" t="s">
        <v>255</v>
      </c>
      <c r="G89" s="245" t="s">
        <v>256</v>
      </c>
      <c r="H89" s="218" t="s">
        <v>257</v>
      </c>
    </row>
    <row r="90" spans="1:8" ht="14.25" customHeight="1" x14ac:dyDescent="0.3">
      <c r="A90" s="128" t="s">
        <v>13</v>
      </c>
      <c r="B90" s="323" t="str">
        <f t="shared" ref="B90:D105" si="10">B5</f>
        <v>Pasta fusilli - مكرونة مبرومة</v>
      </c>
      <c r="C90" s="323" t="str">
        <f t="shared" si="10"/>
        <v>gm</v>
      </c>
      <c r="D90" s="324">
        <f t="shared" si="10"/>
        <v>600</v>
      </c>
      <c r="E90" s="126">
        <f>H54</f>
        <v>2.3439999999999994</v>
      </c>
      <c r="F90" s="127">
        <f t="shared" ref="F90:F105" si="11">F5</f>
        <v>1</v>
      </c>
      <c r="G90" s="119">
        <f>D90*E90</f>
        <v>1406.3999999999996</v>
      </c>
      <c r="H90" s="120">
        <f>G90*F90</f>
        <v>1406.3999999999996</v>
      </c>
    </row>
    <row r="91" spans="1:8" ht="14.25" customHeight="1" x14ac:dyDescent="0.3">
      <c r="A91" s="128" t="s">
        <v>13</v>
      </c>
      <c r="B91" s="323" t="str">
        <f t="shared" si="10"/>
        <v>Onion - بصل</v>
      </c>
      <c r="C91" s="323" t="str">
        <f t="shared" si="10"/>
        <v>gm</v>
      </c>
      <c r="D91" s="324">
        <f t="shared" si="10"/>
        <v>202.12765957446808</v>
      </c>
      <c r="E91" s="126">
        <f t="shared" ref="E91:E105" si="12">$C$54</f>
        <v>2.3439999999999994</v>
      </c>
      <c r="F91" s="127">
        <f t="shared" si="11"/>
        <v>0.95</v>
      </c>
      <c r="G91" s="119">
        <f t="shared" ref="G91:G105" si="13">D91*E91</f>
        <v>473.78723404255305</v>
      </c>
      <c r="H91" s="120">
        <f t="shared" ref="H91:H105" si="14">G91*F91</f>
        <v>450.0978723404254</v>
      </c>
    </row>
    <row r="92" spans="1:8" ht="14.25" customHeight="1" x14ac:dyDescent="0.3">
      <c r="A92" s="128" t="s">
        <v>13</v>
      </c>
      <c r="B92" s="323" t="str">
        <f t="shared" si="10"/>
        <v>Garlic - ثوم مقشر</v>
      </c>
      <c r="C92" s="323" t="str">
        <f t="shared" si="10"/>
        <v>gm</v>
      </c>
      <c r="D92" s="324">
        <f t="shared" si="10"/>
        <v>30.319148936170212</v>
      </c>
      <c r="E92" s="126">
        <f t="shared" si="12"/>
        <v>2.3439999999999994</v>
      </c>
      <c r="F92" s="127">
        <f t="shared" si="11"/>
        <v>0.95</v>
      </c>
      <c r="G92" s="119">
        <f t="shared" si="13"/>
        <v>71.068085106382952</v>
      </c>
      <c r="H92" s="120">
        <f t="shared" si="14"/>
        <v>67.514680851063801</v>
      </c>
    </row>
    <row r="93" spans="1:8" ht="14.25" customHeight="1" x14ac:dyDescent="0.3">
      <c r="A93" s="128" t="s">
        <v>196</v>
      </c>
      <c r="B93" s="323" t="str">
        <f t="shared" si="10"/>
        <v>Mustard - خردل</v>
      </c>
      <c r="C93" s="323" t="str">
        <f t="shared" si="10"/>
        <v>gm</v>
      </c>
      <c r="D93" s="324">
        <f t="shared" si="10"/>
        <v>20.212765957446805</v>
      </c>
      <c r="E93" s="126">
        <f t="shared" si="12"/>
        <v>2.3439999999999994</v>
      </c>
      <c r="F93" s="127">
        <f t="shared" si="11"/>
        <v>1</v>
      </c>
      <c r="G93" s="119">
        <f t="shared" si="13"/>
        <v>47.378723404255304</v>
      </c>
      <c r="H93" s="120">
        <f t="shared" si="14"/>
        <v>47.378723404255304</v>
      </c>
    </row>
    <row r="94" spans="1:8" ht="14.25" customHeight="1" x14ac:dyDescent="0.3">
      <c r="A94" s="128" t="s">
        <v>196</v>
      </c>
      <c r="B94" s="323" t="str">
        <f t="shared" si="10"/>
        <v>Tomato Paste - صلصة طماطم</v>
      </c>
      <c r="C94" s="323" t="str">
        <f t="shared" si="10"/>
        <v>gm</v>
      </c>
      <c r="D94" s="324">
        <f t="shared" si="10"/>
        <v>101.06382978723404</v>
      </c>
      <c r="E94" s="126">
        <f t="shared" si="12"/>
        <v>2.3439999999999994</v>
      </c>
      <c r="F94" s="127">
        <f t="shared" si="11"/>
        <v>1</v>
      </c>
      <c r="G94" s="119">
        <f t="shared" si="13"/>
        <v>236.89361702127653</v>
      </c>
      <c r="H94" s="120">
        <f t="shared" si="14"/>
        <v>236.89361702127653</v>
      </c>
    </row>
    <row r="95" spans="1:8" ht="14.25" customHeight="1" x14ac:dyDescent="0.3">
      <c r="A95" s="128" t="s">
        <v>220</v>
      </c>
      <c r="B95" s="323" t="str">
        <f t="shared" si="10"/>
        <v>لون صفار زعفران بودر - Saffron yellow color powder</v>
      </c>
      <c r="C95" s="323" t="str">
        <f t="shared" si="10"/>
        <v>gm</v>
      </c>
      <c r="D95" s="324">
        <f t="shared" si="10"/>
        <v>3.0319148936170208</v>
      </c>
      <c r="E95" s="126">
        <f t="shared" si="12"/>
        <v>2.3439999999999994</v>
      </c>
      <c r="F95" s="127">
        <f t="shared" si="11"/>
        <v>0.75</v>
      </c>
      <c r="G95" s="119">
        <f t="shared" si="13"/>
        <v>7.1068085106382952</v>
      </c>
      <c r="H95" s="120">
        <f t="shared" si="14"/>
        <v>5.3301063829787214</v>
      </c>
    </row>
    <row r="96" spans="1:8" ht="14.25" customHeight="1" x14ac:dyDescent="0.3">
      <c r="A96" s="128" t="s">
        <v>210</v>
      </c>
      <c r="B96" s="323" t="str">
        <f t="shared" si="10"/>
        <v>Water - ماء</v>
      </c>
      <c r="C96" s="323" t="str">
        <f t="shared" si="10"/>
        <v>ml</v>
      </c>
      <c r="D96" s="324">
        <f t="shared" si="10"/>
        <v>10.106382978723403</v>
      </c>
      <c r="E96" s="126">
        <f t="shared" si="12"/>
        <v>2.3439999999999994</v>
      </c>
      <c r="F96" s="127">
        <f t="shared" si="11"/>
        <v>1</v>
      </c>
      <c r="G96" s="119">
        <f t="shared" si="13"/>
        <v>23.689361702127652</v>
      </c>
      <c r="H96" s="120">
        <f t="shared" si="14"/>
        <v>23.689361702127652</v>
      </c>
    </row>
    <row r="97" spans="1:8" ht="14.25" customHeight="1" x14ac:dyDescent="0.3">
      <c r="A97" s="128" t="s">
        <v>97</v>
      </c>
      <c r="B97" s="323" t="str">
        <f t="shared" si="10"/>
        <v>Black Pepper Powder - فلفل أسود مطحون</v>
      </c>
      <c r="C97" s="323" t="str">
        <f t="shared" si="10"/>
        <v>gm</v>
      </c>
      <c r="D97" s="324">
        <f t="shared" si="10"/>
        <v>2.0212765957446805</v>
      </c>
      <c r="E97" s="126">
        <f t="shared" si="12"/>
        <v>2.3439999999999994</v>
      </c>
      <c r="F97" s="127">
        <f t="shared" si="11"/>
        <v>1</v>
      </c>
      <c r="G97" s="119">
        <f t="shared" si="13"/>
        <v>4.7378723404255298</v>
      </c>
      <c r="H97" s="120">
        <f t="shared" si="14"/>
        <v>4.7378723404255298</v>
      </c>
    </row>
    <row r="98" spans="1:8" ht="14.25" customHeight="1" x14ac:dyDescent="0.3">
      <c r="A98" s="128" t="s">
        <v>196</v>
      </c>
      <c r="B98" s="323" t="str">
        <f t="shared" si="10"/>
        <v>Demi Glaze Sauce - صوص ديمي غلاز</v>
      </c>
      <c r="C98" s="323" t="str">
        <f t="shared" si="10"/>
        <v>gm</v>
      </c>
      <c r="D98" s="324">
        <f t="shared" si="10"/>
        <v>25.26595744680851</v>
      </c>
      <c r="E98" s="126">
        <f t="shared" si="12"/>
        <v>2.3439999999999994</v>
      </c>
      <c r="F98" s="127">
        <f t="shared" si="11"/>
        <v>0.75</v>
      </c>
      <c r="G98" s="119">
        <f t="shared" si="13"/>
        <v>59.223404255319132</v>
      </c>
      <c r="H98" s="120">
        <f t="shared" si="14"/>
        <v>44.417553191489347</v>
      </c>
    </row>
    <row r="99" spans="1:8" ht="14.25" customHeight="1" x14ac:dyDescent="0.3">
      <c r="A99" s="128" t="s">
        <v>158</v>
      </c>
      <c r="B99" s="323" t="str">
        <f t="shared" si="10"/>
        <v>Cooking Cream - كريمة طبخ</v>
      </c>
      <c r="C99" s="323" t="str">
        <f t="shared" si="10"/>
        <v>ml</v>
      </c>
      <c r="D99" s="324">
        <f t="shared" si="10"/>
        <v>505.31914893617017</v>
      </c>
      <c r="E99" s="126">
        <f t="shared" si="12"/>
        <v>2.3439999999999994</v>
      </c>
      <c r="F99" s="127">
        <f t="shared" si="11"/>
        <v>1</v>
      </c>
      <c r="G99" s="119">
        <f t="shared" si="13"/>
        <v>1184.4680851063827</v>
      </c>
      <c r="H99" s="120">
        <f t="shared" si="14"/>
        <v>1184.4680851063827</v>
      </c>
    </row>
    <row r="100" spans="1:8" ht="14.25" customHeight="1" x14ac:dyDescent="0.3">
      <c r="A100" s="128" t="s">
        <v>97</v>
      </c>
      <c r="B100" s="323" t="str">
        <f t="shared" si="10"/>
        <v>Maggi Cubes - مكعبات ماجي</v>
      </c>
      <c r="C100" s="323" t="str">
        <f t="shared" si="10"/>
        <v>gm</v>
      </c>
      <c r="D100" s="324">
        <f t="shared" si="10"/>
        <v>8.0851063829787222</v>
      </c>
      <c r="E100" s="126">
        <f t="shared" si="12"/>
        <v>2.3439999999999994</v>
      </c>
      <c r="F100" s="127">
        <f t="shared" si="11"/>
        <v>1</v>
      </c>
      <c r="G100" s="119">
        <f t="shared" si="13"/>
        <v>18.951489361702119</v>
      </c>
      <c r="H100" s="120">
        <f t="shared" si="14"/>
        <v>18.951489361702119</v>
      </c>
    </row>
    <row r="101" spans="1:8" ht="14.25" customHeight="1" x14ac:dyDescent="0.3">
      <c r="A101" s="128" t="s">
        <v>97</v>
      </c>
      <c r="B101" s="323" t="str">
        <f t="shared" si="10"/>
        <v>Salt - ملح</v>
      </c>
      <c r="C101" s="323" t="str">
        <f t="shared" si="10"/>
        <v>gm</v>
      </c>
      <c r="D101" s="324">
        <f t="shared" si="10"/>
        <v>5.0531914893617014</v>
      </c>
      <c r="E101" s="126">
        <f t="shared" si="12"/>
        <v>2.3439999999999994</v>
      </c>
      <c r="F101" s="127">
        <f t="shared" si="11"/>
        <v>1</v>
      </c>
      <c r="G101" s="119">
        <f t="shared" si="13"/>
        <v>11.844680851063826</v>
      </c>
      <c r="H101" s="120">
        <f t="shared" si="14"/>
        <v>11.844680851063826</v>
      </c>
    </row>
    <row r="102" spans="1:8" ht="14.25" customHeight="1" x14ac:dyDescent="0.3">
      <c r="A102" s="128" t="s">
        <v>192</v>
      </c>
      <c r="B102" s="323" t="str">
        <f t="shared" si="10"/>
        <v>Corn Starch - نشا ذرة</v>
      </c>
      <c r="C102" s="323" t="str">
        <f t="shared" si="10"/>
        <v>gm</v>
      </c>
      <c r="D102" s="324">
        <f t="shared" si="10"/>
        <v>70.744680851063819</v>
      </c>
      <c r="E102" s="126">
        <f t="shared" si="12"/>
        <v>2.3439999999999994</v>
      </c>
      <c r="F102" s="127">
        <f t="shared" si="11"/>
        <v>0.75</v>
      </c>
      <c r="G102" s="119">
        <f t="shared" si="13"/>
        <v>165.82553191489356</v>
      </c>
      <c r="H102" s="120">
        <f t="shared" si="14"/>
        <v>124.36914893617018</v>
      </c>
    </row>
    <row r="103" spans="1:8" ht="14.25" customHeight="1" x14ac:dyDescent="0.3">
      <c r="A103" s="128" t="s">
        <v>13</v>
      </c>
      <c r="B103" s="323" t="str">
        <f t="shared" si="10"/>
        <v>Mushroom - مشروم ابيض</v>
      </c>
      <c r="C103" s="323" t="str">
        <f t="shared" si="10"/>
        <v>gm</v>
      </c>
      <c r="D103" s="324">
        <f t="shared" si="10"/>
        <v>101.06382978723404</v>
      </c>
      <c r="E103" s="126">
        <f t="shared" si="12"/>
        <v>2.3439999999999994</v>
      </c>
      <c r="F103" s="127">
        <f t="shared" si="11"/>
        <v>1</v>
      </c>
      <c r="G103" s="119">
        <f t="shared" si="13"/>
        <v>236.89361702127653</v>
      </c>
      <c r="H103" s="120">
        <f t="shared" si="14"/>
        <v>236.89361702127653</v>
      </c>
    </row>
    <row r="104" spans="1:8" x14ac:dyDescent="0.3">
      <c r="A104" s="128" t="s">
        <v>158</v>
      </c>
      <c r="B104" s="323" t="str">
        <f t="shared" si="10"/>
        <v>Butter - زبدة</v>
      </c>
      <c r="C104" s="323" t="str">
        <f t="shared" si="10"/>
        <v>gm</v>
      </c>
      <c r="D104" s="324">
        <f t="shared" si="10"/>
        <v>20.212765957446805</v>
      </c>
      <c r="E104" s="126">
        <f t="shared" si="12"/>
        <v>2.3439999999999994</v>
      </c>
      <c r="F104" s="127">
        <f t="shared" si="11"/>
        <v>1</v>
      </c>
      <c r="G104" s="119">
        <f t="shared" si="13"/>
        <v>47.378723404255304</v>
      </c>
      <c r="H104" s="120">
        <f t="shared" si="14"/>
        <v>47.378723404255304</v>
      </c>
    </row>
    <row r="105" spans="1:8" x14ac:dyDescent="0.3">
      <c r="A105" s="128" t="s">
        <v>196</v>
      </c>
      <c r="B105" s="323" t="str">
        <f t="shared" si="10"/>
        <v>Sriracha Sauce - صوص سريراتشا</v>
      </c>
      <c r="C105" s="323" t="str">
        <f t="shared" si="10"/>
        <v>ml</v>
      </c>
      <c r="D105" s="324">
        <f t="shared" si="10"/>
        <v>15.159574468085106</v>
      </c>
      <c r="E105" s="126">
        <f t="shared" si="12"/>
        <v>2.3439999999999994</v>
      </c>
      <c r="F105" s="127">
        <f t="shared" si="11"/>
        <v>0.9</v>
      </c>
      <c r="G105" s="119">
        <f t="shared" si="13"/>
        <v>35.534042553191476</v>
      </c>
      <c r="H105" s="120">
        <f t="shared" si="14"/>
        <v>31.980638297872328</v>
      </c>
    </row>
    <row r="106" spans="1:8" ht="18" x14ac:dyDescent="0.3">
      <c r="B106" s="198" t="s">
        <v>364</v>
      </c>
      <c r="C106" s="200" t="s">
        <v>285</v>
      </c>
      <c r="E106" s="200" t="s">
        <v>300</v>
      </c>
      <c r="G106" s="890" t="s">
        <v>276</v>
      </c>
      <c r="H106" s="890" t="s">
        <v>744</v>
      </c>
    </row>
    <row r="107" spans="1:8" ht="20" x14ac:dyDescent="0.4">
      <c r="B107" s="199">
        <f>$J$54</f>
        <v>3516</v>
      </c>
      <c r="C107" s="199">
        <f>E107+G107</f>
        <v>2343.9999999999995</v>
      </c>
      <c r="D107" s="930"/>
      <c r="E107" s="199">
        <f>$D$54*$S$44</f>
        <v>2343.9999999999995</v>
      </c>
      <c r="F107" s="934"/>
      <c r="G107" s="199">
        <f>$D$54*$T$44</f>
        <v>0</v>
      </c>
      <c r="H107" s="199">
        <f>B107+E107</f>
        <v>5860</v>
      </c>
    </row>
    <row r="109" spans="1:8" x14ac:dyDescent="0.3">
      <c r="A109" s="97"/>
      <c r="B109" s="1382" t="str">
        <f>"ستروغانوف باستا  3 / " &amp; COUNTIF($C$53:$C$55, "&gt;0")</f>
        <v>ستروغانوف باستا  3 / 2</v>
      </c>
      <c r="C109" s="1388"/>
      <c r="D109" s="1388"/>
      <c r="E109" s="1388"/>
      <c r="F109" s="1388"/>
      <c r="G109" s="1388"/>
      <c r="H109" s="1388"/>
    </row>
    <row r="110" spans="1:8" x14ac:dyDescent="0.3">
      <c r="A110" s="97"/>
      <c r="B110" s="1384" t="str">
        <f>"Stroganoff sauce for pasta  3 / " &amp; COUNTIF($C$53:$C$55, "&gt;0")</f>
        <v>Stroganoff sauce for pasta  3 / 2</v>
      </c>
      <c r="C110" s="1410"/>
      <c r="D110" s="1410"/>
      <c r="E110" s="1410"/>
      <c r="F110" s="1410"/>
      <c r="G110" s="1410"/>
      <c r="H110" s="1410"/>
    </row>
    <row r="111" spans="1:8" ht="26" x14ac:dyDescent="0.25">
      <c r="A111" s="91"/>
      <c r="B111" s="243" t="s">
        <v>253</v>
      </c>
      <c r="C111" s="244" t="s">
        <v>254</v>
      </c>
      <c r="D111" s="245" t="s">
        <v>243</v>
      </c>
      <c r="E111" s="218" t="s">
        <v>246</v>
      </c>
      <c r="F111" s="218" t="s">
        <v>255</v>
      </c>
      <c r="G111" s="245" t="s">
        <v>256</v>
      </c>
      <c r="H111" s="218" t="s">
        <v>257</v>
      </c>
    </row>
    <row r="112" spans="1:8" x14ac:dyDescent="0.3">
      <c r="A112" s="128" t="s">
        <v>13</v>
      </c>
      <c r="B112" s="323" t="str">
        <f t="shared" ref="B112:D127" si="15">B5</f>
        <v>Pasta fusilli - مكرونة مبرومة</v>
      </c>
      <c r="C112" s="323" t="str">
        <f t="shared" si="15"/>
        <v>gm</v>
      </c>
      <c r="D112" s="323">
        <f t="shared" si="15"/>
        <v>600</v>
      </c>
      <c r="E112" s="126">
        <f>H55</f>
        <v>0</v>
      </c>
      <c r="F112" s="127">
        <f>F5</f>
        <v>1</v>
      </c>
      <c r="G112" s="119">
        <f t="shared" ref="G112:G127" si="16">D112*E112</f>
        <v>0</v>
      </c>
      <c r="H112" s="120">
        <f t="shared" ref="H112:H127" si="17">G112*F112</f>
        <v>0</v>
      </c>
    </row>
    <row r="113" spans="1:8" x14ac:dyDescent="0.3">
      <c r="A113" s="128" t="s">
        <v>13</v>
      </c>
      <c r="B113" s="323" t="str">
        <f t="shared" si="15"/>
        <v>Onion - بصل</v>
      </c>
      <c r="C113" s="323" t="str">
        <f t="shared" si="15"/>
        <v>gm</v>
      </c>
      <c r="D113" s="324">
        <f t="shared" si="15"/>
        <v>202.12765957446808</v>
      </c>
      <c r="E113" s="126">
        <f t="shared" ref="E113:E127" si="18">$C$55</f>
        <v>0</v>
      </c>
      <c r="F113" s="127">
        <f t="shared" ref="F113:F127" si="19">F6</f>
        <v>0.95</v>
      </c>
      <c r="G113" s="119">
        <f t="shared" si="16"/>
        <v>0</v>
      </c>
      <c r="H113" s="120">
        <f t="shared" si="17"/>
        <v>0</v>
      </c>
    </row>
    <row r="114" spans="1:8" x14ac:dyDescent="0.3">
      <c r="A114" s="128" t="s">
        <v>13</v>
      </c>
      <c r="B114" s="323" t="str">
        <f t="shared" si="15"/>
        <v>Garlic - ثوم مقشر</v>
      </c>
      <c r="C114" s="323" t="str">
        <f t="shared" si="15"/>
        <v>gm</v>
      </c>
      <c r="D114" s="324">
        <f t="shared" si="15"/>
        <v>30.319148936170212</v>
      </c>
      <c r="E114" s="126">
        <f t="shared" si="18"/>
        <v>0</v>
      </c>
      <c r="F114" s="127">
        <f t="shared" si="19"/>
        <v>0.95</v>
      </c>
      <c r="G114" s="119">
        <f t="shared" si="16"/>
        <v>0</v>
      </c>
      <c r="H114" s="120">
        <f t="shared" si="17"/>
        <v>0</v>
      </c>
    </row>
    <row r="115" spans="1:8" x14ac:dyDescent="0.3">
      <c r="A115" s="128" t="s">
        <v>196</v>
      </c>
      <c r="B115" s="323" t="str">
        <f t="shared" si="15"/>
        <v>Mustard - خردل</v>
      </c>
      <c r="C115" s="323" t="str">
        <f t="shared" si="15"/>
        <v>gm</v>
      </c>
      <c r="D115" s="324">
        <f t="shared" si="15"/>
        <v>20.212765957446805</v>
      </c>
      <c r="E115" s="126">
        <f t="shared" si="18"/>
        <v>0</v>
      </c>
      <c r="F115" s="127">
        <f t="shared" si="19"/>
        <v>1</v>
      </c>
      <c r="G115" s="119">
        <f t="shared" si="16"/>
        <v>0</v>
      </c>
      <c r="H115" s="120">
        <f t="shared" si="17"/>
        <v>0</v>
      </c>
    </row>
    <row r="116" spans="1:8" x14ac:dyDescent="0.3">
      <c r="A116" s="128" t="s">
        <v>196</v>
      </c>
      <c r="B116" s="323" t="str">
        <f t="shared" si="15"/>
        <v>Tomato Paste - صلصة طماطم</v>
      </c>
      <c r="C116" s="323" t="str">
        <f t="shared" si="15"/>
        <v>gm</v>
      </c>
      <c r="D116" s="324">
        <f t="shared" si="15"/>
        <v>101.06382978723404</v>
      </c>
      <c r="E116" s="126">
        <f t="shared" si="18"/>
        <v>0</v>
      </c>
      <c r="F116" s="127">
        <f t="shared" si="19"/>
        <v>1</v>
      </c>
      <c r="G116" s="119">
        <f t="shared" si="16"/>
        <v>0</v>
      </c>
      <c r="H116" s="120">
        <f t="shared" si="17"/>
        <v>0</v>
      </c>
    </row>
    <row r="117" spans="1:8" x14ac:dyDescent="0.3">
      <c r="A117" s="128" t="s">
        <v>220</v>
      </c>
      <c r="B117" s="323" t="str">
        <f t="shared" si="15"/>
        <v>لون صفار زعفران بودر - Saffron yellow color powder</v>
      </c>
      <c r="C117" s="323" t="str">
        <f t="shared" si="15"/>
        <v>gm</v>
      </c>
      <c r="D117" s="324">
        <f t="shared" si="15"/>
        <v>3.0319148936170208</v>
      </c>
      <c r="E117" s="126">
        <f t="shared" si="18"/>
        <v>0</v>
      </c>
      <c r="F117" s="127">
        <f t="shared" si="19"/>
        <v>0.75</v>
      </c>
      <c r="G117" s="119">
        <f t="shared" si="16"/>
        <v>0</v>
      </c>
      <c r="H117" s="120">
        <f t="shared" si="17"/>
        <v>0</v>
      </c>
    </row>
    <row r="118" spans="1:8" x14ac:dyDescent="0.3">
      <c r="A118" s="128" t="s">
        <v>210</v>
      </c>
      <c r="B118" s="323" t="str">
        <f t="shared" si="15"/>
        <v>Water - ماء</v>
      </c>
      <c r="C118" s="323" t="str">
        <f t="shared" si="15"/>
        <v>ml</v>
      </c>
      <c r="D118" s="324">
        <f t="shared" si="15"/>
        <v>10.106382978723403</v>
      </c>
      <c r="E118" s="126">
        <f t="shared" si="18"/>
        <v>0</v>
      </c>
      <c r="F118" s="127">
        <f t="shared" si="19"/>
        <v>1</v>
      </c>
      <c r="G118" s="119">
        <f t="shared" si="16"/>
        <v>0</v>
      </c>
      <c r="H118" s="120">
        <f t="shared" si="17"/>
        <v>0</v>
      </c>
    </row>
    <row r="119" spans="1:8" x14ac:dyDescent="0.3">
      <c r="A119" s="128" t="s">
        <v>97</v>
      </c>
      <c r="B119" s="323" t="str">
        <f t="shared" si="15"/>
        <v>Black Pepper Powder - فلفل أسود مطحون</v>
      </c>
      <c r="C119" s="323" t="str">
        <f t="shared" si="15"/>
        <v>gm</v>
      </c>
      <c r="D119" s="324">
        <f t="shared" si="15"/>
        <v>2.0212765957446805</v>
      </c>
      <c r="E119" s="126">
        <f t="shared" si="18"/>
        <v>0</v>
      </c>
      <c r="F119" s="127">
        <f t="shared" si="19"/>
        <v>1</v>
      </c>
      <c r="G119" s="119">
        <f t="shared" si="16"/>
        <v>0</v>
      </c>
      <c r="H119" s="120">
        <f t="shared" si="17"/>
        <v>0</v>
      </c>
    </row>
    <row r="120" spans="1:8" x14ac:dyDescent="0.3">
      <c r="A120" s="128" t="s">
        <v>196</v>
      </c>
      <c r="B120" s="323" t="str">
        <f t="shared" si="15"/>
        <v>Demi Glaze Sauce - صوص ديمي غلاز</v>
      </c>
      <c r="C120" s="323" t="str">
        <f t="shared" si="15"/>
        <v>gm</v>
      </c>
      <c r="D120" s="324">
        <f t="shared" si="15"/>
        <v>25.26595744680851</v>
      </c>
      <c r="E120" s="126">
        <f t="shared" si="18"/>
        <v>0</v>
      </c>
      <c r="F120" s="127">
        <f t="shared" si="19"/>
        <v>0.75</v>
      </c>
      <c r="G120" s="119">
        <f t="shared" si="16"/>
        <v>0</v>
      </c>
      <c r="H120" s="120">
        <f t="shared" si="17"/>
        <v>0</v>
      </c>
    </row>
    <row r="121" spans="1:8" x14ac:dyDescent="0.3">
      <c r="A121" s="128" t="s">
        <v>158</v>
      </c>
      <c r="B121" s="323" t="str">
        <f t="shared" si="15"/>
        <v>Cooking Cream - كريمة طبخ</v>
      </c>
      <c r="C121" s="323" t="str">
        <f t="shared" si="15"/>
        <v>ml</v>
      </c>
      <c r="D121" s="324">
        <f t="shared" si="15"/>
        <v>505.31914893617017</v>
      </c>
      <c r="E121" s="126">
        <f t="shared" si="18"/>
        <v>0</v>
      </c>
      <c r="F121" s="127">
        <f t="shared" si="19"/>
        <v>1</v>
      </c>
      <c r="G121" s="119">
        <f t="shared" si="16"/>
        <v>0</v>
      </c>
      <c r="H121" s="120">
        <f t="shared" si="17"/>
        <v>0</v>
      </c>
    </row>
    <row r="122" spans="1:8" x14ac:dyDescent="0.3">
      <c r="A122" s="128" t="s">
        <v>97</v>
      </c>
      <c r="B122" s="323" t="str">
        <f t="shared" si="15"/>
        <v>Maggi Cubes - مكعبات ماجي</v>
      </c>
      <c r="C122" s="323" t="str">
        <f t="shared" si="15"/>
        <v>gm</v>
      </c>
      <c r="D122" s="324">
        <f t="shared" si="15"/>
        <v>8.0851063829787222</v>
      </c>
      <c r="E122" s="126">
        <f t="shared" si="18"/>
        <v>0</v>
      </c>
      <c r="F122" s="127">
        <f t="shared" si="19"/>
        <v>1</v>
      </c>
      <c r="G122" s="119">
        <f t="shared" si="16"/>
        <v>0</v>
      </c>
      <c r="H122" s="120">
        <f t="shared" si="17"/>
        <v>0</v>
      </c>
    </row>
    <row r="123" spans="1:8" x14ac:dyDescent="0.3">
      <c r="A123" s="128" t="s">
        <v>97</v>
      </c>
      <c r="B123" s="323" t="str">
        <f t="shared" si="15"/>
        <v>Salt - ملح</v>
      </c>
      <c r="C123" s="323" t="str">
        <f t="shared" si="15"/>
        <v>gm</v>
      </c>
      <c r="D123" s="324">
        <f t="shared" si="15"/>
        <v>5.0531914893617014</v>
      </c>
      <c r="E123" s="126">
        <f t="shared" si="18"/>
        <v>0</v>
      </c>
      <c r="F123" s="127">
        <f t="shared" si="19"/>
        <v>1</v>
      </c>
      <c r="G123" s="119">
        <f t="shared" si="16"/>
        <v>0</v>
      </c>
      <c r="H123" s="120">
        <f t="shared" si="17"/>
        <v>0</v>
      </c>
    </row>
    <row r="124" spans="1:8" x14ac:dyDescent="0.3">
      <c r="A124" s="128" t="s">
        <v>192</v>
      </c>
      <c r="B124" s="323" t="str">
        <f t="shared" si="15"/>
        <v>Corn Starch - نشا ذرة</v>
      </c>
      <c r="C124" s="323" t="str">
        <f t="shared" si="15"/>
        <v>gm</v>
      </c>
      <c r="D124" s="324">
        <f t="shared" si="15"/>
        <v>70.744680851063819</v>
      </c>
      <c r="E124" s="126">
        <f t="shared" si="18"/>
        <v>0</v>
      </c>
      <c r="F124" s="127">
        <f t="shared" si="19"/>
        <v>0.75</v>
      </c>
      <c r="G124" s="119">
        <f t="shared" si="16"/>
        <v>0</v>
      </c>
      <c r="H124" s="120">
        <f t="shared" si="17"/>
        <v>0</v>
      </c>
    </row>
    <row r="125" spans="1:8" x14ac:dyDescent="0.3">
      <c r="A125" s="128" t="s">
        <v>13</v>
      </c>
      <c r="B125" s="323" t="str">
        <f t="shared" si="15"/>
        <v>Mushroom - مشروم ابيض</v>
      </c>
      <c r="C125" s="323" t="str">
        <f t="shared" si="15"/>
        <v>gm</v>
      </c>
      <c r="D125" s="324">
        <f t="shared" si="15"/>
        <v>101.06382978723404</v>
      </c>
      <c r="E125" s="126">
        <f t="shared" si="18"/>
        <v>0</v>
      </c>
      <c r="F125" s="127">
        <f t="shared" si="19"/>
        <v>1</v>
      </c>
      <c r="G125" s="119">
        <f t="shared" si="16"/>
        <v>0</v>
      </c>
      <c r="H125" s="120">
        <f t="shared" si="17"/>
        <v>0</v>
      </c>
    </row>
    <row r="126" spans="1:8" x14ac:dyDescent="0.3">
      <c r="A126" s="128" t="s">
        <v>158</v>
      </c>
      <c r="B126" s="323" t="str">
        <f t="shared" si="15"/>
        <v>Butter - زبدة</v>
      </c>
      <c r="C126" s="323" t="str">
        <f t="shared" si="15"/>
        <v>gm</v>
      </c>
      <c r="D126" s="324">
        <f t="shared" si="15"/>
        <v>20.212765957446805</v>
      </c>
      <c r="E126" s="126">
        <f t="shared" si="18"/>
        <v>0</v>
      </c>
      <c r="F126" s="127">
        <f t="shared" si="19"/>
        <v>1</v>
      </c>
      <c r="G126" s="119">
        <f t="shared" si="16"/>
        <v>0</v>
      </c>
      <c r="H126" s="120">
        <f t="shared" si="17"/>
        <v>0</v>
      </c>
    </row>
    <row r="127" spans="1:8" x14ac:dyDescent="0.3">
      <c r="A127" s="128" t="s">
        <v>196</v>
      </c>
      <c r="B127" s="323" t="str">
        <f t="shared" si="15"/>
        <v>Sriracha Sauce - صوص سريراتشا</v>
      </c>
      <c r="C127" s="323" t="str">
        <f t="shared" si="15"/>
        <v>ml</v>
      </c>
      <c r="D127" s="324">
        <f t="shared" si="15"/>
        <v>15.159574468085106</v>
      </c>
      <c r="E127" s="126">
        <f t="shared" si="18"/>
        <v>0</v>
      </c>
      <c r="F127" s="127">
        <f t="shared" si="19"/>
        <v>0.9</v>
      </c>
      <c r="G127" s="119">
        <f t="shared" si="16"/>
        <v>0</v>
      </c>
      <c r="H127" s="120">
        <f t="shared" si="17"/>
        <v>0</v>
      </c>
    </row>
    <row r="128" spans="1:8" ht="18" x14ac:dyDescent="0.3">
      <c r="B128" s="198" t="s">
        <v>364</v>
      </c>
      <c r="C128" s="200" t="s">
        <v>285</v>
      </c>
      <c r="E128" s="200" t="s">
        <v>300</v>
      </c>
      <c r="G128" s="890" t="s">
        <v>276</v>
      </c>
      <c r="H128" s="890" t="s">
        <v>744</v>
      </c>
    </row>
    <row r="129" spans="2:8" ht="20" x14ac:dyDescent="0.4">
      <c r="B129" s="199">
        <f>$J$55</f>
        <v>0</v>
      </c>
      <c r="C129" s="199">
        <f>E129+G129</f>
        <v>0</v>
      </c>
      <c r="D129" s="930"/>
      <c r="E129" s="199">
        <f>$D$55*$S$44</f>
        <v>0</v>
      </c>
      <c r="F129" s="934"/>
      <c r="G129" s="199">
        <f>$D$55*$T$44</f>
        <v>0</v>
      </c>
      <c r="H129" s="199">
        <f>B129+E129</f>
        <v>0</v>
      </c>
    </row>
  </sheetData>
  <mergeCells count="9">
    <mergeCell ref="B2:H3"/>
    <mergeCell ref="B63:H63"/>
    <mergeCell ref="B109:H109"/>
    <mergeCell ref="B110:H110"/>
    <mergeCell ref="R26:U26"/>
    <mergeCell ref="B88:H88"/>
    <mergeCell ref="B62:H62"/>
    <mergeCell ref="R25:U25"/>
    <mergeCell ref="B87:H87"/>
  </mergeCells>
  <printOptions horizontalCentered="1"/>
  <pageMargins left="0.5" right="0.5" top="1" bottom="0.5" header="0.3" footer="0.511811023622047"/>
  <pageSetup paperSize="9" scale="31" orientation="portrait" r:id="rId1"/>
  <legacyDrawing r:id="rId2"/>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rgb="FF7C7C7C"/>
    <pageSetUpPr fitToPage="1"/>
  </sheetPr>
  <dimension ref="A1:AG77"/>
  <sheetViews>
    <sheetView topLeftCell="Q10" zoomScale="85" zoomScaleNormal="85" workbookViewId="0">
      <selection activeCell="T28" sqref="T28"/>
    </sheetView>
  </sheetViews>
  <sheetFormatPr defaultColWidth="12.5" defaultRowHeight="14" x14ac:dyDescent="0.3"/>
  <cols>
    <col min="1" max="1" width="12.5" style="79" customWidth="1"/>
    <col min="2" max="2" width="37"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3.83203125" style="14" customWidth="1"/>
    <col min="15" max="17" width="12.5" style="14" customWidth="1"/>
    <col min="18" max="18" width="30.5" style="14" customWidth="1"/>
    <col min="19" max="19" width="12.5" style="14" customWidth="1"/>
    <col min="20" max="27" width="12.5" style="14"/>
    <col min="28" max="28" width="11.9140625" style="14" bestFit="1" customWidth="1"/>
    <col min="29" max="29" width="13.33203125" style="14" bestFit="1" customWidth="1"/>
    <col min="30" max="16384" width="12.5" style="14"/>
  </cols>
  <sheetData>
    <row r="1" spans="1:33" ht="35.25" customHeight="1" x14ac:dyDescent="0.3">
      <c r="B1" s="80" t="s">
        <v>243</v>
      </c>
      <c r="C1" s="81">
        <v>1000</v>
      </c>
      <c r="D1" s="82" t="s">
        <v>244</v>
      </c>
      <c r="E1" s="117">
        <f>T32</f>
        <v>5568.4615384615445</v>
      </c>
      <c r="F1" s="80" t="s">
        <v>245</v>
      </c>
      <c r="G1" s="81">
        <f>E1/C1</f>
        <v>5.5684615384615448</v>
      </c>
      <c r="H1" s="80" t="s">
        <v>246</v>
      </c>
      <c r="I1" s="283">
        <f>G1/K1</f>
        <v>5.7005945241199534</v>
      </c>
      <c r="J1" s="86" t="s">
        <v>247</v>
      </c>
      <c r="K1" s="327">
        <f>5.9/6.04</f>
        <v>0.97682119205298024</v>
      </c>
      <c r="L1" s="100"/>
      <c r="M1" s="89"/>
      <c r="N1" s="90"/>
      <c r="O1" s="91" t="s">
        <v>248</v>
      </c>
      <c r="P1" s="92" t="s">
        <v>301</v>
      </c>
      <c r="Q1" s="93" t="s">
        <v>250</v>
      </c>
      <c r="R1" s="92">
        <v>0.51</v>
      </c>
      <c r="Y1" s="91" t="s">
        <v>479</v>
      </c>
      <c r="Z1" s="847">
        <v>24130</v>
      </c>
      <c r="AA1" s="91" t="s">
        <v>600</v>
      </c>
      <c r="AB1" s="847">
        <v>0</v>
      </c>
      <c r="AC1" s="91" t="s">
        <v>587</v>
      </c>
      <c r="AD1" s="847">
        <v>158</v>
      </c>
      <c r="AE1" s="250"/>
      <c r="AF1" s="252"/>
      <c r="AG1" s="92"/>
    </row>
    <row r="2" spans="1:33" ht="12.75" customHeight="1" x14ac:dyDescent="0.3">
      <c r="A2" s="97"/>
      <c r="B2" s="1483" t="s">
        <v>105</v>
      </c>
      <c r="C2" s="1429"/>
      <c r="D2" s="1429"/>
      <c r="E2" s="1429"/>
      <c r="F2" s="1429"/>
      <c r="G2" s="1429"/>
      <c r="H2" s="1429"/>
      <c r="I2" s="1429"/>
      <c r="J2" s="1429"/>
      <c r="K2" s="1484"/>
      <c r="L2" s="293"/>
      <c r="M2" s="100"/>
      <c r="N2" s="100"/>
      <c r="O2" s="100"/>
      <c r="P2" s="100"/>
      <c r="Q2" s="100"/>
      <c r="R2" s="100"/>
      <c r="AE2" s="1391"/>
      <c r="AF2" s="1389"/>
      <c r="AG2" s="1389"/>
    </row>
    <row r="3" spans="1:33" ht="12.75" customHeight="1" x14ac:dyDescent="0.3">
      <c r="A3" s="97"/>
      <c r="B3" s="1388"/>
      <c r="C3" s="1388"/>
      <c r="D3" s="1388"/>
      <c r="E3" s="1388"/>
      <c r="F3" s="1388"/>
      <c r="G3" s="1388"/>
      <c r="H3" s="1388"/>
      <c r="I3" s="1388"/>
      <c r="J3" s="1388"/>
      <c r="K3" s="1451"/>
      <c r="L3" s="293"/>
      <c r="M3" s="100"/>
      <c r="N3" s="100"/>
      <c r="O3" s="100"/>
      <c r="P3" s="100"/>
      <c r="Q3" s="100"/>
      <c r="R3" s="100"/>
      <c r="AE3" s="1389"/>
      <c r="AF3" s="1389"/>
      <c r="AG3" s="1389"/>
    </row>
    <row r="4" spans="1:33" ht="35.25" customHeight="1" x14ac:dyDescent="0.25">
      <c r="A4" s="91" t="s">
        <v>1</v>
      </c>
      <c r="B4" s="91" t="s">
        <v>253</v>
      </c>
      <c r="C4" s="107" t="s">
        <v>254</v>
      </c>
      <c r="D4" s="91" t="s">
        <v>243</v>
      </c>
      <c r="E4" s="218" t="s">
        <v>246</v>
      </c>
      <c r="F4" s="108" t="s">
        <v>255</v>
      </c>
      <c r="G4" s="91" t="s">
        <v>256</v>
      </c>
      <c r="H4" s="107" t="s">
        <v>347</v>
      </c>
      <c r="I4" s="91" t="s">
        <v>258</v>
      </c>
      <c r="J4" s="91" t="s">
        <v>259</v>
      </c>
      <c r="K4" s="91" t="s">
        <v>260</v>
      </c>
      <c r="L4" s="91" t="s">
        <v>261</v>
      </c>
      <c r="M4" s="100"/>
      <c r="N4" s="100"/>
      <c r="O4" s="100"/>
      <c r="P4" s="100"/>
      <c r="AA4" s="251"/>
      <c r="AB4" s="253"/>
      <c r="AE4" s="251"/>
    </row>
    <row r="5" spans="1:33" ht="14.25" customHeight="1" x14ac:dyDescent="0.25">
      <c r="A5" s="266" t="s">
        <v>230</v>
      </c>
      <c r="B5" s="220" t="s">
        <v>232</v>
      </c>
      <c r="C5" s="115" t="s">
        <v>14</v>
      </c>
      <c r="D5" s="121">
        <f>I51/10</f>
        <v>6536.0784313725489</v>
      </c>
      <c r="E5" s="117">
        <f>H52</f>
        <v>5.5683501714581087</v>
      </c>
      <c r="F5" s="127">
        <v>1</v>
      </c>
      <c r="G5" s="119">
        <f t="shared" ref="G5:G15" si="0">D5*E5</f>
        <v>36395.173453996977</v>
      </c>
      <c r="H5" s="120">
        <f t="shared" ref="H5:H15" si="1">G5*F5</f>
        <v>36395.173453996977</v>
      </c>
      <c r="I5" s="81">
        <f>VLOOKUP(B5,All_Ingredients!$A$1:$F$151,6,FALSE())</f>
        <v>0.55000000000000004</v>
      </c>
      <c r="J5" s="119">
        <f>VLOOKUP(B5,All_Ingredients!$A$1:$J$151,10,FALSE())</f>
        <v>26.666666666666668</v>
      </c>
      <c r="K5" s="122">
        <f t="shared" ref="K5" si="2">(H5/I5)/1000</f>
        <v>66.173042643630865</v>
      </c>
      <c r="L5" s="122">
        <f t="shared" ref="L5" si="3">K5*J5</f>
        <v>1764.6144704968231</v>
      </c>
      <c r="M5" s="100"/>
      <c r="N5" s="100"/>
      <c r="O5" s="100"/>
      <c r="P5" s="100"/>
      <c r="AA5" s="92"/>
      <c r="AB5" s="133"/>
      <c r="AE5" s="136"/>
    </row>
    <row r="6" spans="1:33" ht="14.25" customHeight="1" x14ac:dyDescent="0.3">
      <c r="A6" s="128" t="s">
        <v>13</v>
      </c>
      <c r="B6" s="22" t="s">
        <v>792</v>
      </c>
      <c r="C6" s="124" t="s">
        <v>14</v>
      </c>
      <c r="D6" s="125">
        <v>25</v>
      </c>
      <c r="E6" s="197">
        <f t="shared" ref="E6:E15" si="4">$I$1</f>
        <v>5.7005945241199534</v>
      </c>
      <c r="F6" s="127">
        <v>0.95</v>
      </c>
      <c r="G6" s="119">
        <f t="shared" si="0"/>
        <v>142.51486310299885</v>
      </c>
      <c r="H6" s="120">
        <f t="shared" si="1"/>
        <v>135.38911994784888</v>
      </c>
      <c r="I6" s="81">
        <f>VLOOKUP(B6,All_Ingredients!$A$1:$F$151,6,FALSE())</f>
        <v>1</v>
      </c>
      <c r="J6" s="119">
        <f>VLOOKUP(B6,All_Ingredients!$A$1:$J$151,10,FALSE())</f>
        <v>10.5</v>
      </c>
      <c r="K6" s="122">
        <f t="shared" ref="K6:K15" si="5">(H6/I6)/1000</f>
        <v>0.13538911994784888</v>
      </c>
      <c r="L6" s="122">
        <f t="shared" ref="L6:L15" si="6">K6*J6</f>
        <v>1.4215857594524133</v>
      </c>
    </row>
    <row r="7" spans="1:33" ht="14.25" customHeight="1" x14ac:dyDescent="0.3">
      <c r="A7" s="128" t="s">
        <v>13</v>
      </c>
      <c r="B7" s="22" t="s">
        <v>12</v>
      </c>
      <c r="C7" s="124" t="s">
        <v>14</v>
      </c>
      <c r="D7" s="125">
        <v>200</v>
      </c>
      <c r="E7" s="197">
        <f t="shared" si="4"/>
        <v>5.7005945241199534</v>
      </c>
      <c r="F7" s="127">
        <v>0.95</v>
      </c>
      <c r="G7" s="119">
        <f t="shared" si="0"/>
        <v>1140.1189048239908</v>
      </c>
      <c r="H7" s="120">
        <f t="shared" si="1"/>
        <v>1083.1129595827911</v>
      </c>
      <c r="I7" s="81">
        <f>VLOOKUP(B7,All_Ingredients!$A$1:$F$151,6,FALSE())</f>
        <v>0.9</v>
      </c>
      <c r="J7" s="119">
        <f>VLOOKUP(B7,All_Ingredients!$A$1:$J$151,10,FALSE())</f>
        <v>3</v>
      </c>
      <c r="K7" s="122">
        <f t="shared" si="5"/>
        <v>1.2034588439808791</v>
      </c>
      <c r="L7" s="122">
        <f t="shared" si="6"/>
        <v>3.6103765319426371</v>
      </c>
    </row>
    <row r="8" spans="1:33" ht="14.25" customHeight="1" x14ac:dyDescent="0.3">
      <c r="A8" s="128" t="s">
        <v>196</v>
      </c>
      <c r="B8" s="22" t="s">
        <v>206</v>
      </c>
      <c r="C8" s="124" t="s">
        <v>14</v>
      </c>
      <c r="D8" s="125">
        <v>50</v>
      </c>
      <c r="E8" s="197">
        <f t="shared" si="4"/>
        <v>5.7005945241199534</v>
      </c>
      <c r="F8" s="127">
        <v>1</v>
      </c>
      <c r="G8" s="119">
        <f t="shared" si="0"/>
        <v>285.02972620599769</v>
      </c>
      <c r="H8" s="120">
        <f t="shared" si="1"/>
        <v>285.02972620599769</v>
      </c>
      <c r="I8" s="81">
        <f>VLOOKUP(B8,All_Ingredients!$A$1:$F$151,6,FALSE())</f>
        <v>1</v>
      </c>
      <c r="J8" s="119">
        <f>VLOOKUP(B8,All_Ingredients!$A$1:$J$151,10,FALSE())</f>
        <v>63.333333333333336</v>
      </c>
      <c r="K8" s="122">
        <f t="shared" si="5"/>
        <v>0.2850297262059977</v>
      </c>
      <c r="L8" s="122">
        <f t="shared" si="6"/>
        <v>18.05188265971319</v>
      </c>
    </row>
    <row r="9" spans="1:33" ht="14.25" customHeight="1" x14ac:dyDescent="0.3">
      <c r="A9" s="128" t="s">
        <v>97</v>
      </c>
      <c r="B9" s="22" t="s">
        <v>102</v>
      </c>
      <c r="C9" s="124" t="s">
        <v>14</v>
      </c>
      <c r="D9" s="125">
        <v>5</v>
      </c>
      <c r="E9" s="197">
        <f t="shared" si="4"/>
        <v>5.7005945241199534</v>
      </c>
      <c r="F9" s="127">
        <v>1</v>
      </c>
      <c r="G9" s="119">
        <f t="shared" si="0"/>
        <v>28.502972620599767</v>
      </c>
      <c r="H9" s="120">
        <f t="shared" si="1"/>
        <v>28.502972620599767</v>
      </c>
      <c r="I9" s="81">
        <f>VLOOKUP(B9,All_Ingredients!$A$1:$F$151,6,FALSE())</f>
        <v>1</v>
      </c>
      <c r="J9" s="119">
        <f>VLOOKUP(B9,All_Ingredients!$A$1:$J$151,10,FALSE())</f>
        <v>31</v>
      </c>
      <c r="K9" s="122">
        <f t="shared" si="5"/>
        <v>2.8502972620599767E-2</v>
      </c>
      <c r="L9" s="122">
        <f t="shared" si="6"/>
        <v>0.8835921512385928</v>
      </c>
    </row>
    <row r="10" spans="1:33" ht="14.25" customHeight="1" x14ac:dyDescent="0.3">
      <c r="A10" s="128" t="s">
        <v>97</v>
      </c>
      <c r="B10" s="22" t="s">
        <v>144</v>
      </c>
      <c r="C10" s="124" t="s">
        <v>14</v>
      </c>
      <c r="D10" s="125">
        <v>8</v>
      </c>
      <c r="E10" s="197">
        <f t="shared" si="4"/>
        <v>5.7005945241199534</v>
      </c>
      <c r="F10" s="127">
        <v>0.75</v>
      </c>
      <c r="G10" s="119">
        <f t="shared" si="0"/>
        <v>45.604756192959627</v>
      </c>
      <c r="H10" s="120">
        <f t="shared" si="1"/>
        <v>34.20356714471972</v>
      </c>
      <c r="I10" s="81">
        <f>VLOOKUP(B10,All_Ingredients!$A$1:$F$151,6,FALSE())</f>
        <v>1</v>
      </c>
      <c r="J10" s="119">
        <f>VLOOKUP(B10,All_Ingredients!$A$1:$J$151,10,FALSE())</f>
        <v>15.277777777777779</v>
      </c>
      <c r="K10" s="122">
        <f t="shared" si="5"/>
        <v>3.420356714471972E-2</v>
      </c>
      <c r="L10" s="122">
        <f t="shared" si="6"/>
        <v>0.52255449804432907</v>
      </c>
    </row>
    <row r="11" spans="1:33" ht="14.25" customHeight="1" x14ac:dyDescent="0.3">
      <c r="A11" s="128" t="s">
        <v>97</v>
      </c>
      <c r="B11" s="22" t="s">
        <v>96</v>
      </c>
      <c r="C11" s="124" t="s">
        <v>14</v>
      </c>
      <c r="D11" s="125">
        <v>5</v>
      </c>
      <c r="E11" s="197">
        <f t="shared" si="4"/>
        <v>5.7005945241199534</v>
      </c>
      <c r="F11" s="127">
        <v>1</v>
      </c>
      <c r="G11" s="119">
        <f t="shared" si="0"/>
        <v>28.502972620599767</v>
      </c>
      <c r="H11" s="120">
        <f t="shared" si="1"/>
        <v>28.502972620599767</v>
      </c>
      <c r="I11" s="81">
        <f>VLOOKUP(B11,All_Ingredients!$A$1:$F$151,6,FALSE())</f>
        <v>1</v>
      </c>
      <c r="J11" s="119">
        <f>VLOOKUP(B11,All_Ingredients!$A$1:$J$151,10,FALSE())</f>
        <v>0.74</v>
      </c>
      <c r="K11" s="122">
        <f t="shared" si="5"/>
        <v>2.8502972620599767E-2</v>
      </c>
      <c r="L11" s="122">
        <f t="shared" si="6"/>
        <v>2.1092199739243828E-2</v>
      </c>
    </row>
    <row r="12" spans="1:33" ht="14.25" customHeight="1" x14ac:dyDescent="0.3">
      <c r="A12" s="128" t="s">
        <v>13</v>
      </c>
      <c r="B12" s="22" t="s">
        <v>820</v>
      </c>
      <c r="C12" s="124" t="s">
        <v>14</v>
      </c>
      <c r="D12" s="125">
        <v>200</v>
      </c>
      <c r="E12" s="197">
        <f t="shared" si="4"/>
        <v>5.7005945241199534</v>
      </c>
      <c r="F12" s="127">
        <v>1</v>
      </c>
      <c r="G12" s="119">
        <f t="shared" si="0"/>
        <v>1140.1189048239908</v>
      </c>
      <c r="H12" s="120">
        <f t="shared" si="1"/>
        <v>1140.1189048239908</v>
      </c>
      <c r="I12" s="81">
        <f>VLOOKUP(B12,All_Ingredients!$A$1:$F$151,6,FALSE())</f>
        <v>1</v>
      </c>
      <c r="J12" s="119">
        <f>VLOOKUP(B12,All_Ingredients!$A$1:$J$151,10,FALSE())</f>
        <v>22</v>
      </c>
      <c r="K12" s="122">
        <f t="shared" si="5"/>
        <v>1.1401189048239908</v>
      </c>
      <c r="L12" s="122">
        <f t="shared" si="6"/>
        <v>25.082615906127799</v>
      </c>
    </row>
    <row r="13" spans="1:33" ht="14.25" customHeight="1" x14ac:dyDescent="0.3">
      <c r="A13" s="128" t="s">
        <v>13</v>
      </c>
      <c r="B13" s="22" t="s">
        <v>19</v>
      </c>
      <c r="C13" s="124" t="s">
        <v>14</v>
      </c>
      <c r="D13" s="125">
        <v>100</v>
      </c>
      <c r="E13" s="197">
        <f t="shared" si="4"/>
        <v>5.7005945241199534</v>
      </c>
      <c r="F13" s="127">
        <v>0.75</v>
      </c>
      <c r="G13" s="119">
        <f t="shared" si="0"/>
        <v>570.05945241199538</v>
      </c>
      <c r="H13" s="120">
        <f t="shared" si="1"/>
        <v>427.54458930899654</v>
      </c>
      <c r="I13" s="81">
        <f>VLOOKUP(B13,All_Ingredients!$A$1:$F$151,6,FALSE())</f>
        <v>0.84</v>
      </c>
      <c r="J13" s="119">
        <f>VLOOKUP(B13,All_Ingredients!$A$1:$J$151,10,FALSE())</f>
        <v>2.6</v>
      </c>
      <c r="K13" s="122">
        <f t="shared" si="5"/>
        <v>0.50898165393928163</v>
      </c>
      <c r="L13" s="122">
        <f t="shared" si="6"/>
        <v>1.3233523002421324</v>
      </c>
    </row>
    <row r="14" spans="1:33" ht="14.25" customHeight="1" x14ac:dyDescent="0.3">
      <c r="A14" s="128" t="s">
        <v>158</v>
      </c>
      <c r="B14" s="222" t="s">
        <v>171</v>
      </c>
      <c r="C14" s="124" t="s">
        <v>165</v>
      </c>
      <c r="D14" s="125">
        <v>700</v>
      </c>
      <c r="E14" s="197">
        <f t="shared" si="4"/>
        <v>5.7005945241199534</v>
      </c>
      <c r="F14" s="127">
        <v>1</v>
      </c>
      <c r="G14" s="119">
        <f t="shared" si="0"/>
        <v>3990.4161668839674</v>
      </c>
      <c r="H14" s="120">
        <f t="shared" si="1"/>
        <v>3990.4161668839674</v>
      </c>
      <c r="I14" s="81">
        <f>VLOOKUP(B14,All_Ingredients!$A$1:$F$151,6,FALSE())</f>
        <v>1</v>
      </c>
      <c r="J14" s="119">
        <f>VLOOKUP(B14,All_Ingredients!$A$1:$J$151,10,FALSE())</f>
        <v>12.666666666666666</v>
      </c>
      <c r="K14" s="122">
        <f t="shared" si="5"/>
        <v>3.9904161668839673</v>
      </c>
      <c r="L14" s="122">
        <f t="shared" si="6"/>
        <v>50.545271447196917</v>
      </c>
    </row>
    <row r="15" spans="1:33" ht="14.25" customHeight="1" x14ac:dyDescent="0.3">
      <c r="A15" s="128" t="s">
        <v>158</v>
      </c>
      <c r="B15" s="222" t="s">
        <v>157</v>
      </c>
      <c r="C15" s="124" t="s">
        <v>14</v>
      </c>
      <c r="D15" s="130">
        <v>40</v>
      </c>
      <c r="E15" s="197">
        <f t="shared" si="4"/>
        <v>5.7005945241199534</v>
      </c>
      <c r="F15" s="127">
        <v>1</v>
      </c>
      <c r="G15" s="119">
        <f t="shared" si="0"/>
        <v>228.02378096479814</v>
      </c>
      <c r="H15" s="120">
        <f t="shared" si="1"/>
        <v>228.02378096479814</v>
      </c>
      <c r="I15" s="81">
        <f>VLOOKUP(B15,All_Ingredients!$A$1:$F$151,6,FALSE())</f>
        <v>1</v>
      </c>
      <c r="J15" s="119">
        <f>VLOOKUP(B15,All_Ingredients!$A$1:$J$151,10,FALSE())</f>
        <v>30</v>
      </c>
      <c r="K15" s="122">
        <f t="shared" si="5"/>
        <v>0.22802378096479814</v>
      </c>
      <c r="L15" s="122">
        <f t="shared" si="6"/>
        <v>6.8407134289439444</v>
      </c>
    </row>
    <row r="17" spans="2:30" ht="14.25" customHeight="1" x14ac:dyDescent="0.3">
      <c r="L17" s="297"/>
    </row>
    <row r="18" spans="2:30" ht="14.25" customHeight="1" x14ac:dyDescent="0.3">
      <c r="L18" s="297"/>
    </row>
    <row r="19" spans="2:30" ht="14.25" customHeight="1" x14ac:dyDescent="0.3">
      <c r="L19" s="297"/>
    </row>
    <row r="20" spans="2:30" ht="14.25" customHeight="1" x14ac:dyDescent="0.3">
      <c r="L20" s="297"/>
    </row>
    <row r="21" spans="2:30" ht="14.25" customHeight="1" x14ac:dyDescent="0.3">
      <c r="L21" s="297"/>
    </row>
    <row r="22" spans="2:30" ht="14.25" customHeight="1" x14ac:dyDescent="0.3">
      <c r="L22" s="297"/>
    </row>
    <row r="23" spans="2:30" ht="23.75" customHeight="1" x14ac:dyDescent="0.3">
      <c r="B23" s="100"/>
      <c r="E23" s="100"/>
      <c r="F23" s="100"/>
      <c r="L23" s="297"/>
    </row>
    <row r="24" spans="2:30" ht="21.75" customHeight="1" x14ac:dyDescent="0.3">
      <c r="B24" s="100"/>
      <c r="E24" s="100"/>
      <c r="F24" s="100"/>
      <c r="L24" s="297"/>
      <c r="Z24" s="1234"/>
    </row>
    <row r="25" spans="2:30" ht="14.25" customHeight="1" x14ac:dyDescent="0.35">
      <c r="B25" s="100"/>
      <c r="E25" s="100"/>
      <c r="F25" s="100"/>
      <c r="L25" s="297"/>
      <c r="R25" s="1411" t="s">
        <v>433</v>
      </c>
      <c r="S25" s="1388"/>
      <c r="T25" s="1388"/>
      <c r="U25" s="1388"/>
      <c r="Z25" s="141" t="s">
        <v>264</v>
      </c>
      <c r="AA25" s="142">
        <v>24290</v>
      </c>
      <c r="AB25" s="141" t="s">
        <v>261</v>
      </c>
      <c r="AC25" s="143">
        <f>AD30*AA25</f>
        <v>1886.107124757606</v>
      </c>
    </row>
    <row r="26" spans="2:30" ht="14.25" customHeight="1" x14ac:dyDescent="0.3">
      <c r="B26" s="100"/>
      <c r="E26" s="100"/>
      <c r="F26" s="100"/>
      <c r="L26" s="297"/>
      <c r="R26" s="1423" t="s">
        <v>309</v>
      </c>
      <c r="S26" s="1388"/>
      <c r="T26" s="1388"/>
      <c r="U26" s="1388"/>
    </row>
    <row r="27" spans="2:30" ht="14.25" customHeight="1" thickBot="1" x14ac:dyDescent="0.35">
      <c r="B27" s="875"/>
      <c r="C27" s="1482"/>
      <c r="D27" s="1482"/>
      <c r="E27" s="1482"/>
      <c r="F27" s="1482"/>
      <c r="G27" s="1482"/>
      <c r="H27" s="876"/>
      <c r="R27" s="145" t="s">
        <v>266</v>
      </c>
      <c r="S27" s="146" t="s">
        <v>310</v>
      </c>
      <c r="T27" s="146" t="s">
        <v>268</v>
      </c>
      <c r="U27" s="146" t="s">
        <v>269</v>
      </c>
      <c r="V27" s="146" t="s">
        <v>848</v>
      </c>
      <c r="Z27" s="141" t="s">
        <v>270</v>
      </c>
      <c r="AA27" s="147" t="s">
        <v>271</v>
      </c>
      <c r="AB27" s="147" t="s">
        <v>272</v>
      </c>
      <c r="AC27" s="1186" t="s">
        <v>848</v>
      </c>
      <c r="AD27" s="147" t="s">
        <v>274</v>
      </c>
    </row>
    <row r="28" spans="2:30" ht="14.25" customHeight="1" thickBot="1" x14ac:dyDescent="0.35">
      <c r="B28" s="877"/>
      <c r="C28" s="878"/>
      <c r="D28" s="879"/>
      <c r="E28" s="877"/>
      <c r="F28" s="877"/>
      <c r="G28" s="879"/>
      <c r="H28" s="880"/>
      <c r="R28" s="148" t="s">
        <v>275</v>
      </c>
      <c r="S28" s="149">
        <f>U28*S40</f>
        <v>18561.538461538457</v>
      </c>
      <c r="T28" s="149">
        <f>U28*U40</f>
        <v>5568.4615384615445</v>
      </c>
      <c r="U28" s="150">
        <f>$Z$1</f>
        <v>24130</v>
      </c>
      <c r="V28" s="149">
        <f>SUM(H37)</f>
        <v>11.06</v>
      </c>
      <c r="Z28" s="151"/>
      <c r="AA28" s="152">
        <f>AA25*$S$40</f>
        <v>18684.615384615379</v>
      </c>
      <c r="AB28" s="152">
        <f>AA25*$U$40</f>
        <v>5605.3846153846207</v>
      </c>
      <c r="AC28" s="1188"/>
      <c r="AD28" s="154">
        <f>SUM(AA28:AC28)</f>
        <v>24290</v>
      </c>
    </row>
    <row r="29" spans="2:30" ht="14.25" customHeight="1" thickBot="1" x14ac:dyDescent="0.35">
      <c r="R29" s="148" t="s">
        <v>276</v>
      </c>
      <c r="S29" s="155"/>
      <c r="T29" s="149"/>
      <c r="U29" s="149" t="s">
        <v>322</v>
      </c>
      <c r="V29" s="149"/>
      <c r="Z29" s="151"/>
      <c r="AA29" s="156">
        <f>AA28/$AD$28</f>
        <v>0.76923076923076905</v>
      </c>
      <c r="AB29" s="156">
        <f>AB28/$AD$28</f>
        <v>0.23076923076923098</v>
      </c>
      <c r="AC29" s="1192"/>
      <c r="AD29" s="156">
        <f>AD28/$AD$28</f>
        <v>1</v>
      </c>
    </row>
    <row r="30" spans="2:30" ht="14.25" customHeight="1" thickBot="1" x14ac:dyDescent="0.35">
      <c r="R30" s="148" t="s">
        <v>277</v>
      </c>
      <c r="S30" s="1228">
        <f>U30*S40</f>
        <v>0</v>
      </c>
      <c r="T30" s="149">
        <f>U30*U40</f>
        <v>0</v>
      </c>
      <c r="U30" s="150">
        <f>$AB$1</f>
        <v>0</v>
      </c>
      <c r="V30" s="1143"/>
      <c r="Z30" s="141" t="s">
        <v>278</v>
      </c>
      <c r="AA30" s="157">
        <f>S35/(S28)</f>
        <v>9.5068330362448009E-2</v>
      </c>
      <c r="AB30" s="158">
        <f>T35/T32</f>
        <v>1.9449364269572233E-2</v>
      </c>
      <c r="AC30" s="1199">
        <f>V35/U32</f>
        <v>3.1731964678504259E-5</v>
      </c>
      <c r="AD30" s="1201">
        <f>SUMPRODUCT(AA30:AB30,AA29:AB29)+AC30</f>
        <v>7.7649531690309012E-2</v>
      </c>
    </row>
    <row r="31" spans="2:30" ht="14.25" customHeight="1" thickBot="1" x14ac:dyDescent="0.35">
      <c r="R31" s="148" t="s">
        <v>279</v>
      </c>
      <c r="S31" s="155"/>
      <c r="T31" s="149"/>
      <c r="U31" s="149"/>
      <c r="V31" s="149"/>
    </row>
    <row r="32" spans="2:30" ht="14.25" customHeight="1" thickBot="1" x14ac:dyDescent="0.35">
      <c r="R32" s="160" t="s">
        <v>269</v>
      </c>
      <c r="S32" s="149">
        <f>SUM(S28:S30)</f>
        <v>18561.538461538457</v>
      </c>
      <c r="T32" s="149">
        <f>SUM(T28:T30)</f>
        <v>5568.4615384615445</v>
      </c>
      <c r="U32" s="149">
        <f>SUM(U28:U30)</f>
        <v>24130</v>
      </c>
      <c r="V32" s="149">
        <f>SUM(V28:V30)</f>
        <v>11.06</v>
      </c>
    </row>
    <row r="33" spans="2:23" ht="14.25" customHeight="1" thickBot="1" x14ac:dyDescent="0.35">
      <c r="R33" s="161" t="s">
        <v>280</v>
      </c>
      <c r="S33" s="155"/>
      <c r="T33" s="155"/>
      <c r="U33" s="155"/>
      <c r="V33" s="155"/>
    </row>
    <row r="34" spans="2:23" ht="14.25" customHeight="1" thickBot="1" x14ac:dyDescent="0.35">
      <c r="R34" s="162" t="s">
        <v>281</v>
      </c>
      <c r="S34" s="155"/>
      <c r="T34" s="149"/>
      <c r="U34" s="155"/>
      <c r="V34" s="155"/>
    </row>
    <row r="35" spans="2:23" ht="14.25" customHeight="1" thickBot="1" x14ac:dyDescent="0.35">
      <c r="B35" s="1394" t="s">
        <v>716</v>
      </c>
      <c r="C35" s="1394"/>
      <c r="D35" s="1394"/>
      <c r="E35" s="1394"/>
      <c r="F35" s="1394"/>
      <c r="G35" s="882"/>
      <c r="H35" s="882"/>
      <c r="I35" s="889"/>
      <c r="J35" s="889"/>
      <c r="K35" s="889"/>
      <c r="L35" s="889"/>
      <c r="R35" s="163" t="s">
        <v>261</v>
      </c>
      <c r="S35" s="164">
        <f>$L$5</f>
        <v>1764.6144704968231</v>
      </c>
      <c r="T35" s="164">
        <f>SUM(L6:L15)</f>
        <v>108.30303688264119</v>
      </c>
      <c r="U35" s="1238">
        <f>S35+T35+V35</f>
        <v>1873.6831996871565</v>
      </c>
      <c r="V35" s="1203">
        <f>SUM(L37)</f>
        <v>0.76569230769230778</v>
      </c>
    </row>
    <row r="36" spans="2:23" ht="46.5" x14ac:dyDescent="0.3">
      <c r="B36" s="860" t="s">
        <v>253</v>
      </c>
      <c r="C36" s="860" t="s">
        <v>329</v>
      </c>
      <c r="D36" s="862" t="s">
        <v>671</v>
      </c>
      <c r="E36" s="859" t="s">
        <v>672</v>
      </c>
      <c r="F36" s="862" t="s">
        <v>673</v>
      </c>
      <c r="G36" s="882"/>
      <c r="H36" s="862" t="s">
        <v>673</v>
      </c>
      <c r="I36" s="862" t="s">
        <v>258</v>
      </c>
      <c r="J36" s="862" t="s">
        <v>259</v>
      </c>
      <c r="K36" s="862" t="s">
        <v>260</v>
      </c>
      <c r="L36" s="862" t="s">
        <v>261</v>
      </c>
    </row>
    <row r="37" spans="2:23" x14ac:dyDescent="0.3">
      <c r="B37" s="855" t="s">
        <v>746</v>
      </c>
      <c r="C37" s="856" t="s">
        <v>14</v>
      </c>
      <c r="D37" s="857">
        <v>7.0000000000000007E-2</v>
      </c>
      <c r="E37" s="855">
        <f>$AD$1</f>
        <v>158</v>
      </c>
      <c r="F37" s="855">
        <f>D37*E37</f>
        <v>11.06</v>
      </c>
      <c r="G37" s="881"/>
      <c r="H37" s="855">
        <f>F37</f>
        <v>11.06</v>
      </c>
      <c r="I37" s="855">
        <f>VLOOKUP(B37,All_Ingredients!$A$1:$F$151,6,FALSE())</f>
        <v>0.65</v>
      </c>
      <c r="J37" s="855">
        <f>VLOOKUP(B37,All_Ingredients!$A$1:$J$151,10,FALSE())</f>
        <v>45</v>
      </c>
      <c r="K37" s="855">
        <f>(H37/I37)/1000</f>
        <v>1.7015384615384616E-2</v>
      </c>
      <c r="L37" s="855">
        <f>K37*J37</f>
        <v>0.76569230769230778</v>
      </c>
    </row>
    <row r="39" spans="2:23" ht="14" customHeight="1" x14ac:dyDescent="0.3"/>
    <row r="40" spans="2:23" ht="14" customHeight="1" x14ac:dyDescent="0.3">
      <c r="R40" s="165" t="s">
        <v>282</v>
      </c>
      <c r="S40" s="166">
        <v>0.76923076923076905</v>
      </c>
      <c r="T40" s="165" t="s">
        <v>283</v>
      </c>
      <c r="U40" s="167">
        <v>0.230769230769231</v>
      </c>
      <c r="V40" s="168">
        <f>S40+U40</f>
        <v>1</v>
      </c>
    </row>
    <row r="41" spans="2:23" ht="14.25" customHeight="1" x14ac:dyDescent="0.3">
      <c r="U41" s="169"/>
    </row>
    <row r="42" spans="2:23" ht="14.25" customHeight="1" x14ac:dyDescent="0.3"/>
    <row r="43" spans="2:23" ht="14.25" customHeight="1" x14ac:dyDescent="0.3">
      <c r="Q43" s="170" t="s">
        <v>284</v>
      </c>
      <c r="R43" s="170" t="s">
        <v>285</v>
      </c>
      <c r="S43" s="170" t="s">
        <v>286</v>
      </c>
      <c r="T43" s="170" t="s">
        <v>287</v>
      </c>
      <c r="U43" s="170" t="s">
        <v>288</v>
      </c>
      <c r="V43" s="170" t="s">
        <v>289</v>
      </c>
      <c r="W43" s="258" t="s">
        <v>290</v>
      </c>
    </row>
    <row r="44" spans="2:23" ht="14.25" customHeight="1" x14ac:dyDescent="0.3">
      <c r="Q44" s="172">
        <v>43334</v>
      </c>
      <c r="R44" s="173">
        <f>D51</f>
        <v>10000</v>
      </c>
      <c r="S44" s="174">
        <v>1</v>
      </c>
      <c r="T44" s="174">
        <v>0</v>
      </c>
      <c r="U44" s="242">
        <f>R44*S44</f>
        <v>10000</v>
      </c>
      <c r="V44" s="176">
        <f>R44*T44</f>
        <v>0</v>
      </c>
      <c r="W44" s="260">
        <f>Q44-U44</f>
        <v>33334</v>
      </c>
    </row>
    <row r="50" spans="1:10" x14ac:dyDescent="0.3">
      <c r="B50" s="276"/>
      <c r="C50" s="145" t="s">
        <v>245</v>
      </c>
      <c r="D50" s="145" t="s">
        <v>291</v>
      </c>
      <c r="E50" s="100"/>
      <c r="F50" s="100"/>
      <c r="G50" s="145" t="s">
        <v>292</v>
      </c>
      <c r="H50" s="145" t="s">
        <v>245</v>
      </c>
      <c r="I50" s="145" t="s">
        <v>293</v>
      </c>
      <c r="J50" s="145" t="s">
        <v>294</v>
      </c>
    </row>
    <row r="51" spans="1:10" x14ac:dyDescent="0.3">
      <c r="B51" s="180" t="s">
        <v>295</v>
      </c>
      <c r="C51" s="181">
        <f>10/$K$1</f>
        <v>10.23728813559322</v>
      </c>
      <c r="D51" s="182">
        <f>$C$1*10</f>
        <v>10000</v>
      </c>
      <c r="E51" s="183"/>
      <c r="F51" s="100"/>
      <c r="G51" s="180" t="s">
        <v>295</v>
      </c>
      <c r="H51" s="277">
        <f>I51/$D$5</f>
        <v>10</v>
      </c>
      <c r="I51" s="181">
        <f>J51/$R$1</f>
        <v>65360.784313725489</v>
      </c>
      <c r="J51" s="181">
        <f>$W$44</f>
        <v>33334</v>
      </c>
    </row>
    <row r="52" spans="1:10" x14ac:dyDescent="0.3">
      <c r="B52" s="231" t="s">
        <v>274</v>
      </c>
      <c r="C52" s="232">
        <f>$I$1</f>
        <v>5.7005945241199534</v>
      </c>
      <c r="D52" s="233">
        <f>$E$1</f>
        <v>5568.4615384615445</v>
      </c>
      <c r="E52" s="100"/>
      <c r="F52" s="100"/>
      <c r="G52" s="148" t="s">
        <v>274</v>
      </c>
      <c r="H52" s="210">
        <f>I52/$D$5</f>
        <v>5.5683501714581087</v>
      </c>
      <c r="I52" s="176">
        <f>J52/$R$1</f>
        <v>36395.173453996977</v>
      </c>
      <c r="J52" s="184">
        <f>$S$32</f>
        <v>18561.538461538457</v>
      </c>
    </row>
    <row r="53" spans="1:10" x14ac:dyDescent="0.3">
      <c r="B53" s="231" t="s">
        <v>296</v>
      </c>
      <c r="C53" s="234">
        <f>MIN(C52, C51)</f>
        <v>5.7005945241199534</v>
      </c>
      <c r="D53" s="233">
        <f>(C53*$K$1)*$C$1</f>
        <v>5568.4615384615445</v>
      </c>
      <c r="E53" s="100"/>
      <c r="F53" s="100"/>
      <c r="G53" s="148" t="s">
        <v>296</v>
      </c>
      <c r="H53" s="187">
        <f>MIN(H52,H51)</f>
        <v>5.5683501714581087</v>
      </c>
      <c r="I53" s="176">
        <f>J53/$R$1</f>
        <v>36395.173453996977</v>
      </c>
      <c r="J53" s="176">
        <f>MIN(J52,J51)</f>
        <v>18561.538461538457</v>
      </c>
    </row>
    <row r="54" spans="1:10" x14ac:dyDescent="0.3">
      <c r="B54" s="231" t="s">
        <v>297</v>
      </c>
      <c r="C54" s="234">
        <f>MIN(MAX(C52-C53,0),C51)</f>
        <v>0</v>
      </c>
      <c r="D54" s="233">
        <f>(C54*$K$1)*$C$1</f>
        <v>0</v>
      </c>
      <c r="E54" s="100"/>
      <c r="F54" s="100"/>
      <c r="G54" s="148" t="s">
        <v>297</v>
      </c>
      <c r="H54" s="187">
        <f>MIN(MAX(H52-H53),H51)</f>
        <v>0</v>
      </c>
      <c r="I54" s="176">
        <f>J54/$R$1</f>
        <v>0</v>
      </c>
      <c r="J54" s="176">
        <f>MIN(MAX(J52-J53),J51)</f>
        <v>0</v>
      </c>
    </row>
    <row r="55" spans="1:10" x14ac:dyDescent="0.3">
      <c r="B55" s="231" t="s">
        <v>298</v>
      </c>
      <c r="C55" s="234">
        <f>MIN(MAX(C52-C53-C54,0),C51)</f>
        <v>0</v>
      </c>
      <c r="D55" s="233">
        <f>(C55*$K$1)*$C$1</f>
        <v>0</v>
      </c>
      <c r="E55" s="100"/>
      <c r="F55" s="100"/>
      <c r="G55" s="145" t="s">
        <v>298</v>
      </c>
      <c r="H55" s="187">
        <f>MIN(MAX(H52-H53-H54),H51)</f>
        <v>0</v>
      </c>
      <c r="I55" s="176">
        <f>J55/$R$1</f>
        <v>0</v>
      </c>
      <c r="J55" s="176">
        <f>MIN(MAX(J52-J53-J54),J51)</f>
        <v>0</v>
      </c>
    </row>
    <row r="62" spans="1:10" ht="17.75" customHeight="1" x14ac:dyDescent="0.3">
      <c r="A62" s="937"/>
      <c r="B62" s="1382" t="str">
        <f>"بيف امانسي   1 / " &amp; COUNTIF($C$53:$C$55, "&gt;0")</f>
        <v>بيف امانسي   1 / 1</v>
      </c>
      <c r="C62" s="1383"/>
      <c r="D62" s="1383"/>
      <c r="E62" s="1383"/>
      <c r="F62" s="1383"/>
      <c r="G62" s="1383"/>
      <c r="H62" s="1383"/>
    </row>
    <row r="63" spans="1:10" ht="17.75" customHeight="1" x14ac:dyDescent="0.3">
      <c r="A63" s="937"/>
      <c r="B63" s="1384" t="str">
        <f>"Beef Amansi   1 / " &amp; COUNTIF($C$53:$C$55, "&gt;0")</f>
        <v>Beef Amansi   1 / 1</v>
      </c>
      <c r="C63" s="1385"/>
      <c r="D63" s="1385"/>
      <c r="E63" s="1385"/>
      <c r="F63" s="1385"/>
      <c r="G63" s="1385"/>
      <c r="H63" s="1385"/>
    </row>
    <row r="64" spans="1:10" ht="25.5" customHeight="1" x14ac:dyDescent="0.25">
      <c r="A64" s="91"/>
      <c r="B64" s="243" t="s">
        <v>253</v>
      </c>
      <c r="C64" s="244" t="s">
        <v>254</v>
      </c>
      <c r="D64" s="245" t="s">
        <v>243</v>
      </c>
      <c r="E64" s="218" t="s">
        <v>246</v>
      </c>
      <c r="F64" s="218" t="s">
        <v>255</v>
      </c>
      <c r="G64" s="245" t="s">
        <v>256</v>
      </c>
      <c r="H64" s="218" t="s">
        <v>257</v>
      </c>
    </row>
    <row r="65" spans="1:8" ht="14.25" customHeight="1" x14ac:dyDescent="0.3">
      <c r="A65" s="128" t="s">
        <v>230</v>
      </c>
      <c r="B65" s="323" t="str">
        <f t="shared" ref="B65:D75" si="7">B5</f>
        <v>Indian Meat Alana  - لحم هندى ألانا</v>
      </c>
      <c r="C65" s="124" t="str">
        <f t="shared" si="7"/>
        <v>gm</v>
      </c>
      <c r="D65" s="116">
        <f t="shared" si="7"/>
        <v>6536.0784313725489</v>
      </c>
      <c r="E65" s="126">
        <f>H53</f>
        <v>5.5683501714581087</v>
      </c>
      <c r="F65" s="127">
        <f t="shared" ref="F65:F75" si="8">F5</f>
        <v>1</v>
      </c>
      <c r="G65" s="119">
        <f t="shared" ref="G65:G75" si="9">D65*E65</f>
        <v>36395.173453996977</v>
      </c>
      <c r="H65" s="120">
        <f t="shared" ref="H65:H75" si="10">G65*F65</f>
        <v>36395.173453996977</v>
      </c>
    </row>
    <row r="66" spans="1:8" ht="14.25" customHeight="1" x14ac:dyDescent="0.3">
      <c r="A66" s="128" t="s">
        <v>13</v>
      </c>
      <c r="B66" s="323" t="str">
        <f t="shared" si="7"/>
        <v>Garlic - ثوم مقشر</v>
      </c>
      <c r="C66" s="124" t="str">
        <f t="shared" si="7"/>
        <v>gm</v>
      </c>
      <c r="D66" s="125">
        <f t="shared" si="7"/>
        <v>25</v>
      </c>
      <c r="E66" s="126">
        <f>$C$53</f>
        <v>5.7005945241199534</v>
      </c>
      <c r="F66" s="127">
        <f t="shared" si="8"/>
        <v>0.95</v>
      </c>
      <c r="G66" s="119">
        <f t="shared" si="9"/>
        <v>142.51486310299885</v>
      </c>
      <c r="H66" s="120">
        <f t="shared" si="10"/>
        <v>135.38911994784888</v>
      </c>
    </row>
    <row r="67" spans="1:8" ht="14.25" customHeight="1" x14ac:dyDescent="0.3">
      <c r="A67" s="128" t="s">
        <v>13</v>
      </c>
      <c r="B67" s="323" t="str">
        <f t="shared" si="7"/>
        <v>Onion - بصل</v>
      </c>
      <c r="C67" s="124" t="str">
        <f t="shared" si="7"/>
        <v>gm</v>
      </c>
      <c r="D67" s="125">
        <f t="shared" si="7"/>
        <v>200</v>
      </c>
      <c r="E67" s="126">
        <f t="shared" ref="E67:E75" si="11">$C$53</f>
        <v>5.7005945241199534</v>
      </c>
      <c r="F67" s="127">
        <f t="shared" si="8"/>
        <v>0.95</v>
      </c>
      <c r="G67" s="119">
        <f t="shared" si="9"/>
        <v>1140.1189048239908</v>
      </c>
      <c r="H67" s="120">
        <f t="shared" si="10"/>
        <v>1083.1129595827911</v>
      </c>
    </row>
    <row r="68" spans="1:8" ht="14.25" customHeight="1" x14ac:dyDescent="0.3">
      <c r="A68" s="128" t="s">
        <v>196</v>
      </c>
      <c r="B68" s="323" t="str">
        <f t="shared" si="7"/>
        <v>Demi Glaze Sauce - صوص ديمي غلاز</v>
      </c>
      <c r="C68" s="124" t="str">
        <f t="shared" si="7"/>
        <v>gm</v>
      </c>
      <c r="D68" s="125">
        <f t="shared" si="7"/>
        <v>50</v>
      </c>
      <c r="E68" s="126">
        <f t="shared" si="11"/>
        <v>5.7005945241199534</v>
      </c>
      <c r="F68" s="127">
        <f t="shared" si="8"/>
        <v>1</v>
      </c>
      <c r="G68" s="119">
        <f t="shared" si="9"/>
        <v>285.02972620599769</v>
      </c>
      <c r="H68" s="120">
        <f t="shared" si="10"/>
        <v>285.02972620599769</v>
      </c>
    </row>
    <row r="69" spans="1:8" ht="14.25" customHeight="1" x14ac:dyDescent="0.3">
      <c r="A69" s="128" t="s">
        <v>97</v>
      </c>
      <c r="B69" s="323" t="str">
        <f t="shared" si="7"/>
        <v>Black Pepper Powder - فلفل أسود مطحون</v>
      </c>
      <c r="C69" s="124" t="str">
        <f t="shared" si="7"/>
        <v>gm</v>
      </c>
      <c r="D69" s="125">
        <f t="shared" si="7"/>
        <v>5</v>
      </c>
      <c r="E69" s="126">
        <f t="shared" si="11"/>
        <v>5.7005945241199534</v>
      </c>
      <c r="F69" s="127">
        <f t="shared" si="8"/>
        <v>1</v>
      </c>
      <c r="G69" s="119">
        <f t="shared" si="9"/>
        <v>28.502972620599767</v>
      </c>
      <c r="H69" s="120">
        <f t="shared" si="10"/>
        <v>28.502972620599767</v>
      </c>
    </row>
    <row r="70" spans="1:8" ht="14.25" customHeight="1" x14ac:dyDescent="0.3">
      <c r="A70" s="128" t="s">
        <v>97</v>
      </c>
      <c r="B70" s="323" t="str">
        <f t="shared" si="7"/>
        <v>Maggi Cubes - مكعبات ماجي</v>
      </c>
      <c r="C70" s="124" t="str">
        <f t="shared" si="7"/>
        <v>gm</v>
      </c>
      <c r="D70" s="125">
        <f t="shared" si="7"/>
        <v>8</v>
      </c>
      <c r="E70" s="126">
        <f t="shared" si="11"/>
        <v>5.7005945241199534</v>
      </c>
      <c r="F70" s="127">
        <f t="shared" si="8"/>
        <v>0.75</v>
      </c>
      <c r="G70" s="119">
        <f t="shared" si="9"/>
        <v>45.604756192959627</v>
      </c>
      <c r="H70" s="120">
        <f t="shared" si="10"/>
        <v>34.20356714471972</v>
      </c>
    </row>
    <row r="71" spans="1:8" ht="14.25" customHeight="1" x14ac:dyDescent="0.3">
      <c r="A71" s="128" t="s">
        <v>97</v>
      </c>
      <c r="B71" s="323" t="str">
        <f t="shared" si="7"/>
        <v>Salt - ملح</v>
      </c>
      <c r="C71" s="124" t="str">
        <f t="shared" si="7"/>
        <v>gm</v>
      </c>
      <c r="D71" s="125">
        <f t="shared" si="7"/>
        <v>5</v>
      </c>
      <c r="E71" s="126">
        <f t="shared" si="11"/>
        <v>5.7005945241199534</v>
      </c>
      <c r="F71" s="127">
        <f t="shared" si="8"/>
        <v>1</v>
      </c>
      <c r="G71" s="119">
        <f t="shared" si="9"/>
        <v>28.502972620599767</v>
      </c>
      <c r="H71" s="120">
        <f t="shared" si="10"/>
        <v>28.502972620599767</v>
      </c>
    </row>
    <row r="72" spans="1:8" ht="14.25" customHeight="1" x14ac:dyDescent="0.3">
      <c r="A72" s="128" t="s">
        <v>13</v>
      </c>
      <c r="B72" s="323" t="str">
        <f t="shared" si="7"/>
        <v>Mushroom - مشروم ابيض</v>
      </c>
      <c r="C72" s="124" t="str">
        <f t="shared" si="7"/>
        <v>gm</v>
      </c>
      <c r="D72" s="125">
        <f t="shared" si="7"/>
        <v>200</v>
      </c>
      <c r="E72" s="126">
        <f t="shared" si="11"/>
        <v>5.7005945241199534</v>
      </c>
      <c r="F72" s="127">
        <f t="shared" si="8"/>
        <v>1</v>
      </c>
      <c r="G72" s="119">
        <f t="shared" si="9"/>
        <v>1140.1189048239908</v>
      </c>
      <c r="H72" s="120">
        <f t="shared" si="10"/>
        <v>1140.1189048239908</v>
      </c>
    </row>
    <row r="73" spans="1:8" ht="14.25" customHeight="1" x14ac:dyDescent="0.3">
      <c r="A73" s="128" t="s">
        <v>13</v>
      </c>
      <c r="B73" s="323" t="str">
        <f t="shared" si="7"/>
        <v>Carrot - جزر</v>
      </c>
      <c r="C73" s="124" t="str">
        <f t="shared" si="7"/>
        <v>gm</v>
      </c>
      <c r="D73" s="125">
        <f t="shared" si="7"/>
        <v>100</v>
      </c>
      <c r="E73" s="126">
        <f t="shared" si="11"/>
        <v>5.7005945241199534</v>
      </c>
      <c r="F73" s="127">
        <f t="shared" si="8"/>
        <v>0.75</v>
      </c>
      <c r="G73" s="119">
        <f t="shared" si="9"/>
        <v>570.05945241199538</v>
      </c>
      <c r="H73" s="120">
        <f t="shared" si="10"/>
        <v>427.54458930899654</v>
      </c>
    </row>
    <row r="74" spans="1:8" ht="14.25" customHeight="1" x14ac:dyDescent="0.3">
      <c r="A74" s="128" t="s">
        <v>158</v>
      </c>
      <c r="B74" s="323" t="str">
        <f t="shared" si="7"/>
        <v>Cooking Cream - كريمة طبخ</v>
      </c>
      <c r="C74" s="124" t="str">
        <f t="shared" si="7"/>
        <v>ml</v>
      </c>
      <c r="D74" s="125">
        <f t="shared" si="7"/>
        <v>700</v>
      </c>
      <c r="E74" s="126">
        <f t="shared" si="11"/>
        <v>5.7005945241199534</v>
      </c>
      <c r="F74" s="127">
        <f t="shared" si="8"/>
        <v>1</v>
      </c>
      <c r="G74" s="119">
        <f t="shared" si="9"/>
        <v>3990.4161668839674</v>
      </c>
      <c r="H74" s="120">
        <f t="shared" si="10"/>
        <v>3990.4161668839674</v>
      </c>
    </row>
    <row r="75" spans="1:8" ht="14.25" customHeight="1" x14ac:dyDescent="0.3">
      <c r="A75" s="128" t="s">
        <v>158</v>
      </c>
      <c r="B75" s="323" t="str">
        <f t="shared" si="7"/>
        <v>Butter - زبدة</v>
      </c>
      <c r="C75" s="124" t="str">
        <f t="shared" si="7"/>
        <v>gm</v>
      </c>
      <c r="D75" s="125">
        <f t="shared" si="7"/>
        <v>40</v>
      </c>
      <c r="E75" s="126">
        <f t="shared" si="11"/>
        <v>5.7005945241199534</v>
      </c>
      <c r="F75" s="127">
        <f t="shared" si="8"/>
        <v>1</v>
      </c>
      <c r="G75" s="119">
        <f t="shared" si="9"/>
        <v>228.02378096479814</v>
      </c>
      <c r="H75" s="120">
        <f t="shared" si="10"/>
        <v>228.02378096479814</v>
      </c>
    </row>
    <row r="76" spans="1:8" ht="20.25" customHeight="1" x14ac:dyDescent="0.3">
      <c r="A76" s="211"/>
      <c r="B76" s="198" t="s">
        <v>299</v>
      </c>
      <c r="C76" s="200" t="s">
        <v>285</v>
      </c>
      <c r="E76" s="200" t="s">
        <v>300</v>
      </c>
      <c r="G76" s="890" t="s">
        <v>276</v>
      </c>
      <c r="H76" s="890" t="s">
        <v>733</v>
      </c>
    </row>
    <row r="77" spans="1:8" ht="20" x14ac:dyDescent="0.4">
      <c r="A77" s="211"/>
      <c r="B77" s="199">
        <f>$J$53</f>
        <v>18561.538461538457</v>
      </c>
      <c r="C77" s="199">
        <f>E77+G77</f>
        <v>5568.4615384615445</v>
      </c>
      <c r="D77" s="930"/>
      <c r="E77" s="199">
        <f>$D$53*$S$44</f>
        <v>5568.4615384615445</v>
      </c>
      <c r="F77" s="934"/>
      <c r="G77" s="199">
        <f>$D$53*$T$44</f>
        <v>0</v>
      </c>
      <c r="H77" s="199">
        <f>B77+E77</f>
        <v>24130</v>
      </c>
    </row>
  </sheetData>
  <mergeCells count="8">
    <mergeCell ref="B63:H63"/>
    <mergeCell ref="AE2:AG3"/>
    <mergeCell ref="R26:U26"/>
    <mergeCell ref="B62:H62"/>
    <mergeCell ref="R25:U25"/>
    <mergeCell ref="B2:K3"/>
    <mergeCell ref="C27:G27"/>
    <mergeCell ref="B35:F35"/>
  </mergeCells>
  <printOptions horizontalCentered="1"/>
  <pageMargins left="0.5" right="0.5" top="1" bottom="0.5" header="0.3" footer="0.511811023622047"/>
  <pageSetup paperSize="9" scale="31" orientation="portrait" r:id="rId1"/>
  <legacyDrawing r:id="rId2"/>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rgb="FF7C7C7C"/>
    <pageSetUpPr fitToPage="1"/>
  </sheetPr>
  <dimension ref="A1:AT107"/>
  <sheetViews>
    <sheetView topLeftCell="Q4" zoomScale="70" zoomScaleNormal="70" workbookViewId="0">
      <selection activeCell="I36" sqref="I36:L37"/>
    </sheetView>
  </sheetViews>
  <sheetFormatPr defaultColWidth="12.5" defaultRowHeight="14" x14ac:dyDescent="0.3"/>
  <cols>
    <col min="1" max="1" width="12.5" style="79" customWidth="1"/>
    <col min="2" max="2" width="33.5" style="14" customWidth="1"/>
    <col min="3" max="3" width="18.6640625" style="14" customWidth="1"/>
    <col min="4" max="4" width="19" style="14" customWidth="1"/>
    <col min="5" max="5" width="18.9140625" style="14" customWidth="1"/>
    <col min="6" max="6" width="23.08203125" style="14" customWidth="1"/>
    <col min="7" max="7" width="25.1640625" style="14" customWidth="1"/>
    <col min="8" max="8" width="36.1640625" style="14" customWidth="1"/>
    <col min="9" max="9" width="17.9140625" style="14" customWidth="1"/>
    <col min="10" max="11" width="12.5" style="14" customWidth="1"/>
    <col min="12" max="12" width="8.33203125" style="14" customWidth="1"/>
    <col min="13" max="14" width="4" style="14" customWidth="1"/>
    <col min="15" max="17" width="12.5" style="14" customWidth="1"/>
    <col min="18" max="18" width="32.83203125" style="14" customWidth="1"/>
    <col min="19" max="19" width="16.58203125" style="14" customWidth="1"/>
    <col min="20" max="27" width="12.5" style="14" customWidth="1"/>
    <col min="28" max="28" width="11.9140625" style="14" bestFit="1" customWidth="1"/>
    <col min="29" max="29" width="13.33203125" style="14" bestFit="1" customWidth="1"/>
    <col min="30" max="30" width="11.58203125" style="14" bestFit="1" customWidth="1"/>
    <col min="31" max="35" width="4.75" style="14" customWidth="1"/>
    <col min="36" max="36" width="33.83203125" style="14" customWidth="1"/>
    <col min="37" max="41" width="12.5" style="14"/>
    <col min="42" max="42" width="15.75" style="14" customWidth="1"/>
    <col min="43" max="16384" width="12.5" style="14"/>
  </cols>
  <sheetData>
    <row r="1" spans="1:46" ht="35.25" customHeight="1" x14ac:dyDescent="0.3">
      <c r="B1" s="80" t="s">
        <v>243</v>
      </c>
      <c r="C1" s="81">
        <v>1000</v>
      </c>
      <c r="D1" s="82" t="s">
        <v>244</v>
      </c>
      <c r="E1" s="83">
        <f>T32</f>
        <v>10980.000000000011</v>
      </c>
      <c r="F1" s="80" t="s">
        <v>245</v>
      </c>
      <c r="G1" s="81">
        <f>E1/C1</f>
        <v>10.980000000000011</v>
      </c>
      <c r="H1" s="80" t="s">
        <v>246</v>
      </c>
      <c r="I1" s="282">
        <f>(G1/K1)</f>
        <v>11.090909090909102</v>
      </c>
      <c r="J1" s="86" t="s">
        <v>247</v>
      </c>
      <c r="K1" s="283">
        <v>0.99</v>
      </c>
      <c r="L1" s="100"/>
      <c r="M1" s="89"/>
      <c r="N1" s="90"/>
      <c r="O1" s="91" t="s">
        <v>248</v>
      </c>
      <c r="P1" s="92" t="s">
        <v>344</v>
      </c>
      <c r="Q1" s="93" t="s">
        <v>250</v>
      </c>
      <c r="R1" s="92">
        <v>0.57999999999999996</v>
      </c>
      <c r="S1" s="100"/>
      <c r="Y1" s="91" t="s">
        <v>479</v>
      </c>
      <c r="Z1" s="847">
        <v>47080</v>
      </c>
      <c r="AA1" s="91" t="s">
        <v>600</v>
      </c>
      <c r="AB1" s="847">
        <v>500</v>
      </c>
      <c r="AC1" s="91" t="s">
        <v>587</v>
      </c>
      <c r="AD1" s="847">
        <v>330</v>
      </c>
      <c r="AE1" s="251"/>
      <c r="AF1" s="252"/>
      <c r="AG1" s="92"/>
      <c r="AJ1" s="94" t="s">
        <v>262</v>
      </c>
      <c r="AK1" s="94">
        <v>10000</v>
      </c>
      <c r="AL1" s="628" t="s">
        <v>520</v>
      </c>
      <c r="AM1" s="629">
        <f>$S$32</f>
        <v>36599.999999999993</v>
      </c>
      <c r="AN1" s="94" t="s">
        <v>251</v>
      </c>
      <c r="AO1" s="96">
        <f>($S$32/$R$1)/$AK$1</f>
        <v>6.3103448275862055</v>
      </c>
      <c r="AP1" s="95"/>
    </row>
    <row r="2" spans="1:46" ht="12.75" customHeight="1" x14ac:dyDescent="0.3">
      <c r="A2" s="97"/>
      <c r="B2" s="1387" t="s">
        <v>107</v>
      </c>
      <c r="C2" s="1389"/>
      <c r="D2" s="1389"/>
      <c r="E2" s="1389"/>
      <c r="F2" s="1389"/>
      <c r="G2" s="1389"/>
      <c r="H2" s="1389"/>
      <c r="I2" s="1389"/>
      <c r="J2" s="1389"/>
      <c r="K2" s="1425"/>
      <c r="L2" s="293"/>
      <c r="M2" s="100"/>
      <c r="N2" s="100"/>
      <c r="O2" s="100"/>
      <c r="P2" s="100"/>
      <c r="Q2" s="100"/>
      <c r="R2" s="100"/>
      <c r="S2" s="100"/>
      <c r="AC2" s="99"/>
      <c r="AD2" s="99"/>
      <c r="AE2" s="1391"/>
      <c r="AF2" s="1389"/>
      <c r="AG2" s="1389"/>
      <c r="AJ2" s="101"/>
      <c r="AK2" s="101"/>
      <c r="AL2" s="1386" t="s">
        <v>434</v>
      </c>
      <c r="AM2" s="1386"/>
      <c r="AN2" s="102"/>
      <c r="AO2" s="101"/>
      <c r="AP2" s="101"/>
    </row>
    <row r="3" spans="1:46" ht="12.75" customHeight="1" x14ac:dyDescent="0.3">
      <c r="A3" s="97"/>
      <c r="B3" s="1388"/>
      <c r="C3" s="1388"/>
      <c r="D3" s="1388"/>
      <c r="E3" s="1388"/>
      <c r="F3" s="1388"/>
      <c r="G3" s="1388"/>
      <c r="H3" s="1388"/>
      <c r="I3" s="1388"/>
      <c r="J3" s="1388"/>
      <c r="K3" s="1426"/>
      <c r="L3" s="293"/>
      <c r="M3" s="100"/>
      <c r="N3" s="100"/>
      <c r="O3" s="100"/>
      <c r="P3" s="100"/>
      <c r="Q3" s="100"/>
      <c r="R3" s="100"/>
      <c r="S3" s="100"/>
      <c r="AC3" s="99"/>
      <c r="AD3" s="99"/>
      <c r="AE3" s="1389"/>
      <c r="AF3" s="1389"/>
      <c r="AG3" s="1389"/>
      <c r="AJ3" s="373"/>
      <c r="AK3" s="104"/>
      <c r="AL3" s="105"/>
      <c r="AM3" s="105"/>
      <c r="AN3" s="105"/>
      <c r="AO3" s="104"/>
      <c r="AP3" s="104"/>
    </row>
    <row r="4" spans="1:46" ht="69" customHeight="1" x14ac:dyDescent="0.25">
      <c r="A4" s="91" t="s">
        <v>1</v>
      </c>
      <c r="B4" s="91" t="s">
        <v>253</v>
      </c>
      <c r="C4" s="107" t="s">
        <v>254</v>
      </c>
      <c r="D4" s="91" t="s">
        <v>243</v>
      </c>
      <c r="E4" s="108" t="s">
        <v>246</v>
      </c>
      <c r="F4" s="108" t="s">
        <v>255</v>
      </c>
      <c r="G4" s="91" t="s">
        <v>256</v>
      </c>
      <c r="H4" s="218" t="s">
        <v>257</v>
      </c>
      <c r="I4" s="91" t="s">
        <v>258</v>
      </c>
      <c r="J4" s="91" t="s">
        <v>259</v>
      </c>
      <c r="K4" s="91" t="s">
        <v>260</v>
      </c>
      <c r="L4" s="91" t="s">
        <v>261</v>
      </c>
      <c r="M4" s="100"/>
      <c r="N4" s="100"/>
      <c r="O4" s="100"/>
      <c r="P4" s="100"/>
      <c r="Q4" s="100"/>
      <c r="AA4" s="251"/>
      <c r="AB4" s="253"/>
      <c r="AC4" s="251"/>
      <c r="AD4" s="251"/>
      <c r="AE4" s="251"/>
      <c r="AJ4" s="110" t="s">
        <v>253</v>
      </c>
      <c r="AK4" s="111" t="s">
        <v>254</v>
      </c>
      <c r="AL4" s="110" t="s">
        <v>262</v>
      </c>
      <c r="AM4" s="110" t="s">
        <v>246</v>
      </c>
      <c r="AN4" s="110" t="s">
        <v>255</v>
      </c>
      <c r="AO4" s="110" t="s">
        <v>256</v>
      </c>
      <c r="AP4" s="112" t="s">
        <v>257</v>
      </c>
      <c r="AQ4" s="91" t="s">
        <v>258</v>
      </c>
      <c r="AR4" s="91" t="s">
        <v>259</v>
      </c>
      <c r="AS4" s="91" t="s">
        <v>260</v>
      </c>
      <c r="AT4" s="91" t="s">
        <v>261</v>
      </c>
    </row>
    <row r="5" spans="1:46" ht="14.25" customHeight="1" x14ac:dyDescent="0.25">
      <c r="A5" s="266" t="s">
        <v>230</v>
      </c>
      <c r="B5" s="494" t="s">
        <v>229</v>
      </c>
      <c r="C5" s="115" t="s">
        <v>14</v>
      </c>
      <c r="D5" s="121">
        <f>I51/H51</f>
        <v>5747.2413793103451</v>
      </c>
      <c r="E5" s="117">
        <f>H52</f>
        <v>10.97978040439191</v>
      </c>
      <c r="F5" s="127">
        <v>1</v>
      </c>
      <c r="G5" s="119">
        <f t="shared" ref="G5:G21" si="0">D5*E5</f>
        <v>63103.448275862058</v>
      </c>
      <c r="H5" s="120">
        <f t="shared" ref="H5:H21" si="1">G5*F5</f>
        <v>63103.448275862058</v>
      </c>
      <c r="I5" s="81">
        <f>VLOOKUP(B5,All_Ingredients!$A$1:$F$151,6,FALSE())</f>
        <v>0.86</v>
      </c>
      <c r="J5" s="119">
        <f>VLOOKUP(B5,All_Ingredients!$A$1:$J$151,10,FALSE())</f>
        <v>17.100000000000001</v>
      </c>
      <c r="K5" s="122">
        <f t="shared" ref="K5" si="2">(H5/I5)/1000</f>
        <v>73.376102646351228</v>
      </c>
      <c r="L5" s="122">
        <f t="shared" ref="L5" si="3">K5*J5</f>
        <v>1254.7313552526061</v>
      </c>
      <c r="M5" s="100"/>
      <c r="N5" s="100"/>
      <c r="O5" s="100"/>
      <c r="P5" s="100"/>
      <c r="Q5" s="100"/>
      <c r="AA5" s="92"/>
      <c r="AB5" s="133"/>
      <c r="AC5" s="254"/>
      <c r="AD5" s="135"/>
      <c r="AE5" s="136"/>
      <c r="AJ5" s="374" t="s">
        <v>229</v>
      </c>
      <c r="AK5" s="124" t="s">
        <v>238</v>
      </c>
      <c r="AL5" s="375">
        <v>10</v>
      </c>
      <c r="AM5" s="376">
        <f t="shared" ref="AM5:AM17" si="4">$AO$1</f>
        <v>6.3103448275862055</v>
      </c>
      <c r="AN5" s="377">
        <v>1</v>
      </c>
      <c r="AO5" s="378">
        <f t="shared" ref="AO5:AO17" si="5">AL5*AM5</f>
        <v>63.103448275862057</v>
      </c>
      <c r="AP5" s="379">
        <f t="shared" ref="AP5:AP17" si="6">AO5*AN5</f>
        <v>63.103448275862057</v>
      </c>
      <c r="AQ5" s="295"/>
      <c r="AR5" s="1171"/>
      <c r="AS5" s="175"/>
      <c r="AT5" s="1172"/>
    </row>
    <row r="6" spans="1:46" ht="14.25" customHeight="1" x14ac:dyDescent="0.3">
      <c r="A6" s="128" t="s">
        <v>13</v>
      </c>
      <c r="B6" s="222" t="s">
        <v>12</v>
      </c>
      <c r="C6" s="124" t="s">
        <v>14</v>
      </c>
      <c r="D6" s="125">
        <v>200</v>
      </c>
      <c r="E6" s="197">
        <f t="shared" ref="E6:E21" si="7">$I$1</f>
        <v>11.090909090909102</v>
      </c>
      <c r="F6" s="127">
        <v>0.95</v>
      </c>
      <c r="G6" s="119">
        <f t="shared" si="0"/>
        <v>2218.1818181818203</v>
      </c>
      <c r="H6" s="120">
        <f t="shared" si="1"/>
        <v>2107.2727272727293</v>
      </c>
      <c r="I6" s="81">
        <f>VLOOKUP(B6,All_Ingredients!$A$1:$F$151,6,FALSE())</f>
        <v>0.9</v>
      </c>
      <c r="J6" s="119">
        <f>VLOOKUP(B6,All_Ingredients!$A$1:$J$151,10,FALSE())</f>
        <v>3</v>
      </c>
      <c r="K6" s="122">
        <f t="shared" ref="K6:K21" si="8">(H6/I6)/1000</f>
        <v>2.3414141414141438</v>
      </c>
      <c r="L6" s="122">
        <f t="shared" ref="L6:L21" si="9">K6*J6</f>
        <v>7.0242424242424315</v>
      </c>
      <c r="AJ6" s="374" t="s">
        <v>56</v>
      </c>
      <c r="AK6" s="124" t="s">
        <v>14</v>
      </c>
      <c r="AL6" s="375">
        <v>500</v>
      </c>
      <c r="AM6" s="376">
        <f t="shared" si="4"/>
        <v>6.3103448275862055</v>
      </c>
      <c r="AN6" s="377">
        <v>1</v>
      </c>
      <c r="AO6" s="378">
        <f t="shared" si="5"/>
        <v>3155.1724137931028</v>
      </c>
      <c r="AP6" s="379">
        <f t="shared" si="6"/>
        <v>3155.1724137931028</v>
      </c>
      <c r="AQ6" s="1172">
        <f>VLOOKUP(AJ6,Marination_Ordering!$A:$J,6,FALSE)</f>
        <v>0.87</v>
      </c>
      <c r="AR6" s="1172">
        <f>VLOOKUP(AJ6,Marination_Ordering!$A:$J,10,FALSE)</f>
        <v>3.2</v>
      </c>
      <c r="AS6" s="175">
        <f>AP6/AQ6</f>
        <v>3626.6349583828769</v>
      </c>
      <c r="AT6" s="1172">
        <f>AR6*(AS6/1000)</f>
        <v>11.605231866825207</v>
      </c>
    </row>
    <row r="7" spans="1:46" ht="14.25" customHeight="1" x14ac:dyDescent="0.3">
      <c r="A7" s="128" t="s">
        <v>13</v>
      </c>
      <c r="B7" s="222" t="s">
        <v>17</v>
      </c>
      <c r="C7" s="124" t="s">
        <v>14</v>
      </c>
      <c r="D7" s="125">
        <v>500</v>
      </c>
      <c r="E7" s="197">
        <f t="shared" si="7"/>
        <v>11.090909090909102</v>
      </c>
      <c r="F7" s="127">
        <v>0.95</v>
      </c>
      <c r="G7" s="119">
        <f t="shared" si="0"/>
        <v>5545.4545454545514</v>
      </c>
      <c r="H7" s="120">
        <f t="shared" si="1"/>
        <v>5268.1818181818235</v>
      </c>
      <c r="I7" s="81">
        <f>VLOOKUP(B7,All_Ingredients!$A$1:$F$151,6,FALSE())</f>
        <v>0.98</v>
      </c>
      <c r="J7" s="119">
        <f>VLOOKUP(B7,All_Ingredients!$A$1:$J$151,10,FALSE())</f>
        <v>3.5</v>
      </c>
      <c r="K7" s="122">
        <f t="shared" si="8"/>
        <v>5.3756957328385955</v>
      </c>
      <c r="L7" s="122">
        <f t="shared" si="9"/>
        <v>18.814935064935085</v>
      </c>
      <c r="AJ7" s="374" t="s">
        <v>792</v>
      </c>
      <c r="AK7" s="124" t="s">
        <v>14</v>
      </c>
      <c r="AL7" s="375">
        <v>300</v>
      </c>
      <c r="AM7" s="376">
        <f t="shared" si="4"/>
        <v>6.3103448275862055</v>
      </c>
      <c r="AN7" s="377">
        <v>1</v>
      </c>
      <c r="AO7" s="378">
        <f t="shared" si="5"/>
        <v>1893.1034482758616</v>
      </c>
      <c r="AP7" s="379">
        <f t="shared" si="6"/>
        <v>1893.1034482758616</v>
      </c>
      <c r="AQ7" s="1172">
        <f>VLOOKUP(AJ7,Marination_Ordering!$A:$J,6,FALSE)</f>
        <v>1</v>
      </c>
      <c r="AR7" s="1172">
        <f>VLOOKUP(AJ7,Marination_Ordering!$A:$J,10,FALSE)</f>
        <v>10.5</v>
      </c>
      <c r="AS7" s="175">
        <f t="shared" ref="AS7:AS9" si="10">AP7/AQ7</f>
        <v>1893.1034482758616</v>
      </c>
      <c r="AT7" s="1172">
        <f t="shared" ref="AT7:AT9" si="11">AR7*(AS7/1000)</f>
        <v>19.877586206896549</v>
      </c>
    </row>
    <row r="8" spans="1:46" ht="14.25" customHeight="1" x14ac:dyDescent="0.3">
      <c r="A8" s="128" t="s">
        <v>57</v>
      </c>
      <c r="B8" s="222" t="s">
        <v>56</v>
      </c>
      <c r="C8" s="124" t="s">
        <v>14</v>
      </c>
      <c r="D8" s="125">
        <v>25</v>
      </c>
      <c r="E8" s="197">
        <f t="shared" si="7"/>
        <v>11.090909090909102</v>
      </c>
      <c r="F8" s="127">
        <v>1</v>
      </c>
      <c r="G8" s="119">
        <f t="shared" si="0"/>
        <v>277.27272727272754</v>
      </c>
      <c r="H8" s="120">
        <f t="shared" si="1"/>
        <v>277.27272727272754</v>
      </c>
      <c r="I8" s="81">
        <f>VLOOKUP(B8,All_Ingredients!$A$1:$F$151,6,FALSE())</f>
        <v>0.87</v>
      </c>
      <c r="J8" s="119">
        <f>VLOOKUP(B8,All_Ingredients!$A$1:$J$151,10,FALSE())</f>
        <v>7</v>
      </c>
      <c r="K8" s="122">
        <f t="shared" si="8"/>
        <v>0.31870428422152586</v>
      </c>
      <c r="L8" s="122">
        <f t="shared" si="9"/>
        <v>2.2309299895506811</v>
      </c>
      <c r="AJ8" s="374" t="s">
        <v>108</v>
      </c>
      <c r="AK8" s="124" t="s">
        <v>14</v>
      </c>
      <c r="AL8" s="375">
        <v>10</v>
      </c>
      <c r="AM8" s="376">
        <f t="shared" si="4"/>
        <v>6.3103448275862055</v>
      </c>
      <c r="AN8" s="377">
        <v>1</v>
      </c>
      <c r="AO8" s="378">
        <f t="shared" si="5"/>
        <v>63.103448275862057</v>
      </c>
      <c r="AP8" s="379">
        <f t="shared" si="6"/>
        <v>63.103448275862057</v>
      </c>
      <c r="AQ8" s="1172">
        <f>VLOOKUP(AJ8,Marination_Ordering!$A:$J,6,FALSE)</f>
        <v>1</v>
      </c>
      <c r="AR8" s="1172">
        <f>VLOOKUP(AJ8,Marination_Ordering!$A:$J,10,FALSE)</f>
        <v>15</v>
      </c>
      <c r="AS8" s="175">
        <f t="shared" si="10"/>
        <v>63.103448275862057</v>
      </c>
      <c r="AT8" s="1172">
        <f t="shared" si="11"/>
        <v>0.94655172413793087</v>
      </c>
    </row>
    <row r="9" spans="1:46" ht="14.25" customHeight="1" x14ac:dyDescent="0.3">
      <c r="A9" s="128" t="s">
        <v>13</v>
      </c>
      <c r="B9" s="222" t="s">
        <v>792</v>
      </c>
      <c r="C9" s="124" t="s">
        <v>14</v>
      </c>
      <c r="D9" s="125">
        <v>40</v>
      </c>
      <c r="E9" s="197">
        <f t="shared" si="7"/>
        <v>11.090909090909102</v>
      </c>
      <c r="F9" s="127">
        <v>1</v>
      </c>
      <c r="G9" s="119">
        <f t="shared" si="0"/>
        <v>443.63636363636408</v>
      </c>
      <c r="H9" s="120">
        <f t="shared" si="1"/>
        <v>443.63636363636408</v>
      </c>
      <c r="I9" s="81">
        <f>VLOOKUP(B9,All_Ingredients!$A$1:$F$151,6,FALSE())</f>
        <v>1</v>
      </c>
      <c r="J9" s="119">
        <f>VLOOKUP(B9,All_Ingredients!$A$1:$J$151,10,FALSE())</f>
        <v>10.5</v>
      </c>
      <c r="K9" s="122">
        <f t="shared" si="8"/>
        <v>0.44363636363636411</v>
      </c>
      <c r="L9" s="122">
        <f t="shared" si="9"/>
        <v>4.6581818181818235</v>
      </c>
      <c r="AJ9" s="374" t="s">
        <v>110</v>
      </c>
      <c r="AK9" s="124" t="s">
        <v>14</v>
      </c>
      <c r="AL9" s="375">
        <v>150</v>
      </c>
      <c r="AM9" s="376">
        <f t="shared" si="4"/>
        <v>6.3103448275862055</v>
      </c>
      <c r="AN9" s="377">
        <v>1</v>
      </c>
      <c r="AO9" s="378">
        <f t="shared" si="5"/>
        <v>946.55172413793082</v>
      </c>
      <c r="AP9" s="379">
        <f t="shared" si="6"/>
        <v>946.55172413793082</v>
      </c>
      <c r="AQ9" s="1172">
        <f>VLOOKUP(AJ9,Marination_Ordering!$A:$J,6,FALSE)</f>
        <v>1</v>
      </c>
      <c r="AR9" s="1172">
        <f>VLOOKUP(AJ9,Marination_Ordering!$A:$J,10,FALSE)</f>
        <v>8</v>
      </c>
      <c r="AS9" s="175">
        <f t="shared" si="10"/>
        <v>946.55172413793082</v>
      </c>
      <c r="AT9" s="1172">
        <f t="shared" si="11"/>
        <v>7.572413793103447</v>
      </c>
    </row>
    <row r="10" spans="1:46" ht="14.25" customHeight="1" x14ac:dyDescent="0.3">
      <c r="A10" s="128" t="s">
        <v>97</v>
      </c>
      <c r="B10" s="222" t="s">
        <v>122</v>
      </c>
      <c r="C10" s="124" t="s">
        <v>14</v>
      </c>
      <c r="D10" s="125">
        <v>5</v>
      </c>
      <c r="E10" s="197">
        <f t="shared" si="7"/>
        <v>11.090909090909102</v>
      </c>
      <c r="F10" s="127">
        <v>0.75</v>
      </c>
      <c r="G10" s="119">
        <f t="shared" si="0"/>
        <v>55.45454545454551</v>
      </c>
      <c r="H10" s="120">
        <f t="shared" si="1"/>
        <v>41.590909090909136</v>
      </c>
      <c r="I10" s="81">
        <f>VLOOKUP(B10,All_Ingredients!$A$1:$F$151,6,FALSE())</f>
        <v>1</v>
      </c>
      <c r="J10" s="119">
        <f>VLOOKUP(B10,All_Ingredients!$A$1:$J$151,10,FALSE())</f>
        <v>15</v>
      </c>
      <c r="K10" s="122">
        <f t="shared" si="8"/>
        <v>4.1590909090909137E-2</v>
      </c>
      <c r="L10" s="122">
        <f t="shared" si="9"/>
        <v>0.62386363636363706</v>
      </c>
      <c r="AJ10" s="374" t="s">
        <v>96</v>
      </c>
      <c r="AK10" s="124" t="s">
        <v>14</v>
      </c>
      <c r="AL10" s="375">
        <v>30</v>
      </c>
      <c r="AM10" s="376">
        <f t="shared" si="4"/>
        <v>6.3103448275862055</v>
      </c>
      <c r="AN10" s="377">
        <v>1</v>
      </c>
      <c r="AO10" s="378">
        <f t="shared" si="5"/>
        <v>189.31034482758616</v>
      </c>
      <c r="AP10" s="379">
        <f t="shared" si="6"/>
        <v>189.31034482758616</v>
      </c>
      <c r="AQ10" s="1172">
        <f>VLOOKUP(AJ10,Marination_Ordering!$A:$J,6,FALSE)</f>
        <v>1</v>
      </c>
      <c r="AR10" s="1172">
        <f>VLOOKUP(AJ10,Marination_Ordering!$A:$J,10,FALSE)</f>
        <v>0.74</v>
      </c>
      <c r="AS10" s="175">
        <f t="shared" ref="AS10:AS17" si="12">AP10/AQ10</f>
        <v>189.31034482758616</v>
      </c>
      <c r="AT10" s="1172">
        <f t="shared" ref="AT10:AT17" si="13">AR10*(AS10/1000)</f>
        <v>0.14008965517241376</v>
      </c>
    </row>
    <row r="11" spans="1:46" ht="14.25" customHeight="1" x14ac:dyDescent="0.3">
      <c r="A11" s="128" t="s">
        <v>97</v>
      </c>
      <c r="B11" s="222" t="s">
        <v>108</v>
      </c>
      <c r="C11" s="124" t="s">
        <v>14</v>
      </c>
      <c r="D11" s="125">
        <v>15</v>
      </c>
      <c r="E11" s="197">
        <f t="shared" si="7"/>
        <v>11.090909090909102</v>
      </c>
      <c r="F11" s="127">
        <v>1</v>
      </c>
      <c r="G11" s="119">
        <f t="shared" si="0"/>
        <v>166.36363636363654</v>
      </c>
      <c r="H11" s="120">
        <f t="shared" si="1"/>
        <v>166.36363636363654</v>
      </c>
      <c r="I11" s="81">
        <f>VLOOKUP(B11,All_Ingredients!$A$1:$F$151,6,FALSE())</f>
        <v>1</v>
      </c>
      <c r="J11" s="119">
        <f>VLOOKUP(B11,All_Ingredients!$A$1:$J$151,10,FALSE())</f>
        <v>15</v>
      </c>
      <c r="K11" s="122">
        <f t="shared" si="8"/>
        <v>0.16636363636363655</v>
      </c>
      <c r="L11" s="122">
        <f t="shared" si="9"/>
        <v>2.4954545454545483</v>
      </c>
      <c r="AJ11" s="374" t="s">
        <v>102</v>
      </c>
      <c r="AK11" s="124" t="s">
        <v>14</v>
      </c>
      <c r="AL11" s="375">
        <v>10</v>
      </c>
      <c r="AM11" s="376">
        <f t="shared" si="4"/>
        <v>6.3103448275862055</v>
      </c>
      <c r="AN11" s="377">
        <v>1</v>
      </c>
      <c r="AO11" s="378">
        <f t="shared" si="5"/>
        <v>63.103448275862057</v>
      </c>
      <c r="AP11" s="379">
        <f t="shared" si="6"/>
        <v>63.103448275862057</v>
      </c>
      <c r="AQ11" s="1172">
        <f>VLOOKUP(AJ11,Marination_Ordering!$A:$J,6,FALSE)</f>
        <v>1</v>
      </c>
      <c r="AR11" s="1172">
        <f>VLOOKUP(AJ11,Marination_Ordering!$A:$J,10,FALSE)</f>
        <v>31</v>
      </c>
      <c r="AS11" s="175">
        <f t="shared" si="12"/>
        <v>63.103448275862057</v>
      </c>
      <c r="AT11" s="1172">
        <f t="shared" si="13"/>
        <v>1.9562068965517239</v>
      </c>
    </row>
    <row r="12" spans="1:46" ht="14.25" customHeight="1" x14ac:dyDescent="0.3">
      <c r="A12" s="128" t="s">
        <v>97</v>
      </c>
      <c r="B12" s="222" t="s">
        <v>140</v>
      </c>
      <c r="C12" s="124" t="s">
        <v>14</v>
      </c>
      <c r="D12" s="125">
        <v>25</v>
      </c>
      <c r="E12" s="197">
        <f t="shared" si="7"/>
        <v>11.090909090909102</v>
      </c>
      <c r="F12" s="127">
        <v>0.75</v>
      </c>
      <c r="G12" s="119">
        <f t="shared" si="0"/>
        <v>277.27272727272754</v>
      </c>
      <c r="H12" s="120">
        <f t="shared" si="1"/>
        <v>207.95454545454567</v>
      </c>
      <c r="I12" s="81">
        <f>VLOOKUP(B12,All_Ingredients!$A$1:$F$151,6,FALSE())</f>
        <v>1</v>
      </c>
      <c r="J12" s="119">
        <f>VLOOKUP(B12,All_Ingredients!$A$1:$J$151,10,FALSE())</f>
        <v>43</v>
      </c>
      <c r="K12" s="122">
        <f t="shared" si="8"/>
        <v>0.20795454545454567</v>
      </c>
      <c r="L12" s="122">
        <f t="shared" si="9"/>
        <v>8.9420454545454646</v>
      </c>
      <c r="AJ12" s="374" t="s">
        <v>117</v>
      </c>
      <c r="AK12" s="124" t="s">
        <v>14</v>
      </c>
      <c r="AL12" s="375">
        <v>25</v>
      </c>
      <c r="AM12" s="376">
        <f t="shared" si="4"/>
        <v>6.3103448275862055</v>
      </c>
      <c r="AN12" s="377">
        <v>1</v>
      </c>
      <c r="AO12" s="378">
        <f t="shared" si="5"/>
        <v>157.75862068965515</v>
      </c>
      <c r="AP12" s="379">
        <f t="shared" si="6"/>
        <v>157.75862068965515</v>
      </c>
      <c r="AQ12" s="1172">
        <f>VLOOKUP(AJ12,Marination_Ordering!$A:$J,6,FALSE)</f>
        <v>1</v>
      </c>
      <c r="AR12" s="1172">
        <f>VLOOKUP(AJ12,Marination_Ordering!$A:$J,10,FALSE)</f>
        <v>20</v>
      </c>
      <c r="AS12" s="175">
        <f t="shared" si="12"/>
        <v>157.75862068965515</v>
      </c>
      <c r="AT12" s="1172">
        <f t="shared" si="13"/>
        <v>3.1551724137931032</v>
      </c>
    </row>
    <row r="13" spans="1:46" ht="14.25" customHeight="1" x14ac:dyDescent="0.3">
      <c r="A13" s="128" t="s">
        <v>158</v>
      </c>
      <c r="B13" s="222" t="s">
        <v>173</v>
      </c>
      <c r="C13" s="124" t="s">
        <v>14</v>
      </c>
      <c r="D13" s="125">
        <v>300</v>
      </c>
      <c r="E13" s="197">
        <f t="shared" si="7"/>
        <v>11.090909090909102</v>
      </c>
      <c r="F13" s="127">
        <v>1</v>
      </c>
      <c r="G13" s="119">
        <f t="shared" si="0"/>
        <v>3327.2727272727307</v>
      </c>
      <c r="H13" s="120">
        <f t="shared" si="1"/>
        <v>3327.2727272727307</v>
      </c>
      <c r="I13" s="81">
        <f>VLOOKUP(B13,All_Ingredients!$A$1:$F$151,6,FALSE())</f>
        <v>1</v>
      </c>
      <c r="J13" s="119">
        <f>VLOOKUP(B13,All_Ingredients!$A$1:$J$151,10,FALSE())</f>
        <v>13.545454545454545</v>
      </c>
      <c r="K13" s="122">
        <f t="shared" si="8"/>
        <v>3.3272727272727307</v>
      </c>
      <c r="L13" s="122">
        <f t="shared" si="9"/>
        <v>45.06942148760335</v>
      </c>
      <c r="AJ13" s="374" t="s">
        <v>219</v>
      </c>
      <c r="AK13" s="124" t="s">
        <v>165</v>
      </c>
      <c r="AL13" s="375">
        <v>500</v>
      </c>
      <c r="AM13" s="376">
        <f t="shared" si="4"/>
        <v>6.3103448275862055</v>
      </c>
      <c r="AN13" s="377">
        <v>1</v>
      </c>
      <c r="AO13" s="378">
        <f t="shared" si="5"/>
        <v>3155.1724137931028</v>
      </c>
      <c r="AP13" s="379">
        <f t="shared" si="6"/>
        <v>3155.1724137931028</v>
      </c>
      <c r="AQ13" s="1172">
        <f>VLOOKUP(AJ13,Marination_Ordering!$A:$J,6,FALSE)</f>
        <v>1</v>
      </c>
      <c r="AR13" s="1172">
        <f>VLOOKUP(AJ13,Marination_Ordering!$A:$J,10,FALSE)</f>
        <v>5</v>
      </c>
      <c r="AS13" s="175">
        <f t="shared" si="12"/>
        <v>3155.1724137931028</v>
      </c>
      <c r="AT13" s="1172">
        <f t="shared" si="13"/>
        <v>15.775862068965514</v>
      </c>
    </row>
    <row r="14" spans="1:46" ht="14.25" customHeight="1" x14ac:dyDescent="0.3">
      <c r="A14" s="128" t="s">
        <v>158</v>
      </c>
      <c r="B14" s="222" t="s">
        <v>171</v>
      </c>
      <c r="C14" s="124" t="s">
        <v>165</v>
      </c>
      <c r="D14" s="125">
        <v>300</v>
      </c>
      <c r="E14" s="197">
        <f t="shared" si="7"/>
        <v>11.090909090909102</v>
      </c>
      <c r="F14" s="127">
        <v>1</v>
      </c>
      <c r="G14" s="119">
        <f t="shared" si="0"/>
        <v>3327.2727272727307</v>
      </c>
      <c r="H14" s="120">
        <f t="shared" si="1"/>
        <v>3327.2727272727307</v>
      </c>
      <c r="I14" s="81">
        <f>VLOOKUP(B14,All_Ingredients!$A$1:$F$151,6,FALSE())</f>
        <v>1</v>
      </c>
      <c r="J14" s="119">
        <f>VLOOKUP(B14,All_Ingredients!$A$1:$J$151,10,FALSE())</f>
        <v>12.666666666666666</v>
      </c>
      <c r="K14" s="122">
        <f t="shared" si="8"/>
        <v>3.3272727272727307</v>
      </c>
      <c r="L14" s="122">
        <f t="shared" si="9"/>
        <v>42.145454545454584</v>
      </c>
      <c r="AJ14" s="374" t="s">
        <v>168</v>
      </c>
      <c r="AK14" s="124" t="s">
        <v>14</v>
      </c>
      <c r="AL14" s="375">
        <v>50</v>
      </c>
      <c r="AM14" s="376">
        <f t="shared" si="4"/>
        <v>6.3103448275862055</v>
      </c>
      <c r="AN14" s="377">
        <v>1</v>
      </c>
      <c r="AO14" s="378">
        <f t="shared" si="5"/>
        <v>315.51724137931029</v>
      </c>
      <c r="AP14" s="379">
        <f t="shared" si="6"/>
        <v>315.51724137931029</v>
      </c>
      <c r="AQ14" s="1172">
        <f>VLOOKUP(AJ14,Marination_Ordering!$A:$J,6,FALSE)</f>
        <v>1</v>
      </c>
      <c r="AR14" s="1172">
        <f>VLOOKUP(AJ14,Marination_Ordering!$A:$J,10,FALSE)</f>
        <v>6.6959999999999997</v>
      </c>
      <c r="AS14" s="175">
        <f t="shared" si="12"/>
        <v>315.51724137931029</v>
      </c>
      <c r="AT14" s="1172">
        <f t="shared" si="13"/>
        <v>2.1127034482758615</v>
      </c>
    </row>
    <row r="15" spans="1:46" ht="14.25" customHeight="1" x14ac:dyDescent="0.3">
      <c r="A15" s="128" t="s">
        <v>63</v>
      </c>
      <c r="B15" s="222" t="s">
        <v>62</v>
      </c>
      <c r="C15" s="124" t="s">
        <v>14</v>
      </c>
      <c r="D15" s="125">
        <v>30</v>
      </c>
      <c r="E15" s="197">
        <f t="shared" si="7"/>
        <v>11.090909090909102</v>
      </c>
      <c r="F15" s="127">
        <v>1</v>
      </c>
      <c r="G15" s="119">
        <f t="shared" si="0"/>
        <v>332.72727272727309</v>
      </c>
      <c r="H15" s="120">
        <f t="shared" si="1"/>
        <v>332.72727272727309</v>
      </c>
      <c r="I15" s="81">
        <f>VLOOKUP(B15,All_Ingredients!$A$1:$F$151,6,FALSE())</f>
        <v>0.94</v>
      </c>
      <c r="J15" s="119">
        <f>VLOOKUP(B15,All_Ingredients!$A$1:$J$151,10,FALSE())</f>
        <v>3.6363636363636367</v>
      </c>
      <c r="K15" s="122">
        <f t="shared" si="8"/>
        <v>0.3539651837524182</v>
      </c>
      <c r="L15" s="122">
        <f t="shared" si="9"/>
        <v>1.2871461227360663</v>
      </c>
      <c r="AJ15" s="374" t="s">
        <v>157</v>
      </c>
      <c r="AK15" s="124" t="s">
        <v>14</v>
      </c>
      <c r="AL15" s="375">
        <v>100</v>
      </c>
      <c r="AM15" s="376">
        <f t="shared" si="4"/>
        <v>6.3103448275862055</v>
      </c>
      <c r="AN15" s="377">
        <v>1</v>
      </c>
      <c r="AO15" s="378">
        <f t="shared" si="5"/>
        <v>631.03448275862058</v>
      </c>
      <c r="AP15" s="379">
        <f t="shared" si="6"/>
        <v>631.03448275862058</v>
      </c>
      <c r="AQ15" s="1172">
        <f>VLOOKUP(AJ15,Marination_Ordering!$A:$J,6,FALSE)</f>
        <v>1</v>
      </c>
      <c r="AR15" s="1172">
        <f>VLOOKUP(AJ15,Marination_Ordering!$A:$J,10,FALSE)</f>
        <v>30</v>
      </c>
      <c r="AS15" s="175">
        <f t="shared" si="12"/>
        <v>631.03448275862058</v>
      </c>
      <c r="AT15" s="1172">
        <f t="shared" si="13"/>
        <v>18.931034482758619</v>
      </c>
    </row>
    <row r="16" spans="1:46" ht="14.25" customHeight="1" x14ac:dyDescent="0.3">
      <c r="A16" s="128" t="s">
        <v>63</v>
      </c>
      <c r="B16" s="222" t="s">
        <v>70</v>
      </c>
      <c r="C16" s="124" t="s">
        <v>14</v>
      </c>
      <c r="D16" s="125">
        <v>25</v>
      </c>
      <c r="E16" s="197">
        <f t="shared" si="7"/>
        <v>11.090909090909102</v>
      </c>
      <c r="F16" s="127">
        <v>1</v>
      </c>
      <c r="G16" s="119">
        <f t="shared" si="0"/>
        <v>277.27272727272754</v>
      </c>
      <c r="H16" s="120">
        <f t="shared" si="1"/>
        <v>277.27272727272754</v>
      </c>
      <c r="I16" s="81">
        <f>VLOOKUP(B16,All_Ingredients!$A$1:$F$151,6,FALSE())</f>
        <v>0.43</v>
      </c>
      <c r="J16" s="119">
        <f>VLOOKUP(B16,All_Ingredients!$A$1:$J$151,10,FALSE())</f>
        <v>3.333333333333333</v>
      </c>
      <c r="K16" s="122">
        <f t="shared" si="8"/>
        <v>0.64482029598308721</v>
      </c>
      <c r="L16" s="122">
        <f t="shared" si="9"/>
        <v>2.1494009866102903</v>
      </c>
      <c r="AJ16" s="374" t="s">
        <v>221</v>
      </c>
      <c r="AK16" s="124" t="s">
        <v>14</v>
      </c>
      <c r="AL16" s="375">
        <v>2</v>
      </c>
      <c r="AM16" s="376">
        <f t="shared" si="4"/>
        <v>6.3103448275862055</v>
      </c>
      <c r="AN16" s="377">
        <v>1</v>
      </c>
      <c r="AO16" s="378">
        <f t="shared" si="5"/>
        <v>12.620689655172411</v>
      </c>
      <c r="AP16" s="379">
        <f t="shared" si="6"/>
        <v>12.620689655172411</v>
      </c>
      <c r="AQ16" s="1172">
        <f>VLOOKUP(AJ16,Marination_Ordering!$A:$J,6,FALSE)</f>
        <v>1</v>
      </c>
      <c r="AR16" s="1172">
        <f>VLOOKUP(AJ16,Marination_Ordering!$A:$J,10,FALSE)</f>
        <v>35</v>
      </c>
      <c r="AS16" s="175">
        <f t="shared" si="12"/>
        <v>12.620689655172411</v>
      </c>
      <c r="AT16" s="1172">
        <f t="shared" si="13"/>
        <v>0.44172413793103438</v>
      </c>
    </row>
    <row r="17" spans="1:46" ht="14.25" customHeight="1" x14ac:dyDescent="0.3">
      <c r="A17" s="128" t="s">
        <v>97</v>
      </c>
      <c r="B17" s="222" t="s">
        <v>96</v>
      </c>
      <c r="C17" s="124" t="s">
        <v>14</v>
      </c>
      <c r="D17" s="125">
        <v>11</v>
      </c>
      <c r="E17" s="197">
        <f t="shared" si="7"/>
        <v>11.090909090909102</v>
      </c>
      <c r="F17" s="127">
        <v>0.75</v>
      </c>
      <c r="G17" s="119">
        <f t="shared" si="0"/>
        <v>122.00000000000013</v>
      </c>
      <c r="H17" s="120">
        <f t="shared" si="1"/>
        <v>91.500000000000099</v>
      </c>
      <c r="I17" s="81">
        <f>VLOOKUP(B17,All_Ingredients!$A$1:$F$151,6,FALSE())</f>
        <v>1</v>
      </c>
      <c r="J17" s="119">
        <f>VLOOKUP(B17,All_Ingredients!$A$1:$J$151,10,FALSE())</f>
        <v>0.74</v>
      </c>
      <c r="K17" s="122">
        <f t="shared" si="8"/>
        <v>9.1500000000000095E-2</v>
      </c>
      <c r="L17" s="122">
        <f t="shared" si="9"/>
        <v>6.7710000000000076E-2</v>
      </c>
      <c r="AJ17" s="374" t="s">
        <v>215</v>
      </c>
      <c r="AK17" s="124" t="s">
        <v>165</v>
      </c>
      <c r="AL17" s="375">
        <v>100</v>
      </c>
      <c r="AM17" s="376">
        <f t="shared" si="4"/>
        <v>6.3103448275862055</v>
      </c>
      <c r="AN17" s="377">
        <v>1</v>
      </c>
      <c r="AO17" s="378">
        <f t="shared" si="5"/>
        <v>631.03448275862058</v>
      </c>
      <c r="AP17" s="379">
        <f t="shared" si="6"/>
        <v>631.03448275862058</v>
      </c>
      <c r="AQ17" s="1172">
        <f>VLOOKUP(AJ17,Marination_Ordering!$A:$J,6,FALSE)</f>
        <v>1</v>
      </c>
      <c r="AR17" s="1172">
        <f>VLOOKUP(AJ17,Marination_Ordering!$A:$J,10,FALSE)</f>
        <v>2.1621621621621623</v>
      </c>
      <c r="AS17" s="175">
        <f t="shared" si="12"/>
        <v>631.03448275862058</v>
      </c>
      <c r="AT17" s="1172">
        <f t="shared" si="13"/>
        <v>1.3643988816402608</v>
      </c>
    </row>
    <row r="18" spans="1:46" ht="14.25" customHeight="1" x14ac:dyDescent="0.3">
      <c r="A18" s="128" t="s">
        <v>97</v>
      </c>
      <c r="B18" s="222" t="s">
        <v>117</v>
      </c>
      <c r="C18" s="124" t="s">
        <v>14</v>
      </c>
      <c r="D18" s="125">
        <v>5</v>
      </c>
      <c r="E18" s="197">
        <f t="shared" si="7"/>
        <v>11.090909090909102</v>
      </c>
      <c r="F18" s="127">
        <v>0.75</v>
      </c>
      <c r="G18" s="119">
        <f t="shared" si="0"/>
        <v>55.45454545454551</v>
      </c>
      <c r="H18" s="120">
        <f t="shared" si="1"/>
        <v>41.590909090909136</v>
      </c>
      <c r="I18" s="81">
        <f>VLOOKUP(B18,All_Ingredients!$A$1:$F$151,6,FALSE())</f>
        <v>1</v>
      </c>
      <c r="J18" s="119">
        <f>VLOOKUP(B18,All_Ingredients!$A$1:$J$151,10,FALSE())</f>
        <v>20</v>
      </c>
      <c r="K18" s="122">
        <f t="shared" si="8"/>
        <v>4.1590909090909137E-2</v>
      </c>
      <c r="L18" s="122">
        <f t="shared" si="9"/>
        <v>0.83181818181818268</v>
      </c>
      <c r="Q18"/>
    </row>
    <row r="19" spans="1:46" ht="14.25" customHeight="1" x14ac:dyDescent="0.3">
      <c r="A19" s="128" t="s">
        <v>97</v>
      </c>
      <c r="B19" s="222" t="s">
        <v>110</v>
      </c>
      <c r="C19" s="124" t="s">
        <v>14</v>
      </c>
      <c r="D19" s="125">
        <v>15</v>
      </c>
      <c r="E19" s="197">
        <f t="shared" si="7"/>
        <v>11.090909090909102</v>
      </c>
      <c r="F19" s="127">
        <v>1</v>
      </c>
      <c r="G19" s="119">
        <f t="shared" si="0"/>
        <v>166.36363636363654</v>
      </c>
      <c r="H19" s="120">
        <f t="shared" si="1"/>
        <v>166.36363636363654</v>
      </c>
      <c r="I19" s="81">
        <f>VLOOKUP(B19,All_Ingredients!$A$1:$F$151,6,FALSE())</f>
        <v>1</v>
      </c>
      <c r="J19" s="119">
        <f>VLOOKUP(B19,All_Ingredients!$A$1:$J$151,10,FALSE())</f>
        <v>8</v>
      </c>
      <c r="K19" s="122">
        <f t="shared" si="8"/>
        <v>0.16636363636363655</v>
      </c>
      <c r="L19" s="122">
        <f t="shared" si="9"/>
        <v>1.3309090909090924</v>
      </c>
    </row>
    <row r="20" spans="1:46" ht="14.25" customHeight="1" x14ac:dyDescent="0.3">
      <c r="A20" s="128" t="s">
        <v>220</v>
      </c>
      <c r="B20" s="222" t="s">
        <v>221</v>
      </c>
      <c r="C20" s="124" t="s">
        <v>14</v>
      </c>
      <c r="D20" s="125">
        <v>3</v>
      </c>
      <c r="E20" s="197">
        <f t="shared" si="7"/>
        <v>11.090909090909102</v>
      </c>
      <c r="F20" s="127">
        <v>0.75</v>
      </c>
      <c r="G20" s="119">
        <f t="shared" si="0"/>
        <v>33.272727272727309</v>
      </c>
      <c r="H20" s="120">
        <f t="shared" si="1"/>
        <v>24.954545454545482</v>
      </c>
      <c r="I20" s="81">
        <f>VLOOKUP(B20,All_Ingredients!$A$1:$F$151,6,FALSE())</f>
        <v>1</v>
      </c>
      <c r="J20" s="119">
        <f>VLOOKUP(B20,All_Ingredients!$A$1:$J$151,10,FALSE())</f>
        <v>35</v>
      </c>
      <c r="K20" s="122">
        <f t="shared" si="8"/>
        <v>2.4954545454545483E-2</v>
      </c>
      <c r="L20" s="122">
        <f t="shared" si="9"/>
        <v>0.87340909090909191</v>
      </c>
    </row>
    <row r="21" spans="1:46" ht="14.25" customHeight="1" x14ac:dyDescent="0.3">
      <c r="A21" s="128" t="s">
        <v>158</v>
      </c>
      <c r="B21" s="222" t="s">
        <v>157</v>
      </c>
      <c r="C21" s="124" t="s">
        <v>14</v>
      </c>
      <c r="D21" s="125">
        <v>60</v>
      </c>
      <c r="E21" s="197">
        <f t="shared" si="7"/>
        <v>11.090909090909102</v>
      </c>
      <c r="F21" s="127">
        <v>1</v>
      </c>
      <c r="G21" s="119">
        <f t="shared" si="0"/>
        <v>665.45454545454618</v>
      </c>
      <c r="H21" s="120">
        <f t="shared" si="1"/>
        <v>665.45454545454618</v>
      </c>
      <c r="I21" s="81">
        <f>VLOOKUP(B21,All_Ingredients!$A$1:$F$151,6,FALSE())</f>
        <v>1</v>
      </c>
      <c r="J21" s="119">
        <f>VLOOKUP(B21,All_Ingredients!$A$1:$J$151,10,FALSE())</f>
        <v>30</v>
      </c>
      <c r="K21" s="122">
        <f t="shared" si="8"/>
        <v>0.66545454545454619</v>
      </c>
      <c r="L21" s="122">
        <f t="shared" si="9"/>
        <v>19.963636363636386</v>
      </c>
    </row>
    <row r="22" spans="1:46" ht="14.25" customHeight="1" x14ac:dyDescent="0.3">
      <c r="B22" s="100"/>
      <c r="C22" s="171"/>
      <c r="D22" s="171"/>
      <c r="E22" s="100"/>
      <c r="F22" s="100"/>
      <c r="G22" s="171"/>
      <c r="L22" s="297"/>
    </row>
    <row r="23" spans="1:46" ht="14.25" customHeight="1" x14ac:dyDescent="0.3">
      <c r="L23" s="297"/>
      <c r="Q23" s="414"/>
    </row>
    <row r="24" spans="1:46" ht="14.25" customHeight="1" x14ac:dyDescent="0.3">
      <c r="L24" s="297"/>
      <c r="Z24" s="1234"/>
    </row>
    <row r="25" spans="1:46" ht="14.25" customHeight="1" x14ac:dyDescent="0.35">
      <c r="L25" s="297"/>
      <c r="R25" s="1411" t="s">
        <v>434</v>
      </c>
      <c r="S25" s="1388"/>
      <c r="T25" s="1388"/>
      <c r="U25" s="1388"/>
      <c r="V25" s="1151"/>
      <c r="Z25" s="141" t="s">
        <v>264</v>
      </c>
      <c r="AA25" s="142">
        <v>55110</v>
      </c>
      <c r="AB25" s="141" t="s">
        <v>261</v>
      </c>
      <c r="AC25" s="1322">
        <f>(AA25*AD30)+(Z30*(AA28/R1))</f>
        <v>1735.904909947252</v>
      </c>
    </row>
    <row r="26" spans="1:46" ht="14.25" customHeight="1" x14ac:dyDescent="0.3">
      <c r="L26" s="297"/>
      <c r="R26" s="1423" t="s">
        <v>309</v>
      </c>
      <c r="S26" s="1388"/>
      <c r="T26" s="1388"/>
      <c r="U26" s="1388"/>
      <c r="V26" s="1151"/>
    </row>
    <row r="27" spans="1:46" ht="14.25" customHeight="1" thickBot="1" x14ac:dyDescent="0.35">
      <c r="R27" s="145" t="s">
        <v>266</v>
      </c>
      <c r="S27" s="146" t="s">
        <v>267</v>
      </c>
      <c r="T27" s="146" t="s">
        <v>268</v>
      </c>
      <c r="U27" s="146" t="s">
        <v>269</v>
      </c>
      <c r="V27" s="146" t="s">
        <v>839</v>
      </c>
      <c r="W27" s="146" t="s">
        <v>848</v>
      </c>
      <c r="Y27" s="141" t="s">
        <v>270</v>
      </c>
      <c r="Z27" s="147" t="s">
        <v>839</v>
      </c>
      <c r="AA27" s="147" t="s">
        <v>271</v>
      </c>
      <c r="AB27" s="147" t="s">
        <v>272</v>
      </c>
      <c r="AC27" s="1186" t="s">
        <v>848</v>
      </c>
      <c r="AD27" s="147" t="s">
        <v>274</v>
      </c>
    </row>
    <row r="28" spans="1:46" ht="14.25" customHeight="1" thickBot="1" x14ac:dyDescent="0.35">
      <c r="R28" s="148" t="s">
        <v>275</v>
      </c>
      <c r="S28" s="149">
        <f>U28*S40</f>
        <v>36215.38461538461</v>
      </c>
      <c r="T28" s="149">
        <f>U28*U40</f>
        <v>10864.615384615396</v>
      </c>
      <c r="U28" s="150">
        <f>$Z$1</f>
        <v>47080</v>
      </c>
      <c r="V28" s="149">
        <f>SUM(AP6:AP17)</f>
        <v>11213.482758620688</v>
      </c>
      <c r="W28" s="149">
        <f>H37</f>
        <v>23.1</v>
      </c>
      <c r="Y28" s="151"/>
      <c r="Z28" s="1205"/>
      <c r="AA28" s="152">
        <f>AA25*$S$40</f>
        <v>42392.307692307681</v>
      </c>
      <c r="AB28" s="152">
        <f>AA25-AA28</f>
        <v>12717.692307692319</v>
      </c>
      <c r="AC28" s="1188"/>
      <c r="AD28" s="154">
        <f>SUM(AA28:AC28)</f>
        <v>55110</v>
      </c>
    </row>
    <row r="29" spans="1:46" ht="22.25" customHeight="1" thickBot="1" x14ac:dyDescent="0.35">
      <c r="B29" s="100"/>
      <c r="E29" s="100"/>
      <c r="F29" s="100"/>
      <c r="R29" s="148" t="s">
        <v>276</v>
      </c>
      <c r="S29" s="155"/>
      <c r="T29" s="149"/>
      <c r="U29" s="149">
        <f>T29</f>
        <v>0</v>
      </c>
      <c r="V29" s="149"/>
      <c r="W29" s="149"/>
      <c r="Y29" s="151"/>
      <c r="Z29" s="1205"/>
      <c r="AA29" s="156">
        <f>AA28/$AD$28</f>
        <v>0.76923076923076905</v>
      </c>
      <c r="AB29" s="156">
        <f>AB28/$AD$28</f>
        <v>0.23076923076923098</v>
      </c>
      <c r="AC29" s="1192"/>
      <c r="AD29" s="156">
        <f>AD28/$AD$28</f>
        <v>1</v>
      </c>
    </row>
    <row r="30" spans="1:46" ht="17.25" customHeight="1" thickBot="1" x14ac:dyDescent="0.35">
      <c r="R30" s="148" t="s">
        <v>435</v>
      </c>
      <c r="S30" s="1228">
        <f>U30*S40</f>
        <v>384.61538461538453</v>
      </c>
      <c r="T30" s="149">
        <f>U30*U40</f>
        <v>115.3846153846155</v>
      </c>
      <c r="U30" s="150">
        <f>$AB$1</f>
        <v>500</v>
      </c>
      <c r="V30" s="1143"/>
      <c r="W30" s="1143"/>
      <c r="Y30" s="141" t="s">
        <v>278</v>
      </c>
      <c r="Z30" s="1321">
        <f>V35/(S32/R1)</f>
        <v>1.329229667598633E-3</v>
      </c>
      <c r="AA30" s="157">
        <f>S35/(S32)</f>
        <v>3.4282277465918207E-2</v>
      </c>
      <c r="AB30" s="158">
        <f>T35/T32</f>
        <v>1.4436116466571091E-2</v>
      </c>
      <c r="AC30" s="1199">
        <f>W35/U32</f>
        <v>3.3611407508002718E-5</v>
      </c>
      <c r="AD30" s="1201">
        <f>SUMPRODUCT(AA30:AB30,AA29:AB29)+AC30</f>
        <v>2.9736005565884564E-2</v>
      </c>
    </row>
    <row r="31" spans="1:46" ht="14.25" customHeight="1" thickBot="1" x14ac:dyDescent="0.35">
      <c r="R31" s="148" t="s">
        <v>436</v>
      </c>
      <c r="S31" s="155"/>
      <c r="T31" s="149"/>
      <c r="U31" s="149"/>
      <c r="V31" s="149"/>
      <c r="W31" s="149"/>
    </row>
    <row r="32" spans="1:46" ht="14.25" customHeight="1" thickBot="1" x14ac:dyDescent="0.35">
      <c r="R32" s="160" t="s">
        <v>269</v>
      </c>
      <c r="S32" s="149">
        <f>SUM(S28:S30)</f>
        <v>36599.999999999993</v>
      </c>
      <c r="T32" s="149">
        <f>SUM(T28:T30)</f>
        <v>10980.000000000011</v>
      </c>
      <c r="U32" s="149">
        <f>SUM(U28:U30)</f>
        <v>47580</v>
      </c>
      <c r="V32" s="149"/>
      <c r="W32" s="149">
        <f>SUM(W28:W30)</f>
        <v>23.1</v>
      </c>
    </row>
    <row r="33" spans="2:24" ht="14.25" customHeight="1" thickBot="1" x14ac:dyDescent="0.35">
      <c r="B33" s="100"/>
      <c r="E33" s="100"/>
      <c r="F33" s="100"/>
      <c r="G33" s="881"/>
      <c r="R33" s="161" t="s">
        <v>280</v>
      </c>
      <c r="S33" s="155"/>
      <c r="T33" s="155"/>
      <c r="U33" s="155"/>
      <c r="V33" s="155"/>
      <c r="W33" s="155"/>
    </row>
    <row r="34" spans="2:24" ht="14.25" customHeight="1" thickBot="1" x14ac:dyDescent="0.35">
      <c r="B34" s="100"/>
      <c r="E34" s="100"/>
      <c r="F34" s="100"/>
      <c r="R34" s="162" t="s">
        <v>281</v>
      </c>
      <c r="S34" s="155"/>
      <c r="T34" s="149"/>
      <c r="U34" s="155"/>
      <c r="V34" s="155"/>
      <c r="W34" s="155"/>
    </row>
    <row r="35" spans="2:24" ht="14.25" customHeight="1" thickBot="1" x14ac:dyDescent="0.35">
      <c r="B35" s="1394" t="s">
        <v>717</v>
      </c>
      <c r="C35" s="1394"/>
      <c r="D35" s="1394"/>
      <c r="E35" s="1394"/>
      <c r="F35" s="1394"/>
      <c r="G35" s="882"/>
      <c r="H35" s="882"/>
      <c r="I35" s="889"/>
      <c r="J35" s="889"/>
      <c r="K35" s="889"/>
      <c r="L35" s="889"/>
      <c r="R35" s="163" t="s">
        <v>261</v>
      </c>
      <c r="S35" s="164">
        <f>$L$5</f>
        <v>1254.7313552526061</v>
      </c>
      <c r="T35" s="164">
        <f>SUM(L6:L21)</f>
        <v>158.50855880295074</v>
      </c>
      <c r="U35" s="164">
        <f>S35+T35+V35+W35</f>
        <v>1498.7181204008396</v>
      </c>
      <c r="V35" s="1144">
        <f>SUM(AT6:AT17)</f>
        <v>83.878975576051658</v>
      </c>
      <c r="W35" s="1203">
        <f>L37</f>
        <v>1.5992307692307692</v>
      </c>
    </row>
    <row r="36" spans="2:24" ht="14.25" customHeight="1" x14ac:dyDescent="0.3">
      <c r="B36" s="860" t="s">
        <v>253</v>
      </c>
      <c r="C36" s="860" t="s">
        <v>329</v>
      </c>
      <c r="D36" s="862" t="s">
        <v>671</v>
      </c>
      <c r="E36" s="859" t="s">
        <v>672</v>
      </c>
      <c r="F36" s="862" t="s">
        <v>673</v>
      </c>
      <c r="G36" s="882"/>
      <c r="H36" s="862" t="s">
        <v>673</v>
      </c>
      <c r="I36" s="862" t="s">
        <v>258</v>
      </c>
      <c r="J36" s="862" t="s">
        <v>259</v>
      </c>
      <c r="K36" s="862" t="s">
        <v>260</v>
      </c>
      <c r="L36" s="862" t="s">
        <v>261</v>
      </c>
    </row>
    <row r="37" spans="2:24" ht="14.25" customHeight="1" x14ac:dyDescent="0.3">
      <c r="B37" s="855" t="s">
        <v>746</v>
      </c>
      <c r="C37" s="856" t="s">
        <v>14</v>
      </c>
      <c r="D37" s="857">
        <v>7.0000000000000007E-2</v>
      </c>
      <c r="E37" s="855">
        <f>$AD$1</f>
        <v>330</v>
      </c>
      <c r="F37" s="855">
        <f>D37*E37</f>
        <v>23.1</v>
      </c>
      <c r="G37" s="881"/>
      <c r="H37" s="855">
        <f>F37</f>
        <v>23.1</v>
      </c>
      <c r="I37" s="855">
        <f>VLOOKUP(B37,All_Ingredients!$A$1:$F$151,6,FALSE())</f>
        <v>0.65</v>
      </c>
      <c r="J37" s="855">
        <f>VLOOKUP(B37,All_Ingredients!$A$1:$J$151,10,FALSE())</f>
        <v>45</v>
      </c>
      <c r="K37" s="855">
        <f>(H37/I37)/1000</f>
        <v>3.553846153846154E-2</v>
      </c>
      <c r="L37" s="855">
        <f>K37*J37</f>
        <v>1.5992307692307692</v>
      </c>
    </row>
    <row r="38" spans="2:24" ht="14.25" customHeight="1" x14ac:dyDescent="0.3">
      <c r="F38"/>
      <c r="G38"/>
    </row>
    <row r="39" spans="2:24" ht="14.25" customHeight="1" x14ac:dyDescent="0.3">
      <c r="F39"/>
      <c r="G39"/>
    </row>
    <row r="40" spans="2:24" ht="18.75" customHeight="1" x14ac:dyDescent="0.3">
      <c r="G40"/>
      <c r="R40" s="165" t="s">
        <v>282</v>
      </c>
      <c r="S40" s="166">
        <v>0.76923076923076905</v>
      </c>
      <c r="T40" s="165" t="s">
        <v>283</v>
      </c>
      <c r="U40" s="167">
        <v>0.230769230769231</v>
      </c>
      <c r="V40" s="168">
        <f>S40+U40</f>
        <v>1</v>
      </c>
    </row>
    <row r="41" spans="2:24" ht="14.25" customHeight="1" x14ac:dyDescent="0.3">
      <c r="G41"/>
      <c r="U41" s="169"/>
    </row>
    <row r="43" spans="2:24" ht="14.25" customHeight="1" x14ac:dyDescent="0.3">
      <c r="Q43" s="170" t="s">
        <v>284</v>
      </c>
      <c r="R43" s="170" t="s">
        <v>285</v>
      </c>
      <c r="S43" s="170" t="s">
        <v>286</v>
      </c>
      <c r="T43" s="170" t="s">
        <v>287</v>
      </c>
      <c r="U43" s="170" t="s">
        <v>288</v>
      </c>
      <c r="V43" s="170" t="s">
        <v>289</v>
      </c>
      <c r="W43" s="170" t="s">
        <v>290</v>
      </c>
      <c r="X43" s="170" t="s">
        <v>319</v>
      </c>
    </row>
    <row r="44" spans="2:24" ht="14.25" customHeight="1" x14ac:dyDescent="0.3">
      <c r="Q44" s="172">
        <v>43334</v>
      </c>
      <c r="R44" s="173">
        <f>D51</f>
        <v>10000</v>
      </c>
      <c r="S44" s="174">
        <v>1</v>
      </c>
      <c r="T44" s="174">
        <v>0</v>
      </c>
      <c r="U44" s="242">
        <f>R44*S44</f>
        <v>10000</v>
      </c>
      <c r="V44" s="176">
        <f>R44*T44</f>
        <v>0</v>
      </c>
      <c r="W44" s="176">
        <f>Q44-U44</f>
        <v>33334</v>
      </c>
      <c r="X44" s="176">
        <f>W44/$R$1</f>
        <v>57472.413793103449</v>
      </c>
    </row>
    <row r="50" spans="1:10" x14ac:dyDescent="0.3">
      <c r="B50" s="145"/>
      <c r="C50" s="145" t="s">
        <v>245</v>
      </c>
      <c r="D50" s="145" t="s">
        <v>291</v>
      </c>
      <c r="E50" s="100"/>
      <c r="F50" s="100"/>
      <c r="G50" s="145" t="s">
        <v>292</v>
      </c>
      <c r="H50" s="145" t="s">
        <v>245</v>
      </c>
      <c r="I50" s="145" t="s">
        <v>293</v>
      </c>
      <c r="J50" s="145" t="s">
        <v>294</v>
      </c>
    </row>
    <row r="51" spans="1:10" ht="14" customHeight="1" x14ac:dyDescent="0.3">
      <c r="B51" s="180" t="s">
        <v>295</v>
      </c>
      <c r="C51" s="181">
        <f>10/$K$1</f>
        <v>10.1010101010101</v>
      </c>
      <c r="D51" s="182">
        <f>$C$1*10</f>
        <v>10000</v>
      </c>
      <c r="E51" s="183"/>
      <c r="F51" s="100"/>
      <c r="G51" s="180" t="s">
        <v>295</v>
      </c>
      <c r="H51" s="277">
        <v>10</v>
      </c>
      <c r="I51" s="181">
        <f>J51/$R$1</f>
        <v>57472.413793103449</v>
      </c>
      <c r="J51" s="181">
        <f>$W$44</f>
        <v>33334</v>
      </c>
    </row>
    <row r="52" spans="1:10" ht="14" customHeight="1" x14ac:dyDescent="0.3">
      <c r="B52" s="231" t="s">
        <v>274</v>
      </c>
      <c r="C52" s="232">
        <f>$I$1</f>
        <v>11.090909090909102</v>
      </c>
      <c r="D52" s="233">
        <f>$E$1</f>
        <v>10980.000000000011</v>
      </c>
      <c r="E52" s="100"/>
      <c r="F52" s="100"/>
      <c r="G52" s="148" t="s">
        <v>274</v>
      </c>
      <c r="H52" s="210">
        <f>I52/$D$5</f>
        <v>10.97978040439191</v>
      </c>
      <c r="I52" s="176">
        <f>J52/$R$1</f>
        <v>63103.448275862058</v>
      </c>
      <c r="J52" s="184">
        <f>$S$32</f>
        <v>36599.999999999993</v>
      </c>
    </row>
    <row r="53" spans="1:10" x14ac:dyDescent="0.3">
      <c r="B53" s="231" t="s">
        <v>296</v>
      </c>
      <c r="C53" s="234">
        <f>MIN(C52, C51)</f>
        <v>10.1010101010101</v>
      </c>
      <c r="D53" s="233">
        <f>(C53*$K$1)*$C$1</f>
        <v>10000</v>
      </c>
      <c r="E53" s="100"/>
      <c r="F53" s="100"/>
      <c r="G53" s="148" t="s">
        <v>296</v>
      </c>
      <c r="H53" s="187">
        <f>MIN(H52,H51)</f>
        <v>10</v>
      </c>
      <c r="I53" s="176">
        <f>J53/$R$1</f>
        <v>57472.413793103449</v>
      </c>
      <c r="J53" s="176">
        <f>MIN(J52,J51)</f>
        <v>33334</v>
      </c>
    </row>
    <row r="54" spans="1:10" x14ac:dyDescent="0.3">
      <c r="B54" s="231" t="s">
        <v>297</v>
      </c>
      <c r="C54" s="234">
        <f>MIN(MAX(C52-C53,0),C51)</f>
        <v>0.98989898989900205</v>
      </c>
      <c r="D54" s="233">
        <f>(C54*$K$1)*$C$1</f>
        <v>980.00000000001194</v>
      </c>
      <c r="E54" s="100"/>
      <c r="F54" s="100"/>
      <c r="G54" s="148" t="s">
        <v>297</v>
      </c>
      <c r="H54" s="187">
        <f>MIN(MAX(H52-H53),H51)</f>
        <v>0.97978040439191005</v>
      </c>
      <c r="I54" s="176">
        <f>J54/$R$1</f>
        <v>5631.0344827586086</v>
      </c>
      <c r="J54" s="176">
        <f>MIN(MAX(J52-J53),J51)</f>
        <v>3265.9999999999927</v>
      </c>
    </row>
    <row r="55" spans="1:10" x14ac:dyDescent="0.3">
      <c r="B55" s="231" t="s">
        <v>298</v>
      </c>
      <c r="C55" s="234">
        <f>MIN(MAX(C52-C53-C54,0),C51)</f>
        <v>0</v>
      </c>
      <c r="D55" s="233">
        <f>(C55*$K$1)*$C$1</f>
        <v>0</v>
      </c>
      <c r="E55" s="100"/>
      <c r="F55" s="100"/>
      <c r="G55" s="145" t="s">
        <v>298</v>
      </c>
      <c r="H55" s="187">
        <f>MIN(MAX(H52-H53-H54),H51)</f>
        <v>0</v>
      </c>
      <c r="I55" s="176">
        <f>J55/$R$1</f>
        <v>0</v>
      </c>
      <c r="J55" s="176">
        <f>MIN(MAX(J52-J53-J54),J51)</f>
        <v>0</v>
      </c>
    </row>
    <row r="62" spans="1:10" ht="17.75" customHeight="1" x14ac:dyDescent="0.3">
      <c r="A62" s="937"/>
      <c r="B62" s="1382" t="str">
        <f>"دجاج تكا  1 / " &amp; COUNTIF($C$53:$C$55, "&gt;0")</f>
        <v>دجاج تكا  1 / 2</v>
      </c>
      <c r="C62" s="1383"/>
      <c r="D62" s="1383"/>
      <c r="E62" s="1383"/>
      <c r="F62" s="1383"/>
      <c r="G62" s="1383"/>
      <c r="H62" s="1383"/>
    </row>
    <row r="63" spans="1:10" ht="17.75" customHeight="1" x14ac:dyDescent="0.3">
      <c r="A63" s="937"/>
      <c r="B63" s="1384" t="str">
        <f>"Chicken Tikka  1 / " &amp; COUNTIF($C$53:$C$55, "&gt;0")</f>
        <v>Chicken Tikka  1 / 2</v>
      </c>
      <c r="C63" s="1385"/>
      <c r="D63" s="1385"/>
      <c r="E63" s="1385"/>
      <c r="F63" s="1385"/>
      <c r="G63" s="1385"/>
      <c r="H63" s="1385"/>
    </row>
    <row r="64" spans="1:10" ht="25.5" customHeight="1" x14ac:dyDescent="0.25">
      <c r="A64" s="91"/>
      <c r="B64" s="243" t="s">
        <v>253</v>
      </c>
      <c r="C64" s="244" t="s">
        <v>254</v>
      </c>
      <c r="D64" s="245" t="s">
        <v>243</v>
      </c>
      <c r="E64" s="218" t="s">
        <v>246</v>
      </c>
      <c r="F64" s="218" t="s">
        <v>255</v>
      </c>
      <c r="G64" s="245" t="s">
        <v>256</v>
      </c>
      <c r="H64" s="218" t="s">
        <v>257</v>
      </c>
    </row>
    <row r="65" spans="1:8" ht="14.25" customHeight="1" x14ac:dyDescent="0.3">
      <c r="A65" s="128" t="s">
        <v>230</v>
      </c>
      <c r="B65" s="294" t="str">
        <f t="shared" ref="B65:D81" si="14">B5</f>
        <v>Chicken - دجاج</v>
      </c>
      <c r="C65" s="294" t="str">
        <f t="shared" si="14"/>
        <v>gm</v>
      </c>
      <c r="D65" s="417">
        <f t="shared" si="14"/>
        <v>5747.2413793103451</v>
      </c>
      <c r="E65" s="126">
        <f>H53</f>
        <v>10</v>
      </c>
      <c r="F65" s="127">
        <f t="shared" ref="F65:F81" si="15">F5</f>
        <v>1</v>
      </c>
      <c r="G65" s="119">
        <f t="shared" ref="G65:G81" si="16">D65*E65</f>
        <v>57472.413793103449</v>
      </c>
      <c r="H65" s="120">
        <f t="shared" ref="H65:H81" si="17">G65*F65</f>
        <v>57472.413793103449</v>
      </c>
    </row>
    <row r="66" spans="1:8" ht="14.25" customHeight="1" x14ac:dyDescent="0.3">
      <c r="A66" s="128" t="s">
        <v>13</v>
      </c>
      <c r="B66" s="294" t="str">
        <f t="shared" si="14"/>
        <v>Onion - بصل</v>
      </c>
      <c r="C66" s="294" t="str">
        <f t="shared" si="14"/>
        <v>gm</v>
      </c>
      <c r="D66" s="294">
        <f t="shared" si="14"/>
        <v>200</v>
      </c>
      <c r="E66" s="126">
        <f>$C$53</f>
        <v>10.1010101010101</v>
      </c>
      <c r="F66" s="127">
        <f t="shared" si="15"/>
        <v>0.95</v>
      </c>
      <c r="G66" s="119">
        <f t="shared" si="16"/>
        <v>2020.2020202020201</v>
      </c>
      <c r="H66" s="120">
        <f t="shared" si="17"/>
        <v>1919.1919191919189</v>
      </c>
    </row>
    <row r="67" spans="1:8" ht="14.25" customHeight="1" x14ac:dyDescent="0.3">
      <c r="A67" s="128" t="s">
        <v>13</v>
      </c>
      <c r="B67" s="294" t="str">
        <f t="shared" si="14"/>
        <v>Tomato - طماطم</v>
      </c>
      <c r="C67" s="294" t="str">
        <f t="shared" si="14"/>
        <v>gm</v>
      </c>
      <c r="D67" s="294">
        <f t="shared" si="14"/>
        <v>500</v>
      </c>
      <c r="E67" s="126">
        <f t="shared" ref="E67:E81" si="18">$C$53</f>
        <v>10.1010101010101</v>
      </c>
      <c r="F67" s="127">
        <f t="shared" si="15"/>
        <v>0.95</v>
      </c>
      <c r="G67" s="119">
        <f t="shared" si="16"/>
        <v>5050.5050505050503</v>
      </c>
      <c r="H67" s="120">
        <f t="shared" si="17"/>
        <v>4797.9797979797977</v>
      </c>
    </row>
    <row r="68" spans="1:8" ht="14.25" customHeight="1" x14ac:dyDescent="0.3">
      <c r="A68" s="128" t="s">
        <v>57</v>
      </c>
      <c r="B68" s="294" t="str">
        <f t="shared" si="14"/>
        <v>Ginger - زنجبيل</v>
      </c>
      <c r="C68" s="294" t="str">
        <f t="shared" si="14"/>
        <v>gm</v>
      </c>
      <c r="D68" s="294">
        <f t="shared" si="14"/>
        <v>25</v>
      </c>
      <c r="E68" s="126">
        <f t="shared" si="18"/>
        <v>10.1010101010101</v>
      </c>
      <c r="F68" s="127">
        <f t="shared" si="15"/>
        <v>1</v>
      </c>
      <c r="G68" s="119">
        <f t="shared" si="16"/>
        <v>252.52525252525251</v>
      </c>
      <c r="H68" s="120">
        <f t="shared" si="17"/>
        <v>252.52525252525251</v>
      </c>
    </row>
    <row r="69" spans="1:8" ht="14.25" customHeight="1" x14ac:dyDescent="0.3">
      <c r="A69" s="128" t="s">
        <v>13</v>
      </c>
      <c r="B69" s="294" t="str">
        <f t="shared" si="14"/>
        <v>Garlic - ثوم مقشر</v>
      </c>
      <c r="C69" s="294" t="str">
        <f t="shared" si="14"/>
        <v>gm</v>
      </c>
      <c r="D69" s="294">
        <f t="shared" si="14"/>
        <v>40</v>
      </c>
      <c r="E69" s="126">
        <f t="shared" si="18"/>
        <v>10.1010101010101</v>
      </c>
      <c r="F69" s="127">
        <f t="shared" si="15"/>
        <v>1</v>
      </c>
      <c r="G69" s="119">
        <f t="shared" si="16"/>
        <v>404.04040404040404</v>
      </c>
      <c r="H69" s="120">
        <f t="shared" si="17"/>
        <v>404.04040404040404</v>
      </c>
    </row>
    <row r="70" spans="1:8" ht="14.25" customHeight="1" x14ac:dyDescent="0.3">
      <c r="A70" s="128" t="s">
        <v>97</v>
      </c>
      <c r="B70" s="294" t="str">
        <f t="shared" si="14"/>
        <v>Turmeric - كركم</v>
      </c>
      <c r="C70" s="294" t="str">
        <f t="shared" si="14"/>
        <v>gm</v>
      </c>
      <c r="D70" s="294">
        <f t="shared" si="14"/>
        <v>5</v>
      </c>
      <c r="E70" s="126">
        <f t="shared" si="18"/>
        <v>10.1010101010101</v>
      </c>
      <c r="F70" s="127">
        <f t="shared" si="15"/>
        <v>0.75</v>
      </c>
      <c r="G70" s="119">
        <f t="shared" si="16"/>
        <v>50.505050505050505</v>
      </c>
      <c r="H70" s="120">
        <f t="shared" si="17"/>
        <v>37.878787878787875</v>
      </c>
    </row>
    <row r="71" spans="1:8" ht="14.25" customHeight="1" x14ac:dyDescent="0.3">
      <c r="A71" s="128" t="s">
        <v>97</v>
      </c>
      <c r="B71" s="294" t="str">
        <f t="shared" si="14"/>
        <v>Cumin Powder - كمون مطحون</v>
      </c>
      <c r="C71" s="294" t="str">
        <f t="shared" si="14"/>
        <v>gm</v>
      </c>
      <c r="D71" s="294">
        <f t="shared" si="14"/>
        <v>15</v>
      </c>
      <c r="E71" s="126">
        <f t="shared" si="18"/>
        <v>10.1010101010101</v>
      </c>
      <c r="F71" s="127">
        <f t="shared" si="15"/>
        <v>1</v>
      </c>
      <c r="G71" s="119">
        <f t="shared" si="16"/>
        <v>151.5151515151515</v>
      </c>
      <c r="H71" s="120">
        <f t="shared" si="17"/>
        <v>151.5151515151515</v>
      </c>
    </row>
    <row r="72" spans="1:8" ht="14.25" customHeight="1" x14ac:dyDescent="0.3">
      <c r="A72" s="128" t="s">
        <v>97</v>
      </c>
      <c r="B72" s="294" t="str">
        <f t="shared" si="14"/>
        <v>Biryani Masala - بهارات برياني</v>
      </c>
      <c r="C72" s="294" t="str">
        <f t="shared" si="14"/>
        <v>gm</v>
      </c>
      <c r="D72" s="294">
        <f t="shared" si="14"/>
        <v>25</v>
      </c>
      <c r="E72" s="126">
        <f t="shared" si="18"/>
        <v>10.1010101010101</v>
      </c>
      <c r="F72" s="127">
        <f t="shared" si="15"/>
        <v>0.75</v>
      </c>
      <c r="G72" s="119">
        <f t="shared" si="16"/>
        <v>252.52525252525251</v>
      </c>
      <c r="H72" s="120">
        <f t="shared" si="17"/>
        <v>189.39393939393938</v>
      </c>
    </row>
    <row r="73" spans="1:8" ht="14" customHeight="1" x14ac:dyDescent="0.3">
      <c r="A73" s="128" t="s">
        <v>158</v>
      </c>
      <c r="B73" s="294" t="str">
        <f t="shared" si="14"/>
        <v>Labneh - لبنة</v>
      </c>
      <c r="C73" s="294" t="str">
        <f t="shared" si="14"/>
        <v>gm</v>
      </c>
      <c r="D73" s="294">
        <f t="shared" si="14"/>
        <v>300</v>
      </c>
      <c r="E73" s="126">
        <f t="shared" si="18"/>
        <v>10.1010101010101</v>
      </c>
      <c r="F73" s="127">
        <f t="shared" si="15"/>
        <v>1</v>
      </c>
      <c r="G73" s="119">
        <f t="shared" si="16"/>
        <v>3030.30303030303</v>
      </c>
      <c r="H73" s="120">
        <f t="shared" si="17"/>
        <v>3030.30303030303</v>
      </c>
    </row>
    <row r="74" spans="1:8" ht="14" customHeight="1" x14ac:dyDescent="0.3">
      <c r="A74" s="128" t="s">
        <v>158</v>
      </c>
      <c r="B74" s="294" t="str">
        <f t="shared" si="14"/>
        <v>Cooking Cream - كريمة طبخ</v>
      </c>
      <c r="C74" s="294" t="str">
        <f t="shared" si="14"/>
        <v>ml</v>
      </c>
      <c r="D74" s="294">
        <f t="shared" si="14"/>
        <v>300</v>
      </c>
      <c r="E74" s="126">
        <f t="shared" si="18"/>
        <v>10.1010101010101</v>
      </c>
      <c r="F74" s="127">
        <f t="shared" si="15"/>
        <v>1</v>
      </c>
      <c r="G74" s="119">
        <f t="shared" si="16"/>
        <v>3030.30303030303</v>
      </c>
      <c r="H74" s="120">
        <f t="shared" si="17"/>
        <v>3030.30303030303</v>
      </c>
    </row>
    <row r="75" spans="1:8" ht="14.25" customHeight="1" x14ac:dyDescent="0.3">
      <c r="A75" s="128" t="s">
        <v>63</v>
      </c>
      <c r="B75" s="294" t="str">
        <f t="shared" si="14"/>
        <v>Coriander Leaves - كزبرة خضراء</v>
      </c>
      <c r="C75" s="294" t="str">
        <f t="shared" si="14"/>
        <v>gm</v>
      </c>
      <c r="D75" s="294">
        <f t="shared" si="14"/>
        <v>30</v>
      </c>
      <c r="E75" s="126">
        <f t="shared" si="18"/>
        <v>10.1010101010101</v>
      </c>
      <c r="F75" s="127">
        <f t="shared" si="15"/>
        <v>1</v>
      </c>
      <c r="G75" s="119">
        <f t="shared" si="16"/>
        <v>303.030303030303</v>
      </c>
      <c r="H75" s="120">
        <f t="shared" si="17"/>
        <v>303.030303030303</v>
      </c>
    </row>
    <row r="76" spans="1:8" ht="14.25" customHeight="1" x14ac:dyDescent="0.3">
      <c r="A76" s="128" t="s">
        <v>63</v>
      </c>
      <c r="B76" s="294" t="str">
        <f t="shared" si="14"/>
        <v>Mint Leaves - نعناع طازج</v>
      </c>
      <c r="C76" s="294" t="str">
        <f t="shared" si="14"/>
        <v>gm</v>
      </c>
      <c r="D76" s="294">
        <f t="shared" si="14"/>
        <v>25</v>
      </c>
      <c r="E76" s="126">
        <f t="shared" si="18"/>
        <v>10.1010101010101</v>
      </c>
      <c r="F76" s="127">
        <f t="shared" si="15"/>
        <v>1</v>
      </c>
      <c r="G76" s="119">
        <f t="shared" si="16"/>
        <v>252.52525252525251</v>
      </c>
      <c r="H76" s="120">
        <f t="shared" si="17"/>
        <v>252.52525252525251</v>
      </c>
    </row>
    <row r="77" spans="1:8" ht="14.25" customHeight="1" x14ac:dyDescent="0.3">
      <c r="A77" s="128" t="s">
        <v>97</v>
      </c>
      <c r="B77" s="294" t="str">
        <f t="shared" si="14"/>
        <v>Salt - ملح</v>
      </c>
      <c r="C77" s="294" t="str">
        <f t="shared" si="14"/>
        <v>gm</v>
      </c>
      <c r="D77" s="294">
        <f t="shared" si="14"/>
        <v>11</v>
      </c>
      <c r="E77" s="126">
        <f t="shared" si="18"/>
        <v>10.1010101010101</v>
      </c>
      <c r="F77" s="127">
        <f t="shared" si="15"/>
        <v>0.75</v>
      </c>
      <c r="G77" s="119">
        <f t="shared" si="16"/>
        <v>111.1111111111111</v>
      </c>
      <c r="H77" s="120">
        <f t="shared" si="17"/>
        <v>83.333333333333329</v>
      </c>
    </row>
    <row r="78" spans="1:8" ht="14.25" customHeight="1" x14ac:dyDescent="0.3">
      <c r="A78" s="128" t="s">
        <v>97</v>
      </c>
      <c r="B78" s="294" t="str">
        <f t="shared" si="14"/>
        <v>Red Chilli Powder - شطة حمراء مطحونة</v>
      </c>
      <c r="C78" s="294" t="str">
        <f t="shared" si="14"/>
        <v>gm</v>
      </c>
      <c r="D78" s="294">
        <f t="shared" si="14"/>
        <v>5</v>
      </c>
      <c r="E78" s="126">
        <f t="shared" si="18"/>
        <v>10.1010101010101</v>
      </c>
      <c r="F78" s="127">
        <f t="shared" si="15"/>
        <v>0.75</v>
      </c>
      <c r="G78" s="119">
        <f t="shared" si="16"/>
        <v>50.505050505050505</v>
      </c>
      <c r="H78" s="120">
        <f t="shared" si="17"/>
        <v>37.878787878787875</v>
      </c>
    </row>
    <row r="79" spans="1:8" ht="14.25" customHeight="1" x14ac:dyDescent="0.3">
      <c r="A79" s="128" t="s">
        <v>97</v>
      </c>
      <c r="B79" s="294" t="str">
        <f t="shared" si="14"/>
        <v>Coriander Powder - كزبرة مطحونة</v>
      </c>
      <c r="C79" s="294" t="str">
        <f t="shared" si="14"/>
        <v>gm</v>
      </c>
      <c r="D79" s="294">
        <f t="shared" si="14"/>
        <v>15</v>
      </c>
      <c r="E79" s="126">
        <f t="shared" si="18"/>
        <v>10.1010101010101</v>
      </c>
      <c r="F79" s="127">
        <f t="shared" si="15"/>
        <v>1</v>
      </c>
      <c r="G79" s="119">
        <f t="shared" si="16"/>
        <v>151.5151515151515</v>
      </c>
      <c r="H79" s="120">
        <f t="shared" si="17"/>
        <v>151.5151515151515</v>
      </c>
    </row>
    <row r="80" spans="1:8" ht="14.25" customHeight="1" x14ac:dyDescent="0.3">
      <c r="A80" s="128" t="s">
        <v>220</v>
      </c>
      <c r="B80" s="294" t="str">
        <f t="shared" si="14"/>
        <v>Orange Color - لون برتقالي</v>
      </c>
      <c r="C80" s="294" t="str">
        <f t="shared" si="14"/>
        <v>gm</v>
      </c>
      <c r="D80" s="294">
        <f t="shared" si="14"/>
        <v>3</v>
      </c>
      <c r="E80" s="126">
        <f t="shared" si="18"/>
        <v>10.1010101010101</v>
      </c>
      <c r="F80" s="127">
        <f t="shared" si="15"/>
        <v>0.75</v>
      </c>
      <c r="G80" s="119">
        <f t="shared" si="16"/>
        <v>30.303030303030301</v>
      </c>
      <c r="H80" s="120">
        <f t="shared" si="17"/>
        <v>22.727272727272727</v>
      </c>
    </row>
    <row r="81" spans="1:8" ht="14.25" customHeight="1" x14ac:dyDescent="0.3">
      <c r="A81" s="128" t="s">
        <v>158</v>
      </c>
      <c r="B81" s="294" t="str">
        <f t="shared" si="14"/>
        <v>Butter - زبدة</v>
      </c>
      <c r="C81" s="294" t="str">
        <f t="shared" si="14"/>
        <v>gm</v>
      </c>
      <c r="D81" s="294">
        <f t="shared" si="14"/>
        <v>60</v>
      </c>
      <c r="E81" s="126">
        <f t="shared" si="18"/>
        <v>10.1010101010101</v>
      </c>
      <c r="F81" s="127">
        <f t="shared" si="15"/>
        <v>1</v>
      </c>
      <c r="G81" s="119">
        <f t="shared" si="16"/>
        <v>606.06060606060601</v>
      </c>
      <c r="H81" s="120">
        <f t="shared" si="17"/>
        <v>606.06060606060601</v>
      </c>
    </row>
    <row r="82" spans="1:8" ht="20.25" customHeight="1" x14ac:dyDescent="0.3">
      <c r="A82" s="211"/>
      <c r="B82" s="198" t="s">
        <v>299</v>
      </c>
      <c r="C82" s="200" t="s">
        <v>285</v>
      </c>
      <c r="E82" s="200" t="s">
        <v>300</v>
      </c>
      <c r="G82" s="890" t="s">
        <v>276</v>
      </c>
      <c r="H82" s="890" t="s">
        <v>733</v>
      </c>
    </row>
    <row r="83" spans="1:8" ht="21.5" customHeight="1" x14ac:dyDescent="0.4">
      <c r="A83" s="211"/>
      <c r="B83" s="199">
        <f>$J$53</f>
        <v>33334</v>
      </c>
      <c r="C83" s="199">
        <f>E83+G83</f>
        <v>10000</v>
      </c>
      <c r="D83" s="209"/>
      <c r="E83" s="199">
        <f>$D$53*$S$44</f>
        <v>10000</v>
      </c>
      <c r="F83" s="100"/>
      <c r="G83" s="202">
        <f>$D$53*$T$44</f>
        <v>0</v>
      </c>
      <c r="H83" s="931">
        <f>B83+E83</f>
        <v>43334</v>
      </c>
    </row>
    <row r="84" spans="1:8" ht="14.25" customHeight="1" x14ac:dyDescent="0.3">
      <c r="B84" s="100"/>
      <c r="E84" s="100"/>
      <c r="F84" s="100"/>
    </row>
    <row r="85" spans="1:8" ht="14.25" customHeight="1" x14ac:dyDescent="0.3">
      <c r="B85" s="100"/>
      <c r="C85" s="100"/>
      <c r="D85" s="100"/>
      <c r="E85" s="100"/>
      <c r="F85" s="100"/>
      <c r="G85" s="100"/>
      <c r="H85" s="100"/>
    </row>
    <row r="86" spans="1:8" ht="17.75" customHeight="1" x14ac:dyDescent="0.3">
      <c r="A86" s="937"/>
      <c r="B86" s="1382" t="str">
        <f>"دجاج تكا  2 / " &amp; COUNTIF($C$53:$C$55, "&gt;0")</f>
        <v>دجاج تكا  2 / 2</v>
      </c>
      <c r="C86" s="1383"/>
      <c r="D86" s="1383"/>
      <c r="E86" s="1383"/>
      <c r="F86" s="1383"/>
      <c r="G86" s="1383"/>
      <c r="H86" s="1383"/>
    </row>
    <row r="87" spans="1:8" ht="17.75" customHeight="1" x14ac:dyDescent="0.3">
      <c r="A87" s="937"/>
      <c r="B87" s="1384" t="str">
        <f>"Chicken Tikka  2 / " &amp; COUNTIF($C$53:$C$55, "&gt;0")</f>
        <v>Chicken Tikka  2 / 2</v>
      </c>
      <c r="C87" s="1385"/>
      <c r="D87" s="1385"/>
      <c r="E87" s="1385"/>
      <c r="F87" s="1385"/>
      <c r="G87" s="1385"/>
      <c r="H87" s="1385"/>
    </row>
    <row r="88" spans="1:8" ht="25.5" customHeight="1" x14ac:dyDescent="0.25">
      <c r="A88" s="91"/>
      <c r="B88" s="243" t="s">
        <v>253</v>
      </c>
      <c r="C88" s="244" t="s">
        <v>254</v>
      </c>
      <c r="D88" s="245" t="s">
        <v>243</v>
      </c>
      <c r="E88" s="218" t="s">
        <v>246</v>
      </c>
      <c r="F88" s="218" t="s">
        <v>255</v>
      </c>
      <c r="G88" s="245" t="s">
        <v>256</v>
      </c>
      <c r="H88" s="218" t="s">
        <v>257</v>
      </c>
    </row>
    <row r="89" spans="1:8" ht="14.25" customHeight="1" x14ac:dyDescent="0.3">
      <c r="A89" s="128" t="s">
        <v>230</v>
      </c>
      <c r="B89" s="294" t="str">
        <f t="shared" ref="B89:D105" si="19">B5</f>
        <v>Chicken - دجاج</v>
      </c>
      <c r="C89" s="294" t="str">
        <f t="shared" si="19"/>
        <v>gm</v>
      </c>
      <c r="D89" s="417">
        <f t="shared" si="19"/>
        <v>5747.2413793103451</v>
      </c>
      <c r="E89" s="126">
        <f>H54</f>
        <v>0.97978040439191005</v>
      </c>
      <c r="F89" s="127">
        <f t="shared" ref="F89:F105" si="20">F5</f>
        <v>1</v>
      </c>
      <c r="G89" s="119">
        <f t="shared" ref="G89:G105" si="21">D89*E89</f>
        <v>5631.0344827586086</v>
      </c>
      <c r="H89" s="120">
        <f t="shared" ref="H89:H105" si="22">G89*F89</f>
        <v>5631.0344827586086</v>
      </c>
    </row>
    <row r="90" spans="1:8" ht="14.25" customHeight="1" x14ac:dyDescent="0.3">
      <c r="A90" s="128" t="s">
        <v>13</v>
      </c>
      <c r="B90" s="294" t="str">
        <f t="shared" si="19"/>
        <v>Onion - بصل</v>
      </c>
      <c r="C90" s="294" t="str">
        <f t="shared" si="19"/>
        <v>gm</v>
      </c>
      <c r="D90" s="294">
        <f t="shared" si="19"/>
        <v>200</v>
      </c>
      <c r="E90" s="126">
        <f t="shared" ref="E90:E105" si="23">$C$54</f>
        <v>0.98989898989900205</v>
      </c>
      <c r="F90" s="127">
        <f t="shared" si="20"/>
        <v>0.95</v>
      </c>
      <c r="G90" s="119">
        <f t="shared" si="21"/>
        <v>197.97979797980042</v>
      </c>
      <c r="H90" s="120">
        <f t="shared" si="22"/>
        <v>188.08080808081039</v>
      </c>
    </row>
    <row r="91" spans="1:8" ht="14.25" customHeight="1" x14ac:dyDescent="0.3">
      <c r="A91" s="128" t="s">
        <v>13</v>
      </c>
      <c r="B91" s="294" t="str">
        <f t="shared" si="19"/>
        <v>Tomato - طماطم</v>
      </c>
      <c r="C91" s="294" t="str">
        <f t="shared" si="19"/>
        <v>gm</v>
      </c>
      <c r="D91" s="294">
        <f t="shared" si="19"/>
        <v>500</v>
      </c>
      <c r="E91" s="126">
        <f t="shared" si="23"/>
        <v>0.98989898989900205</v>
      </c>
      <c r="F91" s="127">
        <f t="shared" si="20"/>
        <v>0.95</v>
      </c>
      <c r="G91" s="119">
        <f t="shared" si="21"/>
        <v>494.949494949501</v>
      </c>
      <c r="H91" s="120">
        <f t="shared" si="22"/>
        <v>470.20202020202595</v>
      </c>
    </row>
    <row r="92" spans="1:8" ht="14.25" customHeight="1" x14ac:dyDescent="0.3">
      <c r="A92" s="128" t="s">
        <v>57</v>
      </c>
      <c r="B92" s="294" t="str">
        <f t="shared" si="19"/>
        <v>Ginger - زنجبيل</v>
      </c>
      <c r="C92" s="294" t="str">
        <f t="shared" si="19"/>
        <v>gm</v>
      </c>
      <c r="D92" s="294">
        <f t="shared" si="19"/>
        <v>25</v>
      </c>
      <c r="E92" s="126">
        <f t="shared" si="23"/>
        <v>0.98989898989900205</v>
      </c>
      <c r="F92" s="127">
        <f t="shared" si="20"/>
        <v>1</v>
      </c>
      <c r="G92" s="119">
        <f t="shared" si="21"/>
        <v>24.747474747475053</v>
      </c>
      <c r="H92" s="120">
        <f t="shared" si="22"/>
        <v>24.747474747475053</v>
      </c>
    </row>
    <row r="93" spans="1:8" ht="14.25" customHeight="1" x14ac:dyDescent="0.3">
      <c r="A93" s="128" t="s">
        <v>13</v>
      </c>
      <c r="B93" s="294" t="str">
        <f t="shared" si="19"/>
        <v>Garlic - ثوم مقشر</v>
      </c>
      <c r="C93" s="294" t="str">
        <f t="shared" si="19"/>
        <v>gm</v>
      </c>
      <c r="D93" s="294">
        <f t="shared" si="19"/>
        <v>40</v>
      </c>
      <c r="E93" s="126">
        <f t="shared" si="23"/>
        <v>0.98989898989900205</v>
      </c>
      <c r="F93" s="127">
        <f t="shared" si="20"/>
        <v>1</v>
      </c>
      <c r="G93" s="119">
        <f t="shared" si="21"/>
        <v>39.595959595960082</v>
      </c>
      <c r="H93" s="120">
        <f t="shared" si="22"/>
        <v>39.595959595960082</v>
      </c>
    </row>
    <row r="94" spans="1:8" ht="14.25" customHeight="1" x14ac:dyDescent="0.3">
      <c r="A94" s="128" t="s">
        <v>97</v>
      </c>
      <c r="B94" s="294" t="str">
        <f t="shared" si="19"/>
        <v>Turmeric - كركم</v>
      </c>
      <c r="C94" s="294" t="str">
        <f t="shared" si="19"/>
        <v>gm</v>
      </c>
      <c r="D94" s="294">
        <f t="shared" si="19"/>
        <v>5</v>
      </c>
      <c r="E94" s="126">
        <f t="shared" si="23"/>
        <v>0.98989898989900205</v>
      </c>
      <c r="F94" s="127">
        <f t="shared" si="20"/>
        <v>0.75</v>
      </c>
      <c r="G94" s="119">
        <f t="shared" si="21"/>
        <v>4.9494949494950102</v>
      </c>
      <c r="H94" s="120">
        <f t="shared" si="22"/>
        <v>3.7121212121212577</v>
      </c>
    </row>
    <row r="95" spans="1:8" ht="14.25" customHeight="1" x14ac:dyDescent="0.3">
      <c r="A95" s="128" t="s">
        <v>97</v>
      </c>
      <c r="B95" s="294" t="str">
        <f t="shared" si="19"/>
        <v>Cumin Powder - كمون مطحون</v>
      </c>
      <c r="C95" s="294" t="str">
        <f t="shared" si="19"/>
        <v>gm</v>
      </c>
      <c r="D95" s="294">
        <f t="shared" si="19"/>
        <v>15</v>
      </c>
      <c r="E95" s="126">
        <f t="shared" si="23"/>
        <v>0.98989898989900205</v>
      </c>
      <c r="F95" s="127">
        <f t="shared" si="20"/>
        <v>1</v>
      </c>
      <c r="G95" s="119">
        <f t="shared" si="21"/>
        <v>14.848484848485031</v>
      </c>
      <c r="H95" s="120">
        <f t="shared" si="22"/>
        <v>14.848484848485031</v>
      </c>
    </row>
    <row r="96" spans="1:8" ht="14.25" customHeight="1" x14ac:dyDescent="0.3">
      <c r="A96" s="128" t="s">
        <v>97</v>
      </c>
      <c r="B96" s="294" t="str">
        <f t="shared" si="19"/>
        <v>Biryani Masala - بهارات برياني</v>
      </c>
      <c r="C96" s="294" t="str">
        <f t="shared" si="19"/>
        <v>gm</v>
      </c>
      <c r="D96" s="294">
        <f t="shared" si="19"/>
        <v>25</v>
      </c>
      <c r="E96" s="126">
        <f t="shared" si="23"/>
        <v>0.98989898989900205</v>
      </c>
      <c r="F96" s="127">
        <f t="shared" si="20"/>
        <v>0.75</v>
      </c>
      <c r="G96" s="119">
        <f t="shared" si="21"/>
        <v>24.747474747475053</v>
      </c>
      <c r="H96" s="120">
        <f t="shared" si="22"/>
        <v>18.56060606060629</v>
      </c>
    </row>
    <row r="97" spans="1:10" ht="14.25" customHeight="1" x14ac:dyDescent="0.3">
      <c r="A97" s="128" t="s">
        <v>158</v>
      </c>
      <c r="B97" s="294" t="str">
        <f t="shared" si="19"/>
        <v>Labneh - لبنة</v>
      </c>
      <c r="C97" s="294" t="str">
        <f t="shared" si="19"/>
        <v>gm</v>
      </c>
      <c r="D97" s="294">
        <f t="shared" si="19"/>
        <v>300</v>
      </c>
      <c r="E97" s="126">
        <f t="shared" si="23"/>
        <v>0.98989898989900205</v>
      </c>
      <c r="F97" s="127">
        <f t="shared" si="20"/>
        <v>1</v>
      </c>
      <c r="G97" s="119">
        <f t="shared" si="21"/>
        <v>296.96969696970064</v>
      </c>
      <c r="H97" s="120">
        <f t="shared" si="22"/>
        <v>296.96969696970064</v>
      </c>
    </row>
    <row r="98" spans="1:10" ht="14.25" customHeight="1" x14ac:dyDescent="0.3">
      <c r="A98" s="128" t="s">
        <v>158</v>
      </c>
      <c r="B98" s="294" t="str">
        <f t="shared" si="19"/>
        <v>Cooking Cream - كريمة طبخ</v>
      </c>
      <c r="C98" s="294" t="str">
        <f t="shared" si="19"/>
        <v>ml</v>
      </c>
      <c r="D98" s="294">
        <f t="shared" si="19"/>
        <v>300</v>
      </c>
      <c r="E98" s="126">
        <f t="shared" si="23"/>
        <v>0.98989898989900205</v>
      </c>
      <c r="F98" s="127">
        <f t="shared" si="20"/>
        <v>1</v>
      </c>
      <c r="G98" s="119">
        <f t="shared" si="21"/>
        <v>296.96969696970064</v>
      </c>
      <c r="H98" s="120">
        <f t="shared" si="22"/>
        <v>296.96969696970064</v>
      </c>
    </row>
    <row r="99" spans="1:10" ht="14.25" customHeight="1" x14ac:dyDescent="0.3">
      <c r="A99" s="128" t="s">
        <v>63</v>
      </c>
      <c r="B99" s="294" t="str">
        <f t="shared" si="19"/>
        <v>Coriander Leaves - كزبرة خضراء</v>
      </c>
      <c r="C99" s="294" t="str">
        <f t="shared" si="19"/>
        <v>gm</v>
      </c>
      <c r="D99" s="294">
        <f t="shared" si="19"/>
        <v>30</v>
      </c>
      <c r="E99" s="126">
        <f t="shared" si="23"/>
        <v>0.98989898989900205</v>
      </c>
      <c r="F99" s="127">
        <f t="shared" si="20"/>
        <v>1</v>
      </c>
      <c r="G99" s="119">
        <f t="shared" si="21"/>
        <v>29.696969696970061</v>
      </c>
      <c r="H99" s="120">
        <f t="shared" si="22"/>
        <v>29.696969696970061</v>
      </c>
    </row>
    <row r="100" spans="1:10" ht="14.25" customHeight="1" x14ac:dyDescent="0.3">
      <c r="A100" s="128" t="s">
        <v>63</v>
      </c>
      <c r="B100" s="294" t="str">
        <f t="shared" si="19"/>
        <v>Mint Leaves - نعناع طازج</v>
      </c>
      <c r="C100" s="294" t="str">
        <f t="shared" si="19"/>
        <v>gm</v>
      </c>
      <c r="D100" s="294">
        <f t="shared" si="19"/>
        <v>25</v>
      </c>
      <c r="E100" s="126">
        <f t="shared" si="23"/>
        <v>0.98989898989900205</v>
      </c>
      <c r="F100" s="127">
        <f t="shared" si="20"/>
        <v>1</v>
      </c>
      <c r="G100" s="119">
        <f t="shared" si="21"/>
        <v>24.747474747475053</v>
      </c>
      <c r="H100" s="120">
        <f t="shared" si="22"/>
        <v>24.747474747475053</v>
      </c>
    </row>
    <row r="101" spans="1:10" ht="14.25" customHeight="1" x14ac:dyDescent="0.3">
      <c r="A101" s="128" t="s">
        <v>97</v>
      </c>
      <c r="B101" s="294" t="str">
        <f t="shared" si="19"/>
        <v>Salt - ملح</v>
      </c>
      <c r="C101" s="294" t="str">
        <f t="shared" si="19"/>
        <v>gm</v>
      </c>
      <c r="D101" s="294">
        <f t="shared" si="19"/>
        <v>11</v>
      </c>
      <c r="E101" s="126">
        <f t="shared" si="23"/>
        <v>0.98989898989900205</v>
      </c>
      <c r="F101" s="127">
        <f t="shared" si="20"/>
        <v>0.75</v>
      </c>
      <c r="G101" s="119">
        <f t="shared" si="21"/>
        <v>10.888888888889023</v>
      </c>
      <c r="H101" s="120">
        <f t="shared" si="22"/>
        <v>8.1666666666667673</v>
      </c>
    </row>
    <row r="102" spans="1:10" ht="14.25" customHeight="1" x14ac:dyDescent="0.3">
      <c r="A102" s="128" t="s">
        <v>97</v>
      </c>
      <c r="B102" s="294" t="str">
        <f t="shared" si="19"/>
        <v>Red Chilli Powder - شطة حمراء مطحونة</v>
      </c>
      <c r="C102" s="294" t="str">
        <f t="shared" si="19"/>
        <v>gm</v>
      </c>
      <c r="D102" s="294">
        <f t="shared" si="19"/>
        <v>5</v>
      </c>
      <c r="E102" s="126">
        <f t="shared" si="23"/>
        <v>0.98989898989900205</v>
      </c>
      <c r="F102" s="127">
        <f t="shared" si="20"/>
        <v>0.75</v>
      </c>
      <c r="G102" s="119">
        <f t="shared" si="21"/>
        <v>4.9494949494950102</v>
      </c>
      <c r="H102" s="120">
        <f t="shared" si="22"/>
        <v>3.7121212121212577</v>
      </c>
    </row>
    <row r="103" spans="1:10" ht="14.25" customHeight="1" x14ac:dyDescent="0.3">
      <c r="A103" s="128" t="s">
        <v>97</v>
      </c>
      <c r="B103" s="294" t="str">
        <f t="shared" si="19"/>
        <v>Coriander Powder - كزبرة مطحونة</v>
      </c>
      <c r="C103" s="294" t="str">
        <f t="shared" si="19"/>
        <v>gm</v>
      </c>
      <c r="D103" s="294">
        <f t="shared" si="19"/>
        <v>15</v>
      </c>
      <c r="E103" s="126">
        <f t="shared" si="23"/>
        <v>0.98989898989900205</v>
      </c>
      <c r="F103" s="127">
        <f t="shared" si="20"/>
        <v>1</v>
      </c>
      <c r="G103" s="119">
        <f t="shared" si="21"/>
        <v>14.848484848485031</v>
      </c>
      <c r="H103" s="120">
        <f t="shared" si="22"/>
        <v>14.848484848485031</v>
      </c>
    </row>
    <row r="104" spans="1:10" ht="14.25" customHeight="1" x14ac:dyDescent="0.3">
      <c r="A104" s="128" t="s">
        <v>220</v>
      </c>
      <c r="B104" s="294" t="str">
        <f t="shared" si="19"/>
        <v>Orange Color - لون برتقالي</v>
      </c>
      <c r="C104" s="294" t="str">
        <f t="shared" si="19"/>
        <v>gm</v>
      </c>
      <c r="D104" s="294">
        <f t="shared" si="19"/>
        <v>3</v>
      </c>
      <c r="E104" s="126">
        <f t="shared" si="23"/>
        <v>0.98989898989900205</v>
      </c>
      <c r="F104" s="127">
        <f t="shared" si="20"/>
        <v>0.75</v>
      </c>
      <c r="G104" s="119">
        <f t="shared" si="21"/>
        <v>2.9696969696970061</v>
      </c>
      <c r="H104" s="120">
        <f t="shared" si="22"/>
        <v>2.2272727272727546</v>
      </c>
    </row>
    <row r="105" spans="1:10" ht="14.25" customHeight="1" x14ac:dyDescent="0.3">
      <c r="A105" s="128" t="s">
        <v>158</v>
      </c>
      <c r="B105" s="294" t="str">
        <f t="shared" si="19"/>
        <v>Butter - زبدة</v>
      </c>
      <c r="C105" s="294" t="str">
        <f t="shared" si="19"/>
        <v>gm</v>
      </c>
      <c r="D105" s="294">
        <f t="shared" si="19"/>
        <v>60</v>
      </c>
      <c r="E105" s="126">
        <f t="shared" si="23"/>
        <v>0.98989898989900205</v>
      </c>
      <c r="F105" s="127">
        <f t="shared" si="20"/>
        <v>1</v>
      </c>
      <c r="G105" s="119">
        <f t="shared" si="21"/>
        <v>59.393939393940123</v>
      </c>
      <c r="H105" s="120">
        <f t="shared" si="22"/>
        <v>59.393939393940123</v>
      </c>
    </row>
    <row r="106" spans="1:10" ht="20.25" customHeight="1" x14ac:dyDescent="0.4">
      <c r="A106" s="211"/>
      <c r="B106" s="198" t="s">
        <v>299</v>
      </c>
      <c r="C106" s="200" t="s">
        <v>285</v>
      </c>
      <c r="E106" s="200" t="s">
        <v>300</v>
      </c>
      <c r="G106" s="890" t="s">
        <v>276</v>
      </c>
      <c r="H106" s="890" t="s">
        <v>733</v>
      </c>
      <c r="I106" s="204"/>
      <c r="J106" s="203"/>
    </row>
    <row r="107" spans="1:10" ht="20" x14ac:dyDescent="0.4">
      <c r="A107" s="211"/>
      <c r="B107" s="199">
        <f>$J$54</f>
        <v>3265.9999999999927</v>
      </c>
      <c r="C107" s="199">
        <f>E107+G107</f>
        <v>980.00000000001194</v>
      </c>
      <c r="D107" s="930"/>
      <c r="E107" s="199">
        <f>$D$54*$S$44</f>
        <v>980.00000000001194</v>
      </c>
      <c r="F107" s="100"/>
      <c r="G107" s="202">
        <f>$D$54*$T$44</f>
        <v>0</v>
      </c>
      <c r="H107" s="931">
        <f>B107+E107</f>
        <v>4246.0000000000045</v>
      </c>
    </row>
  </sheetData>
  <mergeCells count="11">
    <mergeCell ref="AL2:AM2"/>
    <mergeCell ref="B2:J3"/>
    <mergeCell ref="AE2:AG3"/>
    <mergeCell ref="R26:U26"/>
    <mergeCell ref="B87:H87"/>
    <mergeCell ref="R25:U25"/>
    <mergeCell ref="B62:H62"/>
    <mergeCell ref="B86:H86"/>
    <mergeCell ref="K2:K3"/>
    <mergeCell ref="B63:H63"/>
    <mergeCell ref="B35:F35"/>
  </mergeCells>
  <printOptions horizontalCentered="1"/>
  <pageMargins left="0.4" right="0.4" top="1" bottom="0.5" header="0.3" footer="0.511811023622047"/>
  <pageSetup paperSize="9" scale="47" orientation="landscape" r:id="rId1"/>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rgb="FF7C7C7C"/>
    <pageSetUpPr fitToPage="1"/>
  </sheetPr>
  <dimension ref="A1:AE120"/>
  <sheetViews>
    <sheetView topLeftCell="Q12" zoomScale="85" zoomScaleNormal="85" workbookViewId="0">
      <selection activeCell="Z24" sqref="Z24"/>
    </sheetView>
  </sheetViews>
  <sheetFormatPr defaultColWidth="12.5" defaultRowHeight="14" x14ac:dyDescent="0.3"/>
  <cols>
    <col min="1" max="1" width="12.5" style="1" customWidth="1"/>
    <col min="2" max="2" width="33.75" customWidth="1"/>
    <col min="3" max="3" width="23.9140625" customWidth="1"/>
    <col min="4" max="4" width="19" customWidth="1"/>
    <col min="5" max="5" width="16.1640625" customWidth="1"/>
    <col min="6" max="6" width="23.08203125" customWidth="1"/>
    <col min="7" max="7" width="25.1640625" customWidth="1"/>
    <col min="8" max="8" width="36.1640625" customWidth="1"/>
    <col min="12" max="12" width="8.33203125" customWidth="1"/>
    <col min="13" max="14" width="3.25" customWidth="1"/>
    <col min="18" max="18" width="30.5" customWidth="1"/>
  </cols>
  <sheetData>
    <row r="1" spans="1:31" ht="35.25" customHeight="1" x14ac:dyDescent="0.3">
      <c r="B1" s="80" t="s">
        <v>243</v>
      </c>
      <c r="C1" s="81">
        <v>1000</v>
      </c>
      <c r="D1" s="82" t="s">
        <v>244</v>
      </c>
      <c r="E1" s="117">
        <f>T32</f>
        <v>19378.615384615387</v>
      </c>
      <c r="F1" s="80" t="s">
        <v>245</v>
      </c>
      <c r="G1" s="121">
        <f>E1/C1</f>
        <v>19.378615384615387</v>
      </c>
      <c r="H1" s="80" t="s">
        <v>246</v>
      </c>
      <c r="I1" s="283">
        <f>G1/K1</f>
        <v>19.774097331240188</v>
      </c>
      <c r="J1" s="86" t="s">
        <v>247</v>
      </c>
      <c r="K1" s="327">
        <f>9.8/10</f>
        <v>0.98000000000000009</v>
      </c>
      <c r="L1" s="100"/>
      <c r="M1" s="89"/>
      <c r="N1" s="90"/>
      <c r="O1" s="91" t="s">
        <v>248</v>
      </c>
      <c r="P1" s="92" t="s">
        <v>301</v>
      </c>
      <c r="Q1" s="93" t="s">
        <v>250</v>
      </c>
      <c r="R1" s="92">
        <v>0.51</v>
      </c>
      <c r="Y1" s="91" t="s">
        <v>479</v>
      </c>
      <c r="Z1" s="847">
        <v>20820</v>
      </c>
      <c r="AA1" s="91" t="s">
        <v>600</v>
      </c>
      <c r="AB1" s="847">
        <v>0</v>
      </c>
      <c r="AC1" s="91" t="s">
        <v>587</v>
      </c>
      <c r="AD1" s="847">
        <v>133</v>
      </c>
      <c r="AE1" s="250"/>
    </row>
    <row r="2" spans="1:31" ht="12.75" customHeight="1" x14ac:dyDescent="0.3">
      <c r="A2" s="265"/>
      <c r="B2" s="1449" t="s">
        <v>109</v>
      </c>
      <c r="C2" s="1422"/>
      <c r="D2" s="1422"/>
      <c r="E2" s="1422"/>
      <c r="F2" s="1422"/>
      <c r="G2" s="1422"/>
      <c r="H2" s="1422"/>
      <c r="I2" s="1422"/>
      <c r="J2" s="1422"/>
      <c r="K2" s="1450"/>
      <c r="L2" s="293"/>
      <c r="M2" s="100"/>
      <c r="N2" s="100"/>
      <c r="O2" s="100"/>
      <c r="P2" s="100"/>
      <c r="Q2" s="100"/>
      <c r="R2" s="100"/>
      <c r="AE2" s="1391"/>
    </row>
    <row r="3" spans="1:31" ht="12.75" customHeight="1" x14ac:dyDescent="0.3">
      <c r="A3" s="265"/>
      <c r="B3" s="1388"/>
      <c r="C3" s="1388"/>
      <c r="D3" s="1388"/>
      <c r="E3" s="1388"/>
      <c r="F3" s="1388"/>
      <c r="G3" s="1388"/>
      <c r="H3" s="1388"/>
      <c r="I3" s="1388"/>
      <c r="J3" s="1388"/>
      <c r="K3" s="1451"/>
      <c r="L3" s="293"/>
      <c r="M3" s="100"/>
      <c r="N3" s="100"/>
      <c r="O3" s="100"/>
      <c r="P3" s="100"/>
      <c r="Q3" s="100"/>
      <c r="R3" s="100"/>
      <c r="AE3" s="1422"/>
    </row>
    <row r="4" spans="1:31" ht="35.25" customHeight="1" x14ac:dyDescent="0.3">
      <c r="A4" s="91" t="s">
        <v>1</v>
      </c>
      <c r="B4" s="91" t="s">
        <v>253</v>
      </c>
      <c r="C4" s="107" t="s">
        <v>254</v>
      </c>
      <c r="D4" s="91" t="s">
        <v>243</v>
      </c>
      <c r="E4" s="218" t="s">
        <v>246</v>
      </c>
      <c r="F4" s="108" t="s">
        <v>255</v>
      </c>
      <c r="G4" s="91" t="s">
        <v>256</v>
      </c>
      <c r="H4" s="107" t="s">
        <v>347</v>
      </c>
      <c r="I4" s="91" t="s">
        <v>258</v>
      </c>
      <c r="J4" s="91" t="s">
        <v>259</v>
      </c>
      <c r="K4" s="91" t="s">
        <v>260</v>
      </c>
      <c r="L4" s="91" t="s">
        <v>261</v>
      </c>
      <c r="M4" s="100"/>
      <c r="N4" s="100"/>
      <c r="O4" s="100"/>
      <c r="P4" s="100"/>
      <c r="AA4" s="251"/>
      <c r="AB4" s="253"/>
      <c r="AE4" s="251"/>
    </row>
    <row r="5" spans="1:31" ht="14.25" customHeight="1" x14ac:dyDescent="0.3">
      <c r="A5" s="266" t="s">
        <v>230</v>
      </c>
      <c r="B5" s="220" t="s">
        <v>232</v>
      </c>
      <c r="C5" s="115" t="s">
        <v>14</v>
      </c>
      <c r="D5" s="121">
        <f>I51/10</f>
        <v>1620.7254901960785</v>
      </c>
      <c r="E5" s="117">
        <f>H52</f>
        <v>19.375714840103814</v>
      </c>
      <c r="F5" s="127">
        <v>1</v>
      </c>
      <c r="G5" s="121">
        <f t="shared" ref="G5:G17" si="0">D5*E5</f>
        <v>31402.714932126688</v>
      </c>
      <c r="H5" s="120">
        <f t="shared" ref="H5:H17" si="1">G5*F5</f>
        <v>31402.714932126688</v>
      </c>
      <c r="I5" s="81">
        <f>VLOOKUP(B5,All_Ingredients!$A$1:$F$151,6,FALSE())</f>
        <v>0.55000000000000004</v>
      </c>
      <c r="J5" s="119">
        <f>VLOOKUP(B5,All_Ingredients!$A$1:$J$151,10,FALSE())</f>
        <v>26.666666666666668</v>
      </c>
      <c r="K5" s="122">
        <f t="shared" ref="K5" si="2">(H5/I5)/1000</f>
        <v>57.095845331139429</v>
      </c>
      <c r="L5" s="122">
        <f t="shared" ref="L5" si="3">K5*J5</f>
        <v>1522.5558754970516</v>
      </c>
      <c r="M5" s="100"/>
      <c r="N5" s="100"/>
      <c r="O5" s="100"/>
      <c r="P5" s="100"/>
      <c r="AA5" s="92"/>
      <c r="AB5" s="133"/>
      <c r="AE5" s="136"/>
    </row>
    <row r="6" spans="1:31" ht="14.25" customHeight="1" x14ac:dyDescent="0.3">
      <c r="A6" s="270" t="s">
        <v>13</v>
      </c>
      <c r="B6" s="22" t="s">
        <v>12</v>
      </c>
      <c r="C6" s="124" t="s">
        <v>14</v>
      </c>
      <c r="D6" s="125">
        <v>300</v>
      </c>
      <c r="E6" s="223">
        <f t="shared" ref="E6:E17" si="4">$I$1</f>
        <v>19.774097331240188</v>
      </c>
      <c r="F6" s="127">
        <v>1</v>
      </c>
      <c r="G6" s="121">
        <f t="shared" si="0"/>
        <v>5932.2291993720564</v>
      </c>
      <c r="H6" s="120">
        <f t="shared" si="1"/>
        <v>5932.2291993720564</v>
      </c>
      <c r="I6" s="81">
        <f>VLOOKUP(B6,All_Ingredients!$A$1:$F$151,6,FALSE())</f>
        <v>0.9</v>
      </c>
      <c r="J6" s="119">
        <f>VLOOKUP(B6,All_Ingredients!$A$1:$J$151,10,FALSE())</f>
        <v>3</v>
      </c>
      <c r="K6" s="122">
        <f t="shared" ref="K6:K17" si="5">(H6/I6)/1000</f>
        <v>6.5913657770800631</v>
      </c>
      <c r="L6" s="122">
        <f t="shared" ref="L6:L17" si="6">K6*J6</f>
        <v>19.774097331240188</v>
      </c>
    </row>
    <row r="7" spans="1:31" ht="14.25" customHeight="1" x14ac:dyDescent="0.3">
      <c r="A7" s="270" t="s">
        <v>13</v>
      </c>
      <c r="B7" s="22" t="s">
        <v>792</v>
      </c>
      <c r="C7" s="124" t="s">
        <v>14</v>
      </c>
      <c r="D7" s="125">
        <v>25</v>
      </c>
      <c r="E7" s="223">
        <f t="shared" si="4"/>
        <v>19.774097331240188</v>
      </c>
      <c r="F7" s="127">
        <v>1</v>
      </c>
      <c r="G7" s="121">
        <f t="shared" si="0"/>
        <v>494.35243328100472</v>
      </c>
      <c r="H7" s="120">
        <f t="shared" si="1"/>
        <v>494.35243328100472</v>
      </c>
      <c r="I7" s="81">
        <f>VLOOKUP(B7,All_Ingredients!$A$1:$F$151,6,FALSE())</f>
        <v>1</v>
      </c>
      <c r="J7" s="119">
        <f>VLOOKUP(B7,All_Ingredients!$A$1:$J$151,10,FALSE())</f>
        <v>10.5</v>
      </c>
      <c r="K7" s="122">
        <f t="shared" si="5"/>
        <v>0.4943524332810047</v>
      </c>
      <c r="L7" s="122">
        <f t="shared" si="6"/>
        <v>5.1907005494505496</v>
      </c>
    </row>
    <row r="8" spans="1:31" ht="14.25" customHeight="1" x14ac:dyDescent="0.3">
      <c r="A8" s="270" t="s">
        <v>13</v>
      </c>
      <c r="B8" s="22" t="s">
        <v>17</v>
      </c>
      <c r="C8" s="124" t="s">
        <v>14</v>
      </c>
      <c r="D8" s="125">
        <v>400</v>
      </c>
      <c r="E8" s="223">
        <f t="shared" si="4"/>
        <v>19.774097331240188</v>
      </c>
      <c r="F8" s="127">
        <v>1</v>
      </c>
      <c r="G8" s="121">
        <f t="shared" si="0"/>
        <v>7909.6389324960755</v>
      </c>
      <c r="H8" s="120">
        <f t="shared" si="1"/>
        <v>7909.6389324960755</v>
      </c>
      <c r="I8" s="81">
        <f>VLOOKUP(B8,All_Ingredients!$A$1:$F$151,6,FALSE())</f>
        <v>0.98</v>
      </c>
      <c r="J8" s="119">
        <f>VLOOKUP(B8,All_Ingredients!$A$1:$J$151,10,FALSE())</f>
        <v>3.5</v>
      </c>
      <c r="K8" s="122">
        <f t="shared" si="5"/>
        <v>8.0710601352000779</v>
      </c>
      <c r="L8" s="122">
        <f t="shared" si="6"/>
        <v>28.248710473200273</v>
      </c>
    </row>
    <row r="9" spans="1:31" ht="14.25" customHeight="1" x14ac:dyDescent="0.3">
      <c r="A9" s="270" t="s">
        <v>196</v>
      </c>
      <c r="B9" s="22" t="s">
        <v>761</v>
      </c>
      <c r="C9" s="124" t="s">
        <v>14</v>
      </c>
      <c r="D9" s="125">
        <v>250</v>
      </c>
      <c r="E9" s="223">
        <f t="shared" si="4"/>
        <v>19.774097331240188</v>
      </c>
      <c r="F9" s="127">
        <v>1</v>
      </c>
      <c r="G9" s="121">
        <f t="shared" si="0"/>
        <v>4943.5243328100469</v>
      </c>
      <c r="H9" s="120">
        <f t="shared" si="1"/>
        <v>4943.5243328100469</v>
      </c>
      <c r="I9" s="81">
        <f>VLOOKUP(B9,All_Ingredients!$A$1:$F$151,6,FALSE())</f>
        <v>1</v>
      </c>
      <c r="J9" s="119">
        <f>VLOOKUP(B9,All_Ingredients!$A$1:$J$151,10,FALSE())</f>
        <v>8.1520833333333336</v>
      </c>
      <c r="K9" s="122">
        <f t="shared" si="5"/>
        <v>4.9435243328100471</v>
      </c>
      <c r="L9" s="122">
        <f t="shared" si="6"/>
        <v>40.300022321428571</v>
      </c>
    </row>
    <row r="10" spans="1:31" ht="14.25" customHeight="1" x14ac:dyDescent="0.3">
      <c r="A10" s="270" t="s">
        <v>97</v>
      </c>
      <c r="B10" s="22" t="s">
        <v>102</v>
      </c>
      <c r="C10" s="124" t="s">
        <v>14</v>
      </c>
      <c r="D10" s="125">
        <v>6</v>
      </c>
      <c r="E10" s="223">
        <f t="shared" si="4"/>
        <v>19.774097331240188</v>
      </c>
      <c r="F10" s="127">
        <v>0.75</v>
      </c>
      <c r="G10" s="121">
        <f t="shared" si="0"/>
        <v>118.64458398744114</v>
      </c>
      <c r="H10" s="120">
        <f t="shared" si="1"/>
        <v>88.983437990580853</v>
      </c>
      <c r="I10" s="81">
        <f>VLOOKUP(B10,All_Ingredients!$A$1:$F$151,6,FALSE())</f>
        <v>1</v>
      </c>
      <c r="J10" s="119">
        <f>VLOOKUP(B10,All_Ingredients!$A$1:$J$151,10,FALSE())</f>
        <v>31</v>
      </c>
      <c r="K10" s="122">
        <f t="shared" si="5"/>
        <v>8.8983437990580852E-2</v>
      </c>
      <c r="L10" s="122">
        <f t="shared" si="6"/>
        <v>2.7584865777080063</v>
      </c>
    </row>
    <row r="11" spans="1:31" ht="14.25" customHeight="1" x14ac:dyDescent="0.3">
      <c r="A11" s="270" t="s">
        <v>97</v>
      </c>
      <c r="B11" s="22" t="s">
        <v>108</v>
      </c>
      <c r="C11" s="124" t="s">
        <v>14</v>
      </c>
      <c r="D11" s="125">
        <v>10</v>
      </c>
      <c r="E11" s="223">
        <f t="shared" si="4"/>
        <v>19.774097331240188</v>
      </c>
      <c r="F11" s="127">
        <v>0.75</v>
      </c>
      <c r="G11" s="121">
        <f t="shared" si="0"/>
        <v>197.74097331240188</v>
      </c>
      <c r="H11" s="120">
        <f t="shared" si="1"/>
        <v>148.30572998430142</v>
      </c>
      <c r="I11" s="81">
        <f>VLOOKUP(B11,All_Ingredients!$A$1:$F$151,6,FALSE())</f>
        <v>1</v>
      </c>
      <c r="J11" s="119">
        <f>VLOOKUP(B11,All_Ingredients!$A$1:$J$151,10,FALSE())</f>
        <v>15</v>
      </c>
      <c r="K11" s="122">
        <f t="shared" si="5"/>
        <v>0.14830572998430142</v>
      </c>
      <c r="L11" s="122">
        <f t="shared" si="6"/>
        <v>2.2245859497645211</v>
      </c>
    </row>
    <row r="12" spans="1:31" ht="14.25" customHeight="1" x14ac:dyDescent="0.3">
      <c r="A12" s="270" t="s">
        <v>97</v>
      </c>
      <c r="B12" s="22" t="s">
        <v>110</v>
      </c>
      <c r="C12" s="124" t="s">
        <v>14</v>
      </c>
      <c r="D12" s="125">
        <v>15</v>
      </c>
      <c r="E12" s="223">
        <f t="shared" si="4"/>
        <v>19.774097331240188</v>
      </c>
      <c r="F12" s="127">
        <v>0.75</v>
      </c>
      <c r="G12" s="121">
        <f t="shared" si="0"/>
        <v>296.61145996860284</v>
      </c>
      <c r="H12" s="120">
        <f t="shared" si="1"/>
        <v>222.45859497645213</v>
      </c>
      <c r="I12" s="81">
        <f>VLOOKUP(B12,All_Ingredients!$A$1:$F$151,6,FALSE())</f>
        <v>1</v>
      </c>
      <c r="J12" s="119">
        <f>VLOOKUP(B12,All_Ingredients!$A$1:$J$151,10,FALSE())</f>
        <v>8</v>
      </c>
      <c r="K12" s="122">
        <f t="shared" si="5"/>
        <v>0.22245859497645212</v>
      </c>
      <c r="L12" s="122">
        <f t="shared" si="6"/>
        <v>1.779668759811617</v>
      </c>
    </row>
    <row r="13" spans="1:31" ht="14.25" customHeight="1" x14ac:dyDescent="0.3">
      <c r="A13" s="270" t="s">
        <v>97</v>
      </c>
      <c r="B13" s="22" t="s">
        <v>126</v>
      </c>
      <c r="C13" s="124" t="s">
        <v>14</v>
      </c>
      <c r="D13" s="125">
        <v>10</v>
      </c>
      <c r="E13" s="223">
        <f t="shared" si="4"/>
        <v>19.774097331240188</v>
      </c>
      <c r="F13" s="127">
        <v>0.75</v>
      </c>
      <c r="G13" s="121">
        <f t="shared" si="0"/>
        <v>197.74097331240188</v>
      </c>
      <c r="H13" s="120">
        <f t="shared" si="1"/>
        <v>148.30572998430142</v>
      </c>
      <c r="I13" s="81">
        <f>VLOOKUP(B13,All_Ingredients!$A$1:$F$151,6,FALSE())</f>
        <v>1</v>
      </c>
      <c r="J13" s="119">
        <f>VLOOKUP(B13,All_Ingredients!$A$1:$J$151,10,FALSE())</f>
        <v>14</v>
      </c>
      <c r="K13" s="122">
        <f t="shared" si="5"/>
        <v>0.14830572998430142</v>
      </c>
      <c r="L13" s="122">
        <f t="shared" si="6"/>
        <v>2.0762802197802199</v>
      </c>
    </row>
    <row r="14" spans="1:31" ht="14.25" customHeight="1" x14ac:dyDescent="0.3">
      <c r="A14" s="270" t="s">
        <v>97</v>
      </c>
      <c r="B14" s="22" t="s">
        <v>144</v>
      </c>
      <c r="C14" s="124" t="s">
        <v>14</v>
      </c>
      <c r="D14" s="125">
        <v>6</v>
      </c>
      <c r="E14" s="223">
        <f t="shared" si="4"/>
        <v>19.774097331240188</v>
      </c>
      <c r="F14" s="127">
        <v>1</v>
      </c>
      <c r="G14" s="121">
        <f t="shared" si="0"/>
        <v>118.64458398744114</v>
      </c>
      <c r="H14" s="120">
        <f t="shared" si="1"/>
        <v>118.64458398744114</v>
      </c>
      <c r="I14" s="81">
        <f>VLOOKUP(B14,All_Ingredients!$A$1:$F$151,6,FALSE())</f>
        <v>1</v>
      </c>
      <c r="J14" s="119">
        <f>VLOOKUP(B14,All_Ingredients!$A$1:$J$151,10,FALSE())</f>
        <v>15.277777777777779</v>
      </c>
      <c r="K14" s="122">
        <f t="shared" si="5"/>
        <v>0.11864458398744114</v>
      </c>
      <c r="L14" s="122">
        <f t="shared" si="6"/>
        <v>1.8126255886970175</v>
      </c>
    </row>
    <row r="15" spans="1:31" ht="14.25" customHeight="1" x14ac:dyDescent="0.3">
      <c r="A15" s="270" t="s">
        <v>97</v>
      </c>
      <c r="B15" s="22" t="s">
        <v>96</v>
      </c>
      <c r="C15" s="124" t="s">
        <v>14</v>
      </c>
      <c r="D15" s="125">
        <v>5</v>
      </c>
      <c r="E15" s="223">
        <f t="shared" si="4"/>
        <v>19.774097331240188</v>
      </c>
      <c r="F15" s="127">
        <v>1</v>
      </c>
      <c r="G15" s="121">
        <f t="shared" si="0"/>
        <v>98.870486656200939</v>
      </c>
      <c r="H15" s="120">
        <f t="shared" si="1"/>
        <v>98.870486656200939</v>
      </c>
      <c r="I15" s="81">
        <f>VLOOKUP(B15,All_Ingredients!$A$1:$F$151,6,FALSE())</f>
        <v>1</v>
      </c>
      <c r="J15" s="119">
        <f>VLOOKUP(B15,All_Ingredients!$A$1:$J$151,10,FALSE())</f>
        <v>0.74</v>
      </c>
      <c r="K15" s="122">
        <f t="shared" si="5"/>
        <v>9.8870486656200934E-2</v>
      </c>
      <c r="L15" s="122">
        <f t="shared" si="6"/>
        <v>7.3164160125588684E-2</v>
      </c>
    </row>
    <row r="16" spans="1:31" ht="14.25" customHeight="1" x14ac:dyDescent="0.3">
      <c r="A16" s="270" t="s">
        <v>158</v>
      </c>
      <c r="B16" s="222" t="s">
        <v>157</v>
      </c>
      <c r="C16" s="124" t="s">
        <v>14</v>
      </c>
      <c r="D16" s="125">
        <v>40</v>
      </c>
      <c r="E16" s="223">
        <f t="shared" si="4"/>
        <v>19.774097331240188</v>
      </c>
      <c r="F16" s="127">
        <v>1</v>
      </c>
      <c r="G16" s="121">
        <f t="shared" si="0"/>
        <v>790.96389324960751</v>
      </c>
      <c r="H16" s="120">
        <f t="shared" si="1"/>
        <v>790.96389324960751</v>
      </c>
      <c r="I16" s="81">
        <f>VLOOKUP(B16,All_Ingredients!$A$1:$F$151,6,FALSE())</f>
        <v>1</v>
      </c>
      <c r="J16" s="119">
        <f>VLOOKUP(B16,All_Ingredients!$A$1:$J$151,10,FALSE())</f>
        <v>30</v>
      </c>
      <c r="K16" s="122">
        <f t="shared" si="5"/>
        <v>0.79096389324960747</v>
      </c>
      <c r="L16" s="122">
        <f t="shared" si="6"/>
        <v>23.728916797488225</v>
      </c>
    </row>
    <row r="17" spans="1:31" ht="14.25" customHeight="1" x14ac:dyDescent="0.3">
      <c r="A17" s="270" t="s">
        <v>228</v>
      </c>
      <c r="B17" s="222" t="s">
        <v>227</v>
      </c>
      <c r="C17" s="124" t="s">
        <v>14</v>
      </c>
      <c r="D17" s="125">
        <v>400</v>
      </c>
      <c r="E17" s="223">
        <f t="shared" si="4"/>
        <v>19.774097331240188</v>
      </c>
      <c r="F17" s="127">
        <v>1</v>
      </c>
      <c r="G17" s="121">
        <f t="shared" si="0"/>
        <v>7909.6389324960755</v>
      </c>
      <c r="H17" s="120">
        <f t="shared" si="1"/>
        <v>7909.6389324960755</v>
      </c>
      <c r="I17" s="81">
        <f>VLOOKUP(B17,All_Ingredients!$A$1:$F$151,6,FALSE())</f>
        <v>1</v>
      </c>
      <c r="J17" s="119">
        <f>VLOOKUP(B17,All_Ingredients!$A$1:$J$151,10,FALSE())</f>
        <v>7.1875</v>
      </c>
      <c r="K17" s="122">
        <f t="shared" si="5"/>
        <v>7.9096389324960752</v>
      </c>
      <c r="L17" s="122">
        <f t="shared" si="6"/>
        <v>56.85052982731554</v>
      </c>
    </row>
    <row r="18" spans="1:31" ht="14.25" customHeight="1" x14ac:dyDescent="0.3">
      <c r="B18" s="100"/>
      <c r="E18" s="100"/>
      <c r="F18" s="100"/>
      <c r="L18" s="209"/>
    </row>
    <row r="19" spans="1:31" ht="14.25" customHeight="1" x14ac:dyDescent="0.3">
      <c r="L19" s="209"/>
      <c r="S19" t="s">
        <v>437</v>
      </c>
    </row>
    <row r="20" spans="1:31" ht="14.25" customHeight="1" x14ac:dyDescent="0.3">
      <c r="L20" s="209"/>
      <c r="R20" s="5"/>
    </row>
    <row r="21" spans="1:31" ht="14.25" customHeight="1" x14ac:dyDescent="0.3">
      <c r="L21" s="209"/>
    </row>
    <row r="22" spans="1:31" ht="14.25" customHeight="1" x14ac:dyDescent="0.3">
      <c r="L22" s="209"/>
    </row>
    <row r="23" spans="1:31" ht="14.25" customHeight="1" x14ac:dyDescent="0.3">
      <c r="L23" s="209"/>
    </row>
    <row r="24" spans="1:31" ht="14.25" customHeight="1" x14ac:dyDescent="0.3">
      <c r="L24" s="209"/>
      <c r="Z24" s="1294"/>
    </row>
    <row r="25" spans="1:31" ht="14.25" customHeight="1" x14ac:dyDescent="0.3">
      <c r="B25" s="100"/>
      <c r="E25" s="100"/>
      <c r="F25" s="100"/>
      <c r="L25" s="209"/>
      <c r="R25" s="1486" t="s">
        <v>438</v>
      </c>
      <c r="S25" s="1388"/>
      <c r="T25" s="1388"/>
      <c r="U25" s="1388"/>
      <c r="Z25" s="141" t="s">
        <v>264</v>
      </c>
      <c r="AA25" s="142">
        <v>21150</v>
      </c>
      <c r="AB25" s="141" t="s">
        <v>261</v>
      </c>
      <c r="AC25" s="143">
        <f>(AA25*(17/10))*AE30</f>
        <v>1735.5087287792414</v>
      </c>
      <c r="AD25" s="14"/>
    </row>
    <row r="26" spans="1:31" ht="14.75" customHeight="1" x14ac:dyDescent="0.3">
      <c r="B26" s="100"/>
      <c r="E26" s="100"/>
      <c r="F26" s="100"/>
      <c r="L26" s="209"/>
      <c r="R26" s="1485" t="s">
        <v>439</v>
      </c>
      <c r="S26" s="1410"/>
      <c r="T26" s="1410"/>
      <c r="U26" s="1410"/>
      <c r="Z26" s="14"/>
      <c r="AA26" s="14"/>
      <c r="AB26" s="14"/>
      <c r="AC26" s="14"/>
      <c r="AD26" s="14"/>
    </row>
    <row r="27" spans="1:31" ht="21" customHeight="1" thickBot="1" x14ac:dyDescent="0.35">
      <c r="R27" s="145" t="s">
        <v>266</v>
      </c>
      <c r="S27" s="146" t="s">
        <v>304</v>
      </c>
      <c r="T27" s="146" t="s">
        <v>268</v>
      </c>
      <c r="U27" s="146" t="s">
        <v>269</v>
      </c>
      <c r="V27" s="146" t="s">
        <v>848</v>
      </c>
      <c r="Z27" s="141" t="s">
        <v>270</v>
      </c>
      <c r="AA27" s="147" t="s">
        <v>271</v>
      </c>
      <c r="AB27" s="147" t="s">
        <v>272</v>
      </c>
      <c r="AC27" s="147" t="s">
        <v>273</v>
      </c>
      <c r="AD27" s="1186" t="s">
        <v>848</v>
      </c>
      <c r="AE27" s="147" t="s">
        <v>274</v>
      </c>
    </row>
    <row r="28" spans="1:31" ht="14.25" customHeight="1" thickBot="1" x14ac:dyDescent="0.35">
      <c r="R28" s="148" t="s">
        <v>275</v>
      </c>
      <c r="S28" s="149">
        <f>U28*S40</f>
        <v>16015.384615384612</v>
      </c>
      <c r="T28" s="149">
        <f>U28*U40</f>
        <v>4804.6153846153893</v>
      </c>
      <c r="U28" s="150">
        <f>$Z$1</f>
        <v>20820</v>
      </c>
      <c r="V28" s="149">
        <f>SUM(F37:F38)</f>
        <v>142.31</v>
      </c>
      <c r="Z28" s="151"/>
      <c r="AA28" s="152">
        <f>AA25*$S$40</f>
        <v>16269.230769230766</v>
      </c>
      <c r="AB28" s="152">
        <f>AA25*$U$40</f>
        <v>4880.7692307692359</v>
      </c>
      <c r="AC28" s="153">
        <f>AA25*0.7</f>
        <v>14804.999999999998</v>
      </c>
      <c r="AD28" s="1188"/>
      <c r="AE28" s="154">
        <f>SUM(AA28:AC28)</f>
        <v>35955</v>
      </c>
    </row>
    <row r="29" spans="1:31" ht="14.25" customHeight="1" thickBot="1" x14ac:dyDescent="0.35">
      <c r="R29" s="148" t="s">
        <v>276</v>
      </c>
      <c r="S29" s="155"/>
      <c r="T29" s="149">
        <f>U28*0.7</f>
        <v>14573.999999999998</v>
      </c>
      <c r="U29" s="149"/>
      <c r="V29" s="149"/>
      <c r="Z29" s="151"/>
      <c r="AA29" s="156">
        <f>AA28/$AE$28</f>
        <v>0.45248868778280532</v>
      </c>
      <c r="AB29" s="156">
        <f>AB28/$AE$28</f>
        <v>0.13574660633484179</v>
      </c>
      <c r="AC29" s="156">
        <f>AC28/$AE$28</f>
        <v>0.41176470588235287</v>
      </c>
      <c r="AD29" s="1192"/>
      <c r="AE29" s="156">
        <f>AE28/$AE$28</f>
        <v>1</v>
      </c>
    </row>
    <row r="30" spans="1:31" ht="14.25" customHeight="1" thickBot="1" x14ac:dyDescent="0.35">
      <c r="R30" s="148" t="s">
        <v>277</v>
      </c>
      <c r="S30" s="1143">
        <f>U30*S40</f>
        <v>0</v>
      </c>
      <c r="T30" s="1143">
        <f>(U30*U40)+(U30*0.7)</f>
        <v>0</v>
      </c>
      <c r="U30" s="1236">
        <f>$AB$1</f>
        <v>0</v>
      </c>
      <c r="V30" s="1143"/>
      <c r="Z30" s="141" t="s">
        <v>278</v>
      </c>
      <c r="AA30" s="157">
        <f>S35/(S32)</f>
        <v>9.5068330362448009E-2</v>
      </c>
      <c r="AB30" s="158">
        <f>T35/T32</f>
        <v>9.5372029883381924E-3</v>
      </c>
      <c r="AC30" s="158">
        <f>T35/T32</f>
        <v>9.5372029883381924E-3</v>
      </c>
      <c r="AD30" s="1199">
        <f>V35/U32</f>
        <v>2.9841360914424148E-5</v>
      </c>
      <c r="AE30" s="1201">
        <f>SUMPRODUCT(AA30:AC30,AA29:AC29)+AD30</f>
        <v>4.8268911939347556E-2</v>
      </c>
    </row>
    <row r="31" spans="1:31" ht="14.25" customHeight="1" thickBot="1" x14ac:dyDescent="0.35">
      <c r="B31" s="100"/>
      <c r="E31" s="100"/>
      <c r="F31" s="100"/>
      <c r="R31" s="148" t="s">
        <v>279</v>
      </c>
      <c r="S31" s="155"/>
      <c r="T31" s="149"/>
      <c r="U31" s="149"/>
      <c r="V31" s="149"/>
    </row>
    <row r="32" spans="1:31" ht="14.25" customHeight="1" thickBot="1" x14ac:dyDescent="0.35">
      <c r="B32" s="100"/>
      <c r="E32" s="100"/>
      <c r="F32" s="100"/>
      <c r="R32" s="160" t="s">
        <v>269</v>
      </c>
      <c r="S32" s="149">
        <f>SUM(S28:S30)</f>
        <v>16015.384615384612</v>
      </c>
      <c r="T32" s="149">
        <f>SUM(T28:T30)</f>
        <v>19378.615384615387</v>
      </c>
      <c r="U32" s="149">
        <f>SUM(S32:T32)</f>
        <v>35394</v>
      </c>
      <c r="V32" s="149">
        <f>SUM(V28:V30)</f>
        <v>142.31</v>
      </c>
    </row>
    <row r="33" spans="2:23" ht="14.25" customHeight="1" thickBot="1" x14ac:dyDescent="0.35">
      <c r="B33" s="100"/>
      <c r="E33" s="100"/>
      <c r="F33" s="100"/>
      <c r="R33" s="161" t="s">
        <v>280</v>
      </c>
      <c r="S33" s="155"/>
      <c r="T33" s="155"/>
      <c r="U33" s="155"/>
      <c r="V33" s="155"/>
    </row>
    <row r="34" spans="2:23" ht="14.25" customHeight="1" thickBot="1" x14ac:dyDescent="0.35">
      <c r="B34" s="100"/>
      <c r="E34" s="100"/>
      <c r="F34" s="100"/>
      <c r="R34" s="162" t="s">
        <v>281</v>
      </c>
      <c r="S34" s="155"/>
      <c r="T34" s="149"/>
      <c r="U34" s="155"/>
      <c r="V34" s="155"/>
    </row>
    <row r="35" spans="2:23" ht="14.25" customHeight="1" thickBot="1" x14ac:dyDescent="0.35">
      <c r="B35" s="1394" t="s">
        <v>718</v>
      </c>
      <c r="C35" s="1394"/>
      <c r="D35" s="1394"/>
      <c r="E35" s="1394"/>
      <c r="F35" s="1394"/>
      <c r="G35" s="883"/>
      <c r="H35" s="884"/>
      <c r="I35" s="889"/>
      <c r="J35" s="889"/>
      <c r="K35" s="889"/>
      <c r="L35" s="889"/>
      <c r="R35" s="163" t="s">
        <v>261</v>
      </c>
      <c r="S35" s="1144">
        <f>$L$5</f>
        <v>1522.5558754970516</v>
      </c>
      <c r="T35" s="1144">
        <f>SUM(L6:L17)</f>
        <v>184.81778855601033</v>
      </c>
      <c r="U35" s="1203">
        <f>S35+T35+V35</f>
        <v>1708.4298691812671</v>
      </c>
      <c r="V35" s="1203">
        <f>SUM(L37:L38)</f>
        <v>1.0562051282051284</v>
      </c>
    </row>
    <row r="36" spans="2:23" ht="46.5" x14ac:dyDescent="0.3">
      <c r="B36" s="860" t="s">
        <v>253</v>
      </c>
      <c r="C36" s="860" t="s">
        <v>329</v>
      </c>
      <c r="D36" s="862" t="s">
        <v>671</v>
      </c>
      <c r="E36" s="859" t="s">
        <v>672</v>
      </c>
      <c r="F36" s="862" t="s">
        <v>673</v>
      </c>
      <c r="G36" s="885"/>
      <c r="H36" s="862" t="s">
        <v>673</v>
      </c>
      <c r="I36" s="862" t="s">
        <v>258</v>
      </c>
      <c r="J36" s="862" t="s">
        <v>259</v>
      </c>
      <c r="K36" s="862" t="s">
        <v>260</v>
      </c>
      <c r="L36" s="862" t="s">
        <v>261</v>
      </c>
    </row>
    <row r="37" spans="2:23" x14ac:dyDescent="0.3">
      <c r="B37" s="855" t="s">
        <v>746</v>
      </c>
      <c r="C37" s="856" t="s">
        <v>14</v>
      </c>
      <c r="D37" s="857">
        <v>7.0000000000000007E-2</v>
      </c>
      <c r="E37" s="855">
        <f>$AD$1</f>
        <v>133</v>
      </c>
      <c r="F37" s="855">
        <f>D37*E37</f>
        <v>9.31</v>
      </c>
      <c r="G37" s="879"/>
      <c r="H37" s="855">
        <f>F37</f>
        <v>9.31</v>
      </c>
      <c r="I37" s="855">
        <f>VLOOKUP(B37,All_Ingredients!$A$1:$F$151,6,FALSE())</f>
        <v>0.65</v>
      </c>
      <c r="J37" s="855">
        <f>VLOOKUP(B37,All_Ingredients!$A$1:$J$151,10,FALSE())</f>
        <v>45</v>
      </c>
      <c r="K37" s="855">
        <f>(H37/I37)/1000</f>
        <v>1.4323076923076924E-2</v>
      </c>
      <c r="L37" s="855">
        <f>K37*J37</f>
        <v>0.64453846153846162</v>
      </c>
    </row>
    <row r="38" spans="2:23" x14ac:dyDescent="0.3">
      <c r="B38" s="855" t="s">
        <v>19</v>
      </c>
      <c r="C38" s="856" t="s">
        <v>14</v>
      </c>
      <c r="D38" s="857">
        <v>1</v>
      </c>
      <c r="E38" s="855">
        <f>$AD$1</f>
        <v>133</v>
      </c>
      <c r="F38" s="855">
        <f>D38*E38</f>
        <v>133</v>
      </c>
      <c r="H38" s="855">
        <f>F38</f>
        <v>133</v>
      </c>
      <c r="I38" s="855">
        <f>VLOOKUP(B38,All_Ingredients!$A$1:$F$151,6,FALSE())</f>
        <v>0.84</v>
      </c>
      <c r="J38" s="855">
        <f>VLOOKUP(B38,All_Ingredients!$A$1:$J$151,10,FALSE())</f>
        <v>2.6</v>
      </c>
      <c r="K38" s="855">
        <f>(H38/I38)/1000</f>
        <v>0.15833333333333335</v>
      </c>
      <c r="L38" s="855">
        <f>K38*J38</f>
        <v>0.41166666666666674</v>
      </c>
    </row>
    <row r="40" spans="2:23" ht="20.25" customHeight="1" x14ac:dyDescent="0.3">
      <c r="Q40" s="14"/>
      <c r="R40" s="165" t="s">
        <v>282</v>
      </c>
      <c r="S40" s="505">
        <v>0.76923076923076905</v>
      </c>
      <c r="T40" s="165" t="s">
        <v>283</v>
      </c>
      <c r="U40" s="506">
        <v>0.230769230769231</v>
      </c>
      <c r="V40" s="168">
        <f>S40+U40</f>
        <v>1</v>
      </c>
      <c r="W40" s="14"/>
    </row>
    <row r="41" spans="2:23" ht="14.25" customHeight="1" x14ac:dyDescent="0.3">
      <c r="Q41" s="14"/>
      <c r="R41" s="14"/>
      <c r="S41" s="14"/>
      <c r="T41" s="14"/>
      <c r="U41" s="169"/>
      <c r="V41" s="14"/>
      <c r="W41" s="14"/>
    </row>
    <row r="42" spans="2:23" ht="14.25" customHeight="1" x14ac:dyDescent="0.3">
      <c r="Q42" s="14"/>
      <c r="R42" s="14"/>
      <c r="S42" s="14"/>
      <c r="T42" s="14"/>
      <c r="U42" s="14"/>
      <c r="V42" s="14"/>
      <c r="W42" s="14"/>
    </row>
    <row r="43" spans="2:23" ht="14.25" customHeight="1" x14ac:dyDescent="0.3">
      <c r="Q43" s="170" t="s">
        <v>284</v>
      </c>
      <c r="R43" s="170" t="s">
        <v>285</v>
      </c>
      <c r="S43" s="170" t="s">
        <v>286</v>
      </c>
      <c r="T43" s="170" t="s">
        <v>287</v>
      </c>
      <c r="U43" s="170" t="s">
        <v>288</v>
      </c>
      <c r="V43" s="170" t="s">
        <v>289</v>
      </c>
      <c r="W43" s="258" t="s">
        <v>290</v>
      </c>
    </row>
    <row r="44" spans="2:23" ht="14.25" customHeight="1" x14ac:dyDescent="0.3">
      <c r="Q44" s="172">
        <v>10745</v>
      </c>
      <c r="R44" s="173">
        <f>D51</f>
        <v>10000</v>
      </c>
      <c r="S44" s="174">
        <v>0.24793000000000001</v>
      </c>
      <c r="T44" s="174">
        <v>0.75207000000000002</v>
      </c>
      <c r="U44" s="242">
        <f>R44*S44</f>
        <v>2479.3000000000002</v>
      </c>
      <c r="V44" s="176">
        <f>R44*T44</f>
        <v>7520.7</v>
      </c>
      <c r="W44" s="260">
        <f>Q44-U44</f>
        <v>8265.7000000000007</v>
      </c>
    </row>
    <row r="50" spans="1:10" x14ac:dyDescent="0.3">
      <c r="B50" s="276"/>
      <c r="C50" s="145" t="s">
        <v>245</v>
      </c>
      <c r="D50" s="145" t="s">
        <v>291</v>
      </c>
      <c r="E50" s="100"/>
      <c r="F50" s="100"/>
      <c r="G50" s="145" t="s">
        <v>292</v>
      </c>
      <c r="H50" s="145" t="s">
        <v>245</v>
      </c>
      <c r="I50" s="145" t="s">
        <v>293</v>
      </c>
      <c r="J50" s="145" t="s">
        <v>294</v>
      </c>
    </row>
    <row r="51" spans="1:10" x14ac:dyDescent="0.3">
      <c r="B51" s="180" t="s">
        <v>295</v>
      </c>
      <c r="C51" s="181">
        <f>10/$K$1</f>
        <v>10.204081632653061</v>
      </c>
      <c r="D51" s="182">
        <f>$C$1*10</f>
        <v>10000</v>
      </c>
      <c r="E51" s="183"/>
      <c r="F51" s="100"/>
      <c r="G51" s="180" t="s">
        <v>295</v>
      </c>
      <c r="H51" s="277">
        <f>I51/$D$5</f>
        <v>10</v>
      </c>
      <c r="I51" s="181">
        <f>J51/$R$1</f>
        <v>16207.254901960785</v>
      </c>
      <c r="J51" s="181">
        <f>$W$44</f>
        <v>8265.7000000000007</v>
      </c>
    </row>
    <row r="52" spans="1:10" x14ac:dyDescent="0.3">
      <c r="B52" s="231" t="s">
        <v>274</v>
      </c>
      <c r="C52" s="232">
        <f>$I$1</f>
        <v>19.774097331240188</v>
      </c>
      <c r="D52" s="233">
        <f>$E$1</f>
        <v>19378.615384615387</v>
      </c>
      <c r="E52" s="100"/>
      <c r="F52" s="100"/>
      <c r="G52" s="148" t="s">
        <v>274</v>
      </c>
      <c r="H52" s="210">
        <f>I52/$D$5</f>
        <v>19.375714840103814</v>
      </c>
      <c r="I52" s="176">
        <f>J52/$R$1</f>
        <v>31402.714932126688</v>
      </c>
      <c r="J52" s="184">
        <f>$S$32</f>
        <v>16015.384615384612</v>
      </c>
    </row>
    <row r="53" spans="1:10" x14ac:dyDescent="0.3">
      <c r="B53" s="231" t="s">
        <v>296</v>
      </c>
      <c r="C53" s="234">
        <f>MIN(C52, C51)</f>
        <v>10.204081632653061</v>
      </c>
      <c r="D53" s="233">
        <f>(C53*$K$1)*$C$1</f>
        <v>10000</v>
      </c>
      <c r="E53" s="100"/>
      <c r="F53" s="100"/>
      <c r="G53" s="148" t="s">
        <v>296</v>
      </c>
      <c r="H53" s="187">
        <f>MIN(H52,H51)</f>
        <v>10</v>
      </c>
      <c r="I53" s="176">
        <f>J53/$R$1</f>
        <v>16207.254901960785</v>
      </c>
      <c r="J53" s="176">
        <f>MIN(J52,J51)</f>
        <v>8265.7000000000007</v>
      </c>
    </row>
    <row r="54" spans="1:10" x14ac:dyDescent="0.3">
      <c r="B54" s="231" t="s">
        <v>297</v>
      </c>
      <c r="C54" s="234">
        <f>MIN(MAX(C52-C53,0),C51)</f>
        <v>9.5700156985871274</v>
      </c>
      <c r="D54" s="233">
        <f>(C54*$K$1)*$C$1</f>
        <v>9378.6153846153866</v>
      </c>
      <c r="E54" s="100"/>
      <c r="F54" s="100"/>
      <c r="G54" s="148" t="s">
        <v>297</v>
      </c>
      <c r="H54" s="187">
        <f>MIN(MAX(H52-H53),H51)</f>
        <v>9.3757148401038144</v>
      </c>
      <c r="I54" s="176">
        <f>J54/$R$1</f>
        <v>15195.460030165903</v>
      </c>
      <c r="J54" s="176">
        <f>MIN(MAX(J52-J53),J51)</f>
        <v>7749.6846153846109</v>
      </c>
    </row>
    <row r="55" spans="1:10" x14ac:dyDescent="0.3">
      <c r="B55" s="231" t="s">
        <v>298</v>
      </c>
      <c r="C55" s="234">
        <f>MIN(MAX(C52-C53-C54,0),C51)</f>
        <v>0</v>
      </c>
      <c r="D55" s="233">
        <f>(C55*$K$1)*$C$1</f>
        <v>0</v>
      </c>
      <c r="E55" s="100"/>
      <c r="F55" s="100"/>
      <c r="G55" s="145" t="s">
        <v>298</v>
      </c>
      <c r="H55" s="187">
        <f>MIN(MAX(H52-H53-H54),H51)</f>
        <v>0</v>
      </c>
      <c r="I55" s="176">
        <f>J55/$R$1</f>
        <v>0</v>
      </c>
      <c r="J55" s="176">
        <f>MIN(MAX(J52-J53-J54),J51)</f>
        <v>0</v>
      </c>
    </row>
    <row r="62" spans="1:10" ht="17.75" customHeight="1" x14ac:dyDescent="0.3">
      <c r="A62" s="938"/>
      <c r="B62" s="1384" t="str">
        <f>"فاصوليا لحم 1 / " &amp; COUNTIF($C$53:$C$55, "&gt;0")</f>
        <v>فاصوليا لحم 1 / 2</v>
      </c>
      <c r="C62" s="1385"/>
      <c r="D62" s="1385"/>
      <c r="E62" s="1385"/>
      <c r="F62" s="1385"/>
      <c r="G62" s="1385"/>
      <c r="H62" s="1385"/>
    </row>
    <row r="63" spans="1:10" ht="17.75" customHeight="1" x14ac:dyDescent="0.3">
      <c r="A63" s="938"/>
      <c r="B63" s="1384" t="str">
        <f>"Lahm Fasooliya 1 / " &amp; COUNTIF($C$53:$C$55, "&gt;0")</f>
        <v>Lahm Fasooliya 1 / 2</v>
      </c>
      <c r="C63" s="1385"/>
      <c r="D63" s="1385"/>
      <c r="E63" s="1385"/>
      <c r="F63" s="1385"/>
      <c r="G63" s="1385"/>
      <c r="H63" s="1385"/>
    </row>
    <row r="64" spans="1:10" ht="25.5" customHeight="1" x14ac:dyDescent="0.3">
      <c r="A64" s="91"/>
      <c r="B64" s="243" t="s">
        <v>253</v>
      </c>
      <c r="C64" s="244" t="s">
        <v>254</v>
      </c>
      <c r="D64" s="245" t="s">
        <v>243</v>
      </c>
      <c r="E64" s="218" t="s">
        <v>246</v>
      </c>
      <c r="F64" s="218" t="s">
        <v>255</v>
      </c>
      <c r="G64" s="245" t="s">
        <v>256</v>
      </c>
      <c r="H64" s="218" t="s">
        <v>257</v>
      </c>
    </row>
    <row r="65" spans="1:8" ht="14.25" customHeight="1" x14ac:dyDescent="0.3">
      <c r="A65" s="270" t="s">
        <v>230</v>
      </c>
      <c r="B65" s="22" t="str">
        <f t="shared" ref="B65:D77" si="7">B5</f>
        <v>Indian Meat Alana  - لحم هندى ألانا</v>
      </c>
      <c r="C65" s="323" t="str">
        <f t="shared" si="7"/>
        <v>gm</v>
      </c>
      <c r="D65" s="488">
        <f t="shared" si="7"/>
        <v>1620.7254901960785</v>
      </c>
      <c r="E65" s="197">
        <f>H53</f>
        <v>10</v>
      </c>
      <c r="F65" s="127">
        <f t="shared" ref="F65:F77" si="8">F5</f>
        <v>1</v>
      </c>
      <c r="G65" s="119">
        <f t="shared" ref="G65:G77" si="9">D65*E65</f>
        <v>16207.254901960785</v>
      </c>
      <c r="H65" s="120">
        <f t="shared" ref="H65:H77" si="10">G65*F65</f>
        <v>16207.254901960785</v>
      </c>
    </row>
    <row r="66" spans="1:8" ht="14.25" customHeight="1" x14ac:dyDescent="0.3">
      <c r="A66" s="270" t="s">
        <v>13</v>
      </c>
      <c r="B66" s="22" t="str">
        <f t="shared" si="7"/>
        <v>Onion - بصل</v>
      </c>
      <c r="C66" s="323" t="str">
        <f t="shared" si="7"/>
        <v>gm</v>
      </c>
      <c r="D66" s="323">
        <f t="shared" si="7"/>
        <v>300</v>
      </c>
      <c r="E66" s="197">
        <f t="shared" ref="E66:E77" si="11">$C$53</f>
        <v>10.204081632653061</v>
      </c>
      <c r="F66" s="127">
        <f t="shared" si="8"/>
        <v>1</v>
      </c>
      <c r="G66" s="119">
        <f t="shared" si="9"/>
        <v>3061.2244897959181</v>
      </c>
      <c r="H66" s="120">
        <f t="shared" si="10"/>
        <v>3061.2244897959181</v>
      </c>
    </row>
    <row r="67" spans="1:8" ht="14.25" customHeight="1" x14ac:dyDescent="0.3">
      <c r="A67" s="270" t="s">
        <v>13</v>
      </c>
      <c r="B67" s="22" t="str">
        <f t="shared" si="7"/>
        <v>Garlic - ثوم مقشر</v>
      </c>
      <c r="C67" s="323" t="str">
        <f t="shared" si="7"/>
        <v>gm</v>
      </c>
      <c r="D67" s="323">
        <f t="shared" si="7"/>
        <v>25</v>
      </c>
      <c r="E67" s="197">
        <f t="shared" si="11"/>
        <v>10.204081632653061</v>
      </c>
      <c r="F67" s="127">
        <f t="shared" si="8"/>
        <v>1</v>
      </c>
      <c r="G67" s="119">
        <f t="shared" si="9"/>
        <v>255.10204081632654</v>
      </c>
      <c r="H67" s="120">
        <f t="shared" si="10"/>
        <v>255.10204081632654</v>
      </c>
    </row>
    <row r="68" spans="1:8" ht="14.25" customHeight="1" x14ac:dyDescent="0.3">
      <c r="A68" s="270" t="s">
        <v>13</v>
      </c>
      <c r="B68" s="22" t="str">
        <f t="shared" si="7"/>
        <v>Tomato - طماطم</v>
      </c>
      <c r="C68" s="323" t="str">
        <f t="shared" si="7"/>
        <v>gm</v>
      </c>
      <c r="D68" s="323">
        <f t="shared" si="7"/>
        <v>400</v>
      </c>
      <c r="E68" s="197">
        <f t="shared" si="11"/>
        <v>10.204081632653061</v>
      </c>
      <c r="F68" s="127">
        <f t="shared" si="8"/>
        <v>1</v>
      </c>
      <c r="G68" s="119">
        <f t="shared" si="9"/>
        <v>4081.6326530612246</v>
      </c>
      <c r="H68" s="120">
        <f t="shared" si="10"/>
        <v>4081.6326530612246</v>
      </c>
    </row>
    <row r="69" spans="1:8" ht="14.25" customHeight="1" x14ac:dyDescent="0.3">
      <c r="A69" s="270" t="s">
        <v>196</v>
      </c>
      <c r="B69" s="22" t="str">
        <f t="shared" si="7"/>
        <v>Tomato Paste - صلصة طماطم</v>
      </c>
      <c r="C69" s="323" t="str">
        <f t="shared" si="7"/>
        <v>gm</v>
      </c>
      <c r="D69" s="323">
        <f t="shared" si="7"/>
        <v>250</v>
      </c>
      <c r="E69" s="197">
        <f t="shared" si="11"/>
        <v>10.204081632653061</v>
      </c>
      <c r="F69" s="127">
        <f t="shared" si="8"/>
        <v>1</v>
      </c>
      <c r="G69" s="119">
        <f t="shared" si="9"/>
        <v>2551.0204081632651</v>
      </c>
      <c r="H69" s="120">
        <f t="shared" si="10"/>
        <v>2551.0204081632651</v>
      </c>
    </row>
    <row r="70" spans="1:8" ht="14.25" customHeight="1" x14ac:dyDescent="0.3">
      <c r="A70" s="270" t="s">
        <v>97</v>
      </c>
      <c r="B70" s="22" t="str">
        <f t="shared" si="7"/>
        <v>Black Pepper Powder - فلفل أسود مطحون</v>
      </c>
      <c r="C70" s="323" t="str">
        <f t="shared" si="7"/>
        <v>gm</v>
      </c>
      <c r="D70" s="323">
        <f t="shared" si="7"/>
        <v>6</v>
      </c>
      <c r="E70" s="197">
        <f t="shared" si="11"/>
        <v>10.204081632653061</v>
      </c>
      <c r="F70" s="127">
        <f t="shared" si="8"/>
        <v>0.75</v>
      </c>
      <c r="G70" s="119">
        <f t="shared" si="9"/>
        <v>61.224489795918366</v>
      </c>
      <c r="H70" s="120">
        <f t="shared" si="10"/>
        <v>45.918367346938773</v>
      </c>
    </row>
    <row r="71" spans="1:8" ht="14.25" customHeight="1" x14ac:dyDescent="0.3">
      <c r="A71" s="270" t="s">
        <v>97</v>
      </c>
      <c r="B71" s="22" t="str">
        <f t="shared" si="7"/>
        <v>Cumin Powder - كمون مطحون</v>
      </c>
      <c r="C71" s="323" t="str">
        <f t="shared" si="7"/>
        <v>gm</v>
      </c>
      <c r="D71" s="323">
        <f t="shared" si="7"/>
        <v>10</v>
      </c>
      <c r="E71" s="197">
        <f t="shared" si="11"/>
        <v>10.204081632653061</v>
      </c>
      <c r="F71" s="127">
        <f t="shared" si="8"/>
        <v>0.75</v>
      </c>
      <c r="G71" s="119">
        <f t="shared" si="9"/>
        <v>102.0408163265306</v>
      </c>
      <c r="H71" s="120">
        <f t="shared" si="10"/>
        <v>76.530612244897952</v>
      </c>
    </row>
    <row r="72" spans="1:8" ht="14.25" customHeight="1" x14ac:dyDescent="0.3">
      <c r="A72" s="270" t="s">
        <v>97</v>
      </c>
      <c r="B72" s="22" t="str">
        <f t="shared" si="7"/>
        <v>Coriander Powder - كزبرة مطحونة</v>
      </c>
      <c r="C72" s="323" t="str">
        <f t="shared" si="7"/>
        <v>gm</v>
      </c>
      <c r="D72" s="323">
        <f t="shared" si="7"/>
        <v>15</v>
      </c>
      <c r="E72" s="197">
        <f t="shared" si="11"/>
        <v>10.204081632653061</v>
      </c>
      <c r="F72" s="127">
        <f t="shared" si="8"/>
        <v>0.75</v>
      </c>
      <c r="G72" s="119">
        <f t="shared" si="9"/>
        <v>153.0612244897959</v>
      </c>
      <c r="H72" s="120">
        <f t="shared" si="10"/>
        <v>114.79591836734693</v>
      </c>
    </row>
    <row r="73" spans="1:8" ht="14.25" customHeight="1" x14ac:dyDescent="0.3">
      <c r="A73" s="270" t="s">
        <v>97</v>
      </c>
      <c r="B73" s="22" t="str">
        <f t="shared" si="7"/>
        <v>Cinnamon Powder - قرفة مطحونة</v>
      </c>
      <c r="C73" s="323" t="str">
        <f t="shared" si="7"/>
        <v>gm</v>
      </c>
      <c r="D73" s="323">
        <f t="shared" si="7"/>
        <v>10</v>
      </c>
      <c r="E73" s="197">
        <f t="shared" si="11"/>
        <v>10.204081632653061</v>
      </c>
      <c r="F73" s="127">
        <f t="shared" si="8"/>
        <v>0.75</v>
      </c>
      <c r="G73" s="119">
        <f t="shared" si="9"/>
        <v>102.0408163265306</v>
      </c>
      <c r="H73" s="120">
        <f t="shared" si="10"/>
        <v>76.530612244897952</v>
      </c>
    </row>
    <row r="74" spans="1:8" ht="14.25" customHeight="1" x14ac:dyDescent="0.3">
      <c r="A74" s="270" t="s">
        <v>97</v>
      </c>
      <c r="B74" s="22" t="str">
        <f t="shared" si="7"/>
        <v>Maggi Cubes - مكعبات ماجي</v>
      </c>
      <c r="C74" s="323" t="str">
        <f t="shared" si="7"/>
        <v>gm</v>
      </c>
      <c r="D74" s="323">
        <f t="shared" si="7"/>
        <v>6</v>
      </c>
      <c r="E74" s="197">
        <f t="shared" si="11"/>
        <v>10.204081632653061</v>
      </c>
      <c r="F74" s="127">
        <f t="shared" si="8"/>
        <v>1</v>
      </c>
      <c r="G74" s="119">
        <f t="shared" si="9"/>
        <v>61.224489795918366</v>
      </c>
      <c r="H74" s="120">
        <f t="shared" si="10"/>
        <v>61.224489795918366</v>
      </c>
    </row>
    <row r="75" spans="1:8" ht="14.25" customHeight="1" x14ac:dyDescent="0.3">
      <c r="A75" s="270" t="s">
        <v>97</v>
      </c>
      <c r="B75" s="22" t="str">
        <f t="shared" si="7"/>
        <v>Salt - ملح</v>
      </c>
      <c r="C75" s="323" t="str">
        <f t="shared" si="7"/>
        <v>gm</v>
      </c>
      <c r="D75" s="323">
        <f t="shared" si="7"/>
        <v>5</v>
      </c>
      <c r="E75" s="197">
        <f t="shared" si="11"/>
        <v>10.204081632653061</v>
      </c>
      <c r="F75" s="127">
        <f t="shared" si="8"/>
        <v>1</v>
      </c>
      <c r="G75" s="119">
        <f t="shared" si="9"/>
        <v>51.020408163265301</v>
      </c>
      <c r="H75" s="120">
        <f t="shared" si="10"/>
        <v>51.020408163265301</v>
      </c>
    </row>
    <row r="76" spans="1:8" ht="14.25" customHeight="1" x14ac:dyDescent="0.3">
      <c r="A76" s="270" t="s">
        <v>158</v>
      </c>
      <c r="B76" s="22" t="str">
        <f t="shared" si="7"/>
        <v>Butter - زبدة</v>
      </c>
      <c r="C76" s="323" t="str">
        <f t="shared" si="7"/>
        <v>gm</v>
      </c>
      <c r="D76" s="323">
        <f t="shared" si="7"/>
        <v>40</v>
      </c>
      <c r="E76" s="197">
        <f t="shared" si="11"/>
        <v>10.204081632653061</v>
      </c>
      <c r="F76" s="127">
        <f t="shared" si="8"/>
        <v>1</v>
      </c>
      <c r="G76" s="119">
        <f t="shared" si="9"/>
        <v>408.16326530612241</v>
      </c>
      <c r="H76" s="120">
        <f t="shared" si="10"/>
        <v>408.16326530612241</v>
      </c>
    </row>
    <row r="77" spans="1:8" ht="14.25" customHeight="1" x14ac:dyDescent="0.3">
      <c r="A77" s="270" t="s">
        <v>228</v>
      </c>
      <c r="B77" s="22" t="str">
        <f t="shared" si="7"/>
        <v>White Beans - فاصوليا بيضاء</v>
      </c>
      <c r="C77" s="323" t="str">
        <f t="shared" si="7"/>
        <v>gm</v>
      </c>
      <c r="D77" s="323">
        <f t="shared" si="7"/>
        <v>400</v>
      </c>
      <c r="E77" s="197">
        <f t="shared" si="11"/>
        <v>10.204081632653061</v>
      </c>
      <c r="F77" s="127">
        <f t="shared" si="8"/>
        <v>1</v>
      </c>
      <c r="G77" s="119">
        <f t="shared" si="9"/>
        <v>4081.6326530612246</v>
      </c>
      <c r="H77" s="120">
        <f t="shared" si="10"/>
        <v>4081.6326530612246</v>
      </c>
    </row>
    <row r="78" spans="1:8" ht="20.25" customHeight="1" x14ac:dyDescent="0.3">
      <c r="A78" s="211"/>
      <c r="B78" s="198" t="s">
        <v>299</v>
      </c>
      <c r="C78" s="200" t="s">
        <v>285</v>
      </c>
      <c r="D78" s="14"/>
      <c r="E78" s="200" t="s">
        <v>300</v>
      </c>
      <c r="F78" s="14"/>
      <c r="G78" s="890" t="s">
        <v>276</v>
      </c>
      <c r="H78" s="890" t="s">
        <v>733</v>
      </c>
    </row>
    <row r="79" spans="1:8" ht="23" customHeight="1" x14ac:dyDescent="0.4">
      <c r="A79" s="211"/>
      <c r="B79" s="199">
        <f>$J$53</f>
        <v>8265.7000000000007</v>
      </c>
      <c r="C79" s="199">
        <f>E79+G79</f>
        <v>10000</v>
      </c>
      <c r="D79" s="930"/>
      <c r="E79" s="199">
        <f>$D$53*$S$44</f>
        <v>2479.3000000000002</v>
      </c>
      <c r="F79" s="934"/>
      <c r="G79" s="199">
        <f>$D$53*$T$44</f>
        <v>7520.7</v>
      </c>
      <c r="H79" s="199">
        <f>B79+E79</f>
        <v>10745</v>
      </c>
    </row>
    <row r="80" spans="1:8" ht="14.25" customHeight="1" x14ac:dyDescent="0.3">
      <c r="B80" s="100"/>
      <c r="C80" s="100"/>
      <c r="D80" s="100"/>
      <c r="E80" s="100"/>
      <c r="F80" s="100"/>
      <c r="G80" s="100"/>
      <c r="H80" s="100"/>
    </row>
    <row r="81" spans="1:8" ht="14.25" customHeight="1" x14ac:dyDescent="0.3">
      <c r="B81" s="100"/>
      <c r="C81" s="100"/>
      <c r="D81" s="100"/>
      <c r="E81" s="100"/>
      <c r="F81" s="100"/>
      <c r="G81" s="100"/>
      <c r="H81" s="100"/>
    </row>
    <row r="82" spans="1:8" ht="14.25" customHeight="1" x14ac:dyDescent="0.3">
      <c r="B82" s="100"/>
      <c r="C82" s="100"/>
      <c r="D82" s="100"/>
      <c r="E82" s="100"/>
      <c r="F82" s="100"/>
      <c r="G82" s="100"/>
      <c r="H82" s="100"/>
    </row>
    <row r="83" spans="1:8" ht="14.25" customHeight="1" x14ac:dyDescent="0.3">
      <c r="B83" s="100"/>
      <c r="C83" s="100"/>
      <c r="D83" s="100"/>
      <c r="E83" s="100"/>
      <c r="F83" s="100"/>
      <c r="G83" s="100"/>
      <c r="H83" s="100"/>
    </row>
    <row r="84" spans="1:8" ht="17.75" customHeight="1" x14ac:dyDescent="0.3">
      <c r="A84" s="976"/>
      <c r="B84" s="1467" t="str">
        <f>"فاصوليا لحم 2 / " &amp; COUNTIF($C$53:$C$55, "&gt;0")</f>
        <v>فاصوليا لحم 2 / 2</v>
      </c>
      <c r="C84" s="1385"/>
      <c r="D84" s="1385"/>
      <c r="E84" s="1385"/>
      <c r="F84" s="1385"/>
      <c r="G84" s="1385"/>
      <c r="H84" s="1385"/>
    </row>
    <row r="85" spans="1:8" ht="17.75" customHeight="1" x14ac:dyDescent="0.3">
      <c r="A85" s="976"/>
      <c r="B85" s="1467" t="str">
        <f>"Lahm Fasooliya 2 / " &amp; COUNTIF($C$53:$C$55, "&gt;0")</f>
        <v>Lahm Fasooliya 2 / 2</v>
      </c>
      <c r="C85" s="1385"/>
      <c r="D85" s="1385"/>
      <c r="E85" s="1385"/>
      <c r="F85" s="1385"/>
      <c r="G85" s="1385"/>
      <c r="H85" s="1385"/>
    </row>
    <row r="86" spans="1:8" ht="25.5" customHeight="1" x14ac:dyDescent="0.3">
      <c r="A86" s="91"/>
      <c r="B86" s="245" t="s">
        <v>253</v>
      </c>
      <c r="C86" s="244" t="s">
        <v>254</v>
      </c>
      <c r="D86" s="245" t="s">
        <v>243</v>
      </c>
      <c r="E86" s="218" t="s">
        <v>246</v>
      </c>
      <c r="F86" s="218" t="s">
        <v>255</v>
      </c>
      <c r="G86" s="245" t="s">
        <v>256</v>
      </c>
      <c r="H86" s="218" t="s">
        <v>257</v>
      </c>
    </row>
    <row r="87" spans="1:8" ht="14.25" customHeight="1" x14ac:dyDescent="0.3">
      <c r="A87" s="270" t="s">
        <v>230</v>
      </c>
      <c r="B87" s="22" t="str">
        <f t="shared" ref="B87:D99" si="12">B5</f>
        <v>Indian Meat Alana  - لحم هندى ألانا</v>
      </c>
      <c r="C87" s="323" t="str">
        <f t="shared" si="12"/>
        <v>gm</v>
      </c>
      <c r="D87" s="488">
        <f t="shared" si="12"/>
        <v>1620.7254901960785</v>
      </c>
      <c r="E87" s="197">
        <f>H54</f>
        <v>9.3757148401038144</v>
      </c>
      <c r="F87" s="127">
        <f t="shared" ref="F87:F99" si="13">F5</f>
        <v>1</v>
      </c>
      <c r="G87" s="119">
        <f t="shared" ref="G87:G99" si="14">D87*E87</f>
        <v>15195.460030165901</v>
      </c>
      <c r="H87" s="120">
        <f t="shared" ref="H87:H99" si="15">G87*F87</f>
        <v>15195.460030165901</v>
      </c>
    </row>
    <row r="88" spans="1:8" ht="14.25" customHeight="1" x14ac:dyDescent="0.3">
      <c r="A88" s="270" t="s">
        <v>13</v>
      </c>
      <c r="B88" s="22" t="str">
        <f t="shared" si="12"/>
        <v>Onion - بصل</v>
      </c>
      <c r="C88" s="323" t="str">
        <f t="shared" si="12"/>
        <v>gm</v>
      </c>
      <c r="D88" s="323">
        <f t="shared" si="12"/>
        <v>300</v>
      </c>
      <c r="E88" s="197">
        <f t="shared" ref="E88:E99" si="16">$C$54</f>
        <v>9.5700156985871274</v>
      </c>
      <c r="F88" s="127">
        <f t="shared" si="13"/>
        <v>1</v>
      </c>
      <c r="G88" s="119">
        <f t="shared" si="14"/>
        <v>2871.0047095761383</v>
      </c>
      <c r="H88" s="120">
        <f t="shared" si="15"/>
        <v>2871.0047095761383</v>
      </c>
    </row>
    <row r="89" spans="1:8" ht="14.25" customHeight="1" x14ac:dyDescent="0.3">
      <c r="A89" s="270" t="s">
        <v>13</v>
      </c>
      <c r="B89" s="22" t="str">
        <f t="shared" si="12"/>
        <v>Garlic - ثوم مقشر</v>
      </c>
      <c r="C89" s="323" t="str">
        <f t="shared" si="12"/>
        <v>gm</v>
      </c>
      <c r="D89" s="323">
        <f t="shared" si="12"/>
        <v>25</v>
      </c>
      <c r="E89" s="197">
        <f t="shared" si="16"/>
        <v>9.5700156985871274</v>
      </c>
      <c r="F89" s="127">
        <f t="shared" si="13"/>
        <v>1</v>
      </c>
      <c r="G89" s="119">
        <f t="shared" si="14"/>
        <v>239.25039246467819</v>
      </c>
      <c r="H89" s="120">
        <f t="shared" si="15"/>
        <v>239.25039246467819</v>
      </c>
    </row>
    <row r="90" spans="1:8" ht="14.25" customHeight="1" x14ac:dyDescent="0.3">
      <c r="A90" s="270" t="s">
        <v>13</v>
      </c>
      <c r="B90" s="22" t="str">
        <f t="shared" si="12"/>
        <v>Tomato - طماطم</v>
      </c>
      <c r="C90" s="323" t="str">
        <f t="shared" si="12"/>
        <v>gm</v>
      </c>
      <c r="D90" s="323">
        <f t="shared" si="12"/>
        <v>400</v>
      </c>
      <c r="E90" s="197">
        <f t="shared" si="16"/>
        <v>9.5700156985871274</v>
      </c>
      <c r="F90" s="127">
        <f t="shared" si="13"/>
        <v>1</v>
      </c>
      <c r="G90" s="119">
        <f t="shared" si="14"/>
        <v>3828.006279434851</v>
      </c>
      <c r="H90" s="120">
        <f t="shared" si="15"/>
        <v>3828.006279434851</v>
      </c>
    </row>
    <row r="91" spans="1:8" ht="14.25" customHeight="1" x14ac:dyDescent="0.3">
      <c r="A91" s="270" t="s">
        <v>196</v>
      </c>
      <c r="B91" s="22" t="str">
        <f t="shared" si="12"/>
        <v>Tomato Paste - صلصة طماطم</v>
      </c>
      <c r="C91" s="323" t="str">
        <f t="shared" si="12"/>
        <v>gm</v>
      </c>
      <c r="D91" s="323">
        <f t="shared" si="12"/>
        <v>250</v>
      </c>
      <c r="E91" s="197">
        <f t="shared" si="16"/>
        <v>9.5700156985871274</v>
      </c>
      <c r="F91" s="127">
        <f t="shared" si="13"/>
        <v>1</v>
      </c>
      <c r="G91" s="119">
        <f t="shared" si="14"/>
        <v>2392.5039246467818</v>
      </c>
      <c r="H91" s="120">
        <f t="shared" si="15"/>
        <v>2392.5039246467818</v>
      </c>
    </row>
    <row r="92" spans="1:8" ht="14.25" customHeight="1" x14ac:dyDescent="0.3">
      <c r="A92" s="270" t="s">
        <v>97</v>
      </c>
      <c r="B92" s="22" t="str">
        <f t="shared" si="12"/>
        <v>Black Pepper Powder - فلفل أسود مطحون</v>
      </c>
      <c r="C92" s="323" t="str">
        <f t="shared" si="12"/>
        <v>gm</v>
      </c>
      <c r="D92" s="323">
        <f t="shared" si="12"/>
        <v>6</v>
      </c>
      <c r="E92" s="197">
        <f t="shared" si="16"/>
        <v>9.5700156985871274</v>
      </c>
      <c r="F92" s="127">
        <f t="shared" si="13"/>
        <v>0.75</v>
      </c>
      <c r="G92" s="119">
        <f t="shared" si="14"/>
        <v>57.420094191522765</v>
      </c>
      <c r="H92" s="120">
        <f t="shared" si="15"/>
        <v>43.065070643642073</v>
      </c>
    </row>
    <row r="93" spans="1:8" ht="14.25" customHeight="1" x14ac:dyDescent="0.3">
      <c r="A93" s="270" t="s">
        <v>97</v>
      </c>
      <c r="B93" s="22" t="str">
        <f t="shared" si="12"/>
        <v>Cumin Powder - كمون مطحون</v>
      </c>
      <c r="C93" s="323" t="str">
        <f t="shared" si="12"/>
        <v>gm</v>
      </c>
      <c r="D93" s="323">
        <f t="shared" si="12"/>
        <v>10</v>
      </c>
      <c r="E93" s="197">
        <f t="shared" si="16"/>
        <v>9.5700156985871274</v>
      </c>
      <c r="F93" s="127">
        <f t="shared" si="13"/>
        <v>0.75</v>
      </c>
      <c r="G93" s="119">
        <f t="shared" si="14"/>
        <v>95.700156985871274</v>
      </c>
      <c r="H93" s="120">
        <f t="shared" si="15"/>
        <v>71.775117739403456</v>
      </c>
    </row>
    <row r="94" spans="1:8" ht="14.25" customHeight="1" x14ac:dyDescent="0.3">
      <c r="A94" s="270" t="s">
        <v>97</v>
      </c>
      <c r="B94" s="22" t="str">
        <f t="shared" si="12"/>
        <v>Coriander Powder - كزبرة مطحونة</v>
      </c>
      <c r="C94" s="323" t="str">
        <f t="shared" si="12"/>
        <v>gm</v>
      </c>
      <c r="D94" s="323">
        <f t="shared" si="12"/>
        <v>15</v>
      </c>
      <c r="E94" s="197">
        <f t="shared" si="16"/>
        <v>9.5700156985871274</v>
      </c>
      <c r="F94" s="127">
        <f t="shared" si="13"/>
        <v>0.75</v>
      </c>
      <c r="G94" s="119">
        <f t="shared" si="14"/>
        <v>143.55023547880691</v>
      </c>
      <c r="H94" s="120">
        <f t="shared" si="15"/>
        <v>107.66267660910518</v>
      </c>
    </row>
    <row r="95" spans="1:8" ht="14.25" customHeight="1" x14ac:dyDescent="0.3">
      <c r="A95" s="270" t="s">
        <v>97</v>
      </c>
      <c r="B95" s="22" t="str">
        <f t="shared" si="12"/>
        <v>Cinnamon Powder - قرفة مطحونة</v>
      </c>
      <c r="C95" s="323" t="str">
        <f t="shared" si="12"/>
        <v>gm</v>
      </c>
      <c r="D95" s="323">
        <f t="shared" si="12"/>
        <v>10</v>
      </c>
      <c r="E95" s="197">
        <f t="shared" si="16"/>
        <v>9.5700156985871274</v>
      </c>
      <c r="F95" s="127">
        <f t="shared" si="13"/>
        <v>0.75</v>
      </c>
      <c r="G95" s="119">
        <f t="shared" si="14"/>
        <v>95.700156985871274</v>
      </c>
      <c r="H95" s="120">
        <f t="shared" si="15"/>
        <v>71.775117739403456</v>
      </c>
    </row>
    <row r="96" spans="1:8" ht="14.25" customHeight="1" x14ac:dyDescent="0.3">
      <c r="A96" s="270" t="s">
        <v>97</v>
      </c>
      <c r="B96" s="22" t="str">
        <f t="shared" si="12"/>
        <v>Maggi Cubes - مكعبات ماجي</v>
      </c>
      <c r="C96" s="323" t="str">
        <f t="shared" si="12"/>
        <v>gm</v>
      </c>
      <c r="D96" s="323">
        <f t="shared" si="12"/>
        <v>6</v>
      </c>
      <c r="E96" s="197">
        <f t="shared" si="16"/>
        <v>9.5700156985871274</v>
      </c>
      <c r="F96" s="127">
        <f t="shared" si="13"/>
        <v>1</v>
      </c>
      <c r="G96" s="119">
        <f t="shared" si="14"/>
        <v>57.420094191522765</v>
      </c>
      <c r="H96" s="120">
        <f t="shared" si="15"/>
        <v>57.420094191522765</v>
      </c>
    </row>
    <row r="97" spans="1:8" ht="14.25" customHeight="1" x14ac:dyDescent="0.3">
      <c r="A97" s="270" t="s">
        <v>97</v>
      </c>
      <c r="B97" s="22" t="str">
        <f t="shared" si="12"/>
        <v>Salt - ملح</v>
      </c>
      <c r="C97" s="323" t="str">
        <f t="shared" si="12"/>
        <v>gm</v>
      </c>
      <c r="D97" s="323">
        <f t="shared" si="12"/>
        <v>5</v>
      </c>
      <c r="E97" s="197">
        <f t="shared" si="16"/>
        <v>9.5700156985871274</v>
      </c>
      <c r="F97" s="127">
        <f t="shared" si="13"/>
        <v>1</v>
      </c>
      <c r="G97" s="119">
        <f t="shared" si="14"/>
        <v>47.850078492935637</v>
      </c>
      <c r="H97" s="120">
        <f t="shared" si="15"/>
        <v>47.850078492935637</v>
      </c>
    </row>
    <row r="98" spans="1:8" ht="14.25" customHeight="1" x14ac:dyDescent="0.3">
      <c r="A98" s="270" t="s">
        <v>158</v>
      </c>
      <c r="B98" s="22" t="str">
        <f t="shared" si="12"/>
        <v>Butter - زبدة</v>
      </c>
      <c r="C98" s="323" t="str">
        <f t="shared" si="12"/>
        <v>gm</v>
      </c>
      <c r="D98" s="323">
        <f t="shared" si="12"/>
        <v>40</v>
      </c>
      <c r="E98" s="197">
        <f t="shared" si="16"/>
        <v>9.5700156985871274</v>
      </c>
      <c r="F98" s="127">
        <f t="shared" si="13"/>
        <v>1</v>
      </c>
      <c r="G98" s="119">
        <f t="shared" si="14"/>
        <v>382.8006279434851</v>
      </c>
      <c r="H98" s="120">
        <f t="shared" si="15"/>
        <v>382.8006279434851</v>
      </c>
    </row>
    <row r="99" spans="1:8" ht="14.25" customHeight="1" x14ac:dyDescent="0.3">
      <c r="A99" s="270" t="s">
        <v>228</v>
      </c>
      <c r="B99" s="22" t="str">
        <f t="shared" si="12"/>
        <v>White Beans - فاصوليا بيضاء</v>
      </c>
      <c r="C99" s="323" t="str">
        <f t="shared" si="12"/>
        <v>gm</v>
      </c>
      <c r="D99" s="323">
        <f t="shared" si="12"/>
        <v>400</v>
      </c>
      <c r="E99" s="197">
        <f t="shared" si="16"/>
        <v>9.5700156985871274</v>
      </c>
      <c r="F99" s="127">
        <f t="shared" si="13"/>
        <v>1</v>
      </c>
      <c r="G99" s="119">
        <f t="shared" si="14"/>
        <v>3828.006279434851</v>
      </c>
      <c r="H99" s="120">
        <f t="shared" si="15"/>
        <v>3828.006279434851</v>
      </c>
    </row>
    <row r="100" spans="1:8" ht="20.25" customHeight="1" x14ac:dyDescent="0.3">
      <c r="A100" s="211"/>
      <c r="B100" s="198" t="s">
        <v>299</v>
      </c>
      <c r="C100" s="200" t="s">
        <v>285</v>
      </c>
      <c r="D100" s="14"/>
      <c r="E100" s="200" t="s">
        <v>300</v>
      </c>
      <c r="F100" s="14"/>
      <c r="G100" s="890" t="s">
        <v>276</v>
      </c>
      <c r="H100" s="890" t="s">
        <v>733</v>
      </c>
    </row>
    <row r="101" spans="1:8" ht="20" x14ac:dyDescent="0.4">
      <c r="A101" s="211"/>
      <c r="B101" s="199">
        <f>$J$54</f>
        <v>7749.6846153846109</v>
      </c>
      <c r="C101" s="199">
        <f>E101+G101</f>
        <v>9378.6153846153866</v>
      </c>
      <c r="D101" s="930"/>
      <c r="E101" s="199">
        <f>$D$54*$S$44</f>
        <v>2325.2401123076929</v>
      </c>
      <c r="F101" s="934"/>
      <c r="G101" s="199">
        <f>$D$54*$T$44</f>
        <v>7053.3752723076941</v>
      </c>
      <c r="H101" s="199">
        <f>B101+E101</f>
        <v>10074.924727692303</v>
      </c>
    </row>
    <row r="103" spans="1:8" x14ac:dyDescent="0.3">
      <c r="A103" s="976"/>
      <c r="B103" s="1467" t="str">
        <f>"فاصوليا لحم 3 / " &amp; COUNTIF($C$53:$C$55, "&gt;0")</f>
        <v>فاصوليا لحم 3 / 2</v>
      </c>
      <c r="C103" s="1385"/>
      <c r="D103" s="1385"/>
      <c r="E103" s="1385"/>
      <c r="F103" s="1385"/>
      <c r="G103" s="1385"/>
      <c r="H103" s="1385"/>
    </row>
    <row r="104" spans="1:8" x14ac:dyDescent="0.3">
      <c r="A104" s="976"/>
      <c r="B104" s="1467" t="str">
        <f>"Lahm Fasooliya 3 / " &amp; COUNTIF($C$53:$C$55, "&gt;0")</f>
        <v>Lahm Fasooliya 3 / 2</v>
      </c>
      <c r="C104" s="1385"/>
      <c r="D104" s="1385"/>
      <c r="E104" s="1385"/>
      <c r="F104" s="1385"/>
      <c r="G104" s="1385"/>
      <c r="H104" s="1385"/>
    </row>
    <row r="105" spans="1:8" ht="46.25" customHeight="1" x14ac:dyDescent="0.3">
      <c r="A105" s="91"/>
      <c r="B105" s="245" t="s">
        <v>253</v>
      </c>
      <c r="C105" s="244" t="s">
        <v>254</v>
      </c>
      <c r="D105" s="245" t="s">
        <v>243</v>
      </c>
      <c r="E105" s="218" t="s">
        <v>246</v>
      </c>
      <c r="F105" s="218" t="s">
        <v>255</v>
      </c>
      <c r="G105" s="245" t="s">
        <v>256</v>
      </c>
      <c r="H105" s="218" t="s">
        <v>257</v>
      </c>
    </row>
    <row r="106" spans="1:8" x14ac:dyDescent="0.3">
      <c r="A106" s="270" t="s">
        <v>230</v>
      </c>
      <c r="B106" s="22" t="str">
        <f t="shared" ref="B106:D118" si="17">B5</f>
        <v>Indian Meat Alana  - لحم هندى ألانا</v>
      </c>
      <c r="C106" s="22" t="str">
        <f t="shared" si="17"/>
        <v>gm</v>
      </c>
      <c r="D106" s="22">
        <f t="shared" si="17"/>
        <v>1620.7254901960785</v>
      </c>
      <c r="E106" s="197">
        <f>H55</f>
        <v>0</v>
      </c>
      <c r="F106" s="127">
        <f>F5</f>
        <v>1</v>
      </c>
      <c r="G106" s="119">
        <f t="shared" ref="G106:G118" si="18">D106*E106</f>
        <v>0</v>
      </c>
      <c r="H106" s="120">
        <f t="shared" ref="H106:H118" si="19">G106*F106</f>
        <v>0</v>
      </c>
    </row>
    <row r="107" spans="1:8" x14ac:dyDescent="0.3">
      <c r="A107" s="270" t="s">
        <v>13</v>
      </c>
      <c r="B107" s="22" t="str">
        <f t="shared" si="17"/>
        <v>Onion - بصل</v>
      </c>
      <c r="C107" s="22" t="str">
        <f t="shared" si="17"/>
        <v>gm</v>
      </c>
      <c r="D107" s="22">
        <f t="shared" si="17"/>
        <v>300</v>
      </c>
      <c r="E107" s="197">
        <f t="shared" ref="E107:E118" si="20">$C$55</f>
        <v>0</v>
      </c>
      <c r="F107" s="127">
        <f t="shared" ref="F107:F118" si="21">F6</f>
        <v>1</v>
      </c>
      <c r="G107" s="119">
        <f t="shared" si="18"/>
        <v>0</v>
      </c>
      <c r="H107" s="120">
        <f t="shared" si="19"/>
        <v>0</v>
      </c>
    </row>
    <row r="108" spans="1:8" x14ac:dyDescent="0.3">
      <c r="A108" s="270" t="s">
        <v>13</v>
      </c>
      <c r="B108" s="22" t="str">
        <f t="shared" si="17"/>
        <v>Garlic - ثوم مقشر</v>
      </c>
      <c r="C108" s="22" t="str">
        <f t="shared" si="17"/>
        <v>gm</v>
      </c>
      <c r="D108" s="22">
        <f t="shared" si="17"/>
        <v>25</v>
      </c>
      <c r="E108" s="197">
        <f t="shared" si="20"/>
        <v>0</v>
      </c>
      <c r="F108" s="127">
        <f t="shared" si="21"/>
        <v>1</v>
      </c>
      <c r="G108" s="119">
        <f t="shared" si="18"/>
        <v>0</v>
      </c>
      <c r="H108" s="120">
        <f t="shared" si="19"/>
        <v>0</v>
      </c>
    </row>
    <row r="109" spans="1:8" x14ac:dyDescent="0.3">
      <c r="A109" s="270" t="s">
        <v>13</v>
      </c>
      <c r="B109" s="22" t="str">
        <f t="shared" si="17"/>
        <v>Tomato - طماطم</v>
      </c>
      <c r="C109" s="22" t="str">
        <f t="shared" si="17"/>
        <v>gm</v>
      </c>
      <c r="D109" s="22">
        <f t="shared" si="17"/>
        <v>400</v>
      </c>
      <c r="E109" s="197">
        <f t="shared" si="20"/>
        <v>0</v>
      </c>
      <c r="F109" s="127">
        <f t="shared" si="21"/>
        <v>1</v>
      </c>
      <c r="G109" s="119">
        <f t="shared" si="18"/>
        <v>0</v>
      </c>
      <c r="H109" s="120">
        <f t="shared" si="19"/>
        <v>0</v>
      </c>
    </row>
    <row r="110" spans="1:8" x14ac:dyDescent="0.3">
      <c r="A110" s="270" t="s">
        <v>196</v>
      </c>
      <c r="B110" s="22" t="str">
        <f t="shared" si="17"/>
        <v>Tomato Paste - صلصة طماطم</v>
      </c>
      <c r="C110" s="22" t="str">
        <f t="shared" si="17"/>
        <v>gm</v>
      </c>
      <c r="D110" s="22">
        <f t="shared" si="17"/>
        <v>250</v>
      </c>
      <c r="E110" s="197">
        <f t="shared" si="20"/>
        <v>0</v>
      </c>
      <c r="F110" s="127">
        <f t="shared" si="21"/>
        <v>1</v>
      </c>
      <c r="G110" s="119">
        <f t="shared" si="18"/>
        <v>0</v>
      </c>
      <c r="H110" s="120">
        <f t="shared" si="19"/>
        <v>0</v>
      </c>
    </row>
    <row r="111" spans="1:8" x14ac:dyDescent="0.3">
      <c r="A111" s="270" t="s">
        <v>97</v>
      </c>
      <c r="B111" s="22" t="str">
        <f t="shared" si="17"/>
        <v>Black Pepper Powder - فلفل أسود مطحون</v>
      </c>
      <c r="C111" s="22" t="str">
        <f t="shared" si="17"/>
        <v>gm</v>
      </c>
      <c r="D111" s="22">
        <f t="shared" si="17"/>
        <v>6</v>
      </c>
      <c r="E111" s="197">
        <f t="shared" si="20"/>
        <v>0</v>
      </c>
      <c r="F111" s="127">
        <f t="shared" si="21"/>
        <v>0.75</v>
      </c>
      <c r="G111" s="119">
        <f t="shared" si="18"/>
        <v>0</v>
      </c>
      <c r="H111" s="120">
        <f t="shared" si="19"/>
        <v>0</v>
      </c>
    </row>
    <row r="112" spans="1:8" x14ac:dyDescent="0.3">
      <c r="A112" s="270" t="s">
        <v>97</v>
      </c>
      <c r="B112" s="22" t="str">
        <f t="shared" si="17"/>
        <v>Cumin Powder - كمون مطحون</v>
      </c>
      <c r="C112" s="22" t="str">
        <f t="shared" si="17"/>
        <v>gm</v>
      </c>
      <c r="D112" s="22">
        <f t="shared" si="17"/>
        <v>10</v>
      </c>
      <c r="E112" s="197">
        <f t="shared" si="20"/>
        <v>0</v>
      </c>
      <c r="F112" s="127">
        <f t="shared" si="21"/>
        <v>0.75</v>
      </c>
      <c r="G112" s="119">
        <f t="shared" si="18"/>
        <v>0</v>
      </c>
      <c r="H112" s="120">
        <f t="shared" si="19"/>
        <v>0</v>
      </c>
    </row>
    <row r="113" spans="1:8" x14ac:dyDescent="0.3">
      <c r="A113" s="270" t="s">
        <v>97</v>
      </c>
      <c r="B113" s="22" t="str">
        <f t="shared" si="17"/>
        <v>Coriander Powder - كزبرة مطحونة</v>
      </c>
      <c r="C113" s="22" t="str">
        <f t="shared" si="17"/>
        <v>gm</v>
      </c>
      <c r="D113" s="22">
        <f t="shared" si="17"/>
        <v>15</v>
      </c>
      <c r="E113" s="197">
        <f t="shared" si="20"/>
        <v>0</v>
      </c>
      <c r="F113" s="127">
        <f t="shared" si="21"/>
        <v>0.75</v>
      </c>
      <c r="G113" s="119">
        <f t="shared" si="18"/>
        <v>0</v>
      </c>
      <c r="H113" s="120">
        <f t="shared" si="19"/>
        <v>0</v>
      </c>
    </row>
    <row r="114" spans="1:8" x14ac:dyDescent="0.3">
      <c r="A114" s="270" t="s">
        <v>97</v>
      </c>
      <c r="B114" s="22" t="str">
        <f t="shared" si="17"/>
        <v>Cinnamon Powder - قرفة مطحونة</v>
      </c>
      <c r="C114" s="22" t="str">
        <f t="shared" si="17"/>
        <v>gm</v>
      </c>
      <c r="D114" s="22">
        <f t="shared" si="17"/>
        <v>10</v>
      </c>
      <c r="E114" s="197">
        <f t="shared" si="20"/>
        <v>0</v>
      </c>
      <c r="F114" s="127">
        <f t="shared" si="21"/>
        <v>0.75</v>
      </c>
      <c r="G114" s="119">
        <f t="shared" si="18"/>
        <v>0</v>
      </c>
      <c r="H114" s="120">
        <f t="shared" si="19"/>
        <v>0</v>
      </c>
    </row>
    <row r="115" spans="1:8" x14ac:dyDescent="0.3">
      <c r="A115" s="270" t="s">
        <v>97</v>
      </c>
      <c r="B115" s="22" t="str">
        <f t="shared" si="17"/>
        <v>Maggi Cubes - مكعبات ماجي</v>
      </c>
      <c r="C115" s="22" t="str">
        <f t="shared" si="17"/>
        <v>gm</v>
      </c>
      <c r="D115" s="22">
        <f t="shared" si="17"/>
        <v>6</v>
      </c>
      <c r="E115" s="197">
        <f t="shared" si="20"/>
        <v>0</v>
      </c>
      <c r="F115" s="127">
        <f t="shared" si="21"/>
        <v>1</v>
      </c>
      <c r="G115" s="119">
        <f t="shared" si="18"/>
        <v>0</v>
      </c>
      <c r="H115" s="120">
        <f t="shared" si="19"/>
        <v>0</v>
      </c>
    </row>
    <row r="116" spans="1:8" x14ac:dyDescent="0.3">
      <c r="A116" s="270" t="s">
        <v>97</v>
      </c>
      <c r="B116" s="22" t="str">
        <f t="shared" si="17"/>
        <v>Salt - ملح</v>
      </c>
      <c r="C116" s="22" t="str">
        <f t="shared" si="17"/>
        <v>gm</v>
      </c>
      <c r="D116" s="22">
        <f t="shared" si="17"/>
        <v>5</v>
      </c>
      <c r="E116" s="197">
        <f t="shared" si="20"/>
        <v>0</v>
      </c>
      <c r="F116" s="127">
        <f t="shared" si="21"/>
        <v>1</v>
      </c>
      <c r="G116" s="119">
        <f t="shared" si="18"/>
        <v>0</v>
      </c>
      <c r="H116" s="120">
        <f t="shared" si="19"/>
        <v>0</v>
      </c>
    </row>
    <row r="117" spans="1:8" x14ac:dyDescent="0.3">
      <c r="A117" s="270" t="s">
        <v>158</v>
      </c>
      <c r="B117" s="22" t="str">
        <f t="shared" si="17"/>
        <v>Butter - زبدة</v>
      </c>
      <c r="C117" s="22" t="str">
        <f t="shared" si="17"/>
        <v>gm</v>
      </c>
      <c r="D117" s="22">
        <f t="shared" si="17"/>
        <v>40</v>
      </c>
      <c r="E117" s="197">
        <f t="shared" si="20"/>
        <v>0</v>
      </c>
      <c r="F117" s="127">
        <f t="shared" si="21"/>
        <v>1</v>
      </c>
      <c r="G117" s="119">
        <f t="shared" si="18"/>
        <v>0</v>
      </c>
      <c r="H117" s="120">
        <f t="shared" si="19"/>
        <v>0</v>
      </c>
    </row>
    <row r="118" spans="1:8" x14ac:dyDescent="0.3">
      <c r="A118" s="270" t="s">
        <v>228</v>
      </c>
      <c r="B118" s="22" t="str">
        <f t="shared" si="17"/>
        <v>White Beans - فاصوليا بيضاء</v>
      </c>
      <c r="C118" s="22" t="str">
        <f t="shared" si="17"/>
        <v>gm</v>
      </c>
      <c r="D118" s="22">
        <f t="shared" si="17"/>
        <v>400</v>
      </c>
      <c r="E118" s="197">
        <f t="shared" si="20"/>
        <v>0</v>
      </c>
      <c r="F118" s="127">
        <f t="shared" si="21"/>
        <v>1</v>
      </c>
      <c r="G118" s="119">
        <f t="shared" si="18"/>
        <v>0</v>
      </c>
      <c r="H118" s="120">
        <f t="shared" si="19"/>
        <v>0</v>
      </c>
    </row>
    <row r="119" spans="1:8" ht="18" x14ac:dyDescent="0.3">
      <c r="A119" s="211"/>
      <c r="B119" s="198" t="s">
        <v>299</v>
      </c>
      <c r="C119" s="200" t="s">
        <v>285</v>
      </c>
      <c r="D119" s="14"/>
      <c r="E119" s="200" t="s">
        <v>300</v>
      </c>
      <c r="F119" s="14"/>
      <c r="G119" s="890" t="s">
        <v>276</v>
      </c>
      <c r="H119" s="890" t="s">
        <v>733</v>
      </c>
    </row>
    <row r="120" spans="1:8" ht="20" x14ac:dyDescent="0.4">
      <c r="A120" s="211"/>
      <c r="B120" s="199">
        <f>$J$55</f>
        <v>0</v>
      </c>
      <c r="C120" s="199">
        <f>E120+G120</f>
        <v>0</v>
      </c>
      <c r="D120" s="930"/>
      <c r="E120" s="199">
        <f>$D$55*$S$44</f>
        <v>0</v>
      </c>
      <c r="F120" s="934"/>
      <c r="G120" s="199">
        <f>$D$55*$T$44</f>
        <v>0</v>
      </c>
      <c r="H120" s="199">
        <f>B120+E120</f>
        <v>0</v>
      </c>
    </row>
  </sheetData>
  <mergeCells count="11">
    <mergeCell ref="B103:H103"/>
    <mergeCell ref="B104:H104"/>
    <mergeCell ref="B85:H85"/>
    <mergeCell ref="AE2:AE3"/>
    <mergeCell ref="B84:H84"/>
    <mergeCell ref="R26:U26"/>
    <mergeCell ref="R25:U25"/>
    <mergeCell ref="B62:H62"/>
    <mergeCell ref="B2:K3"/>
    <mergeCell ref="B63:H63"/>
    <mergeCell ref="B35:F35"/>
  </mergeCells>
  <printOptions horizontalCentered="1"/>
  <pageMargins left="0.5" right="0.5" top="1" bottom="0.5" header="0.3" footer="0.511811023622047"/>
  <pageSetup paperSize="9" scale="32" orientation="portrait" r:id="rId1"/>
  <legacyDrawing r:id="rId2"/>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6" tint="-0.249977111117893"/>
    <pageSetUpPr fitToPage="1"/>
  </sheetPr>
  <dimension ref="A1:AG99"/>
  <sheetViews>
    <sheetView topLeftCell="A20" zoomScale="70" zoomScaleNormal="70" workbookViewId="0">
      <selection activeCell="B38" sqref="B38"/>
    </sheetView>
  </sheetViews>
  <sheetFormatPr defaultColWidth="12.5" defaultRowHeight="14" x14ac:dyDescent="0.3"/>
  <cols>
    <col min="1" max="1" width="12.5" style="1" customWidth="1"/>
    <col min="2" max="2" width="33.5" customWidth="1"/>
    <col min="3" max="3" width="23.9140625" customWidth="1"/>
    <col min="4" max="4" width="19" customWidth="1"/>
    <col min="5" max="5" width="16.1640625" customWidth="1"/>
    <col min="6" max="6" width="23.08203125" customWidth="1"/>
    <col min="7" max="7" width="25.1640625" customWidth="1"/>
    <col min="8" max="8" width="36.1640625" customWidth="1"/>
    <col min="12" max="12" width="8.33203125" customWidth="1"/>
    <col min="13" max="14" width="4.75" customWidth="1"/>
    <col min="18" max="18" width="38.83203125" bestFit="1" customWidth="1"/>
  </cols>
  <sheetData>
    <row r="1" spans="1:33" ht="35.25" customHeight="1" x14ac:dyDescent="0.3">
      <c r="B1" s="80" t="s">
        <v>243</v>
      </c>
      <c r="C1" s="81">
        <v>1000</v>
      </c>
      <c r="D1" s="82" t="s">
        <v>244</v>
      </c>
      <c r="E1" s="117">
        <f>T32</f>
        <v>12286.153846153858</v>
      </c>
      <c r="F1" s="80" t="s">
        <v>245</v>
      </c>
      <c r="G1" s="81">
        <f>(E1/C1)</f>
        <v>12.286153846153859</v>
      </c>
      <c r="H1" s="80" t="s">
        <v>246</v>
      </c>
      <c r="I1" s="249">
        <f>(G1/K1)</f>
        <v>12.536891679748836</v>
      </c>
      <c r="J1" s="86" t="s">
        <v>247</v>
      </c>
      <c r="K1" s="81">
        <v>0.98</v>
      </c>
      <c r="L1" s="100"/>
      <c r="M1" s="89"/>
      <c r="N1" s="90"/>
      <c r="O1" s="91" t="s">
        <v>248</v>
      </c>
      <c r="P1" s="92" t="s">
        <v>301</v>
      </c>
      <c r="Q1" s="93" t="s">
        <v>250</v>
      </c>
      <c r="R1" s="92">
        <v>0.51</v>
      </c>
      <c r="Y1" s="91" t="s">
        <v>479</v>
      </c>
      <c r="Z1" s="847">
        <v>52240</v>
      </c>
      <c r="AA1" s="91" t="s">
        <v>600</v>
      </c>
      <c r="AB1" s="847">
        <v>1000</v>
      </c>
      <c r="AC1" s="91" t="s">
        <v>587</v>
      </c>
      <c r="AD1" s="847">
        <v>360</v>
      </c>
      <c r="AE1" s="250"/>
      <c r="AF1" s="252"/>
      <c r="AG1" s="92"/>
    </row>
    <row r="2" spans="1:33" ht="15.75" customHeight="1" x14ac:dyDescent="0.3">
      <c r="A2" s="265"/>
      <c r="B2" s="98"/>
      <c r="C2" s="98"/>
      <c r="D2" s="98"/>
      <c r="E2" s="98"/>
      <c r="F2" s="1453" t="s">
        <v>111</v>
      </c>
      <c r="G2" s="1429"/>
      <c r="H2" s="98"/>
      <c r="I2" s="98"/>
      <c r="J2" s="98"/>
      <c r="K2" s="98"/>
      <c r="L2" s="293"/>
      <c r="M2" s="100"/>
      <c r="N2" s="100"/>
      <c r="O2" s="100"/>
      <c r="P2" s="100"/>
      <c r="Q2" s="100"/>
      <c r="R2" s="100"/>
      <c r="AC2" s="99"/>
      <c r="AD2" s="99"/>
      <c r="AE2" s="1391"/>
      <c r="AF2" s="1422"/>
      <c r="AG2" s="1422"/>
    </row>
    <row r="3" spans="1:33" ht="15.75" customHeight="1" x14ac:dyDescent="0.3">
      <c r="A3" s="265"/>
      <c r="B3" s="103"/>
      <c r="C3" s="103"/>
      <c r="D3" s="103"/>
      <c r="E3" s="103"/>
      <c r="F3" s="1388"/>
      <c r="G3" s="1388"/>
      <c r="H3" s="103"/>
      <c r="I3" s="103"/>
      <c r="J3" s="103"/>
      <c r="K3" s="103"/>
      <c r="L3" s="293"/>
      <c r="M3" s="100"/>
      <c r="N3" s="100"/>
      <c r="O3" s="100"/>
      <c r="P3" s="100"/>
      <c r="Q3" s="100"/>
      <c r="R3" s="100"/>
      <c r="AC3" s="99"/>
      <c r="AD3" s="99"/>
      <c r="AE3" s="1422"/>
      <c r="AF3" s="1422"/>
      <c r="AG3" s="1422"/>
    </row>
    <row r="4" spans="1:33" ht="35.25" customHeight="1" x14ac:dyDescent="0.3">
      <c r="A4" s="91" t="s">
        <v>1</v>
      </c>
      <c r="B4" s="91" t="s">
        <v>253</v>
      </c>
      <c r="C4" s="107" t="s">
        <v>254</v>
      </c>
      <c r="D4" s="91" t="s">
        <v>243</v>
      </c>
      <c r="E4" s="108" t="s">
        <v>246</v>
      </c>
      <c r="F4" s="108" t="s">
        <v>255</v>
      </c>
      <c r="G4" s="91" t="s">
        <v>256</v>
      </c>
      <c r="H4" s="331" t="s">
        <v>347</v>
      </c>
      <c r="I4" s="91" t="s">
        <v>258</v>
      </c>
      <c r="J4" s="91" t="s">
        <v>259</v>
      </c>
      <c r="K4" s="91" t="s">
        <v>260</v>
      </c>
      <c r="L4" s="91" t="s">
        <v>261</v>
      </c>
      <c r="M4" s="100"/>
      <c r="N4" s="100"/>
      <c r="O4" s="100"/>
      <c r="P4" s="100"/>
      <c r="AA4" s="251"/>
      <c r="AB4" s="253"/>
      <c r="AC4" s="251"/>
      <c r="AD4" s="251"/>
      <c r="AE4" s="251"/>
    </row>
    <row r="5" spans="1:33" ht="14.25" customHeight="1" x14ac:dyDescent="0.3">
      <c r="A5" s="266" t="s">
        <v>230</v>
      </c>
      <c r="B5" s="267" t="s">
        <v>236</v>
      </c>
      <c r="C5" s="115" t="s">
        <v>14</v>
      </c>
      <c r="D5" s="121">
        <f>I51/10</f>
        <v>6536.0784313725489</v>
      </c>
      <c r="E5" s="117">
        <f>H52</f>
        <v>12.285908127991283</v>
      </c>
      <c r="F5" s="127">
        <v>1</v>
      </c>
      <c r="G5" s="119">
        <f t="shared" ref="G5:G17" si="0">D5*E5</f>
        <v>80301.659125188511</v>
      </c>
      <c r="H5" s="120">
        <f t="shared" ref="H5:H17" si="1">G5*F5</f>
        <v>80301.659125188511</v>
      </c>
      <c r="I5" s="81">
        <f>VLOOKUP(B5,All_Ingredients!$A$1:$F$151,6,FALSE())</f>
        <v>0.61</v>
      </c>
      <c r="J5" s="119">
        <f>VLOOKUP(B5,All_Ingredients!$A$1:$J$151,10,FALSE())</f>
        <v>39</v>
      </c>
      <c r="K5" s="122">
        <f t="shared" ref="K5" si="2">(H5/I5)/1000</f>
        <v>131.64206413965329</v>
      </c>
      <c r="L5" s="122">
        <f t="shared" ref="L5" si="3">K5*J5</f>
        <v>5134.0405014464777</v>
      </c>
      <c r="M5" s="100"/>
      <c r="N5" s="100"/>
      <c r="O5" s="100"/>
      <c r="P5" s="100"/>
      <c r="AA5" s="92"/>
      <c r="AB5" s="133"/>
      <c r="AC5" s="254"/>
      <c r="AD5" s="135"/>
      <c r="AE5" s="136"/>
    </row>
    <row r="6" spans="1:33" ht="14.25" customHeight="1" x14ac:dyDescent="0.3">
      <c r="A6" s="270" t="s">
        <v>13</v>
      </c>
      <c r="B6" s="267" t="s">
        <v>12</v>
      </c>
      <c r="C6" s="124" t="s">
        <v>14</v>
      </c>
      <c r="D6" s="125">
        <v>250</v>
      </c>
      <c r="E6" s="197">
        <f t="shared" ref="E6:E17" si="4">$I$1</f>
        <v>12.536891679748836</v>
      </c>
      <c r="F6" s="127">
        <v>1</v>
      </c>
      <c r="G6" s="119">
        <f t="shared" si="0"/>
        <v>3134.2229199372091</v>
      </c>
      <c r="H6" s="120">
        <f t="shared" si="1"/>
        <v>3134.2229199372091</v>
      </c>
      <c r="I6" s="81">
        <f>VLOOKUP(B6,All_Ingredients!$A$1:$F$151,6,FALSE())</f>
        <v>0.9</v>
      </c>
      <c r="J6" s="119">
        <f>VLOOKUP(B6,All_Ingredients!$A$1:$J$151,10,FALSE())</f>
        <v>3</v>
      </c>
      <c r="K6" s="122">
        <f t="shared" ref="K6:K17" si="5">(H6/I6)/1000</f>
        <v>3.4824699110413433</v>
      </c>
      <c r="L6" s="122">
        <f t="shared" ref="L6:L17" si="6">K6*J6</f>
        <v>10.447409733124029</v>
      </c>
    </row>
    <row r="7" spans="1:33" ht="14.25" customHeight="1" x14ac:dyDescent="0.3">
      <c r="A7" s="270" t="s">
        <v>13</v>
      </c>
      <c r="B7" s="267" t="s">
        <v>792</v>
      </c>
      <c r="C7" s="124" t="s">
        <v>14</v>
      </c>
      <c r="D7" s="125">
        <v>20</v>
      </c>
      <c r="E7" s="197">
        <f t="shared" si="4"/>
        <v>12.536891679748836</v>
      </c>
      <c r="F7" s="127">
        <v>1</v>
      </c>
      <c r="G7" s="119">
        <f t="shared" si="0"/>
        <v>250.73783359497671</v>
      </c>
      <c r="H7" s="120">
        <f t="shared" si="1"/>
        <v>250.73783359497671</v>
      </c>
      <c r="I7" s="81">
        <f>VLOOKUP(B7,All_Ingredients!$A$1:$F$151,6,FALSE())</f>
        <v>1</v>
      </c>
      <c r="J7" s="119">
        <f>VLOOKUP(B7,All_Ingredients!$A$1:$J$151,10,FALSE())</f>
        <v>10.5</v>
      </c>
      <c r="K7" s="122">
        <f t="shared" si="5"/>
        <v>0.2507378335949767</v>
      </c>
      <c r="L7" s="122">
        <f t="shared" si="6"/>
        <v>2.6327472527472553</v>
      </c>
    </row>
    <row r="8" spans="1:33" ht="14.25" customHeight="1" x14ac:dyDescent="0.3">
      <c r="A8" s="270" t="s">
        <v>97</v>
      </c>
      <c r="B8" s="267" t="s">
        <v>114</v>
      </c>
      <c r="C8" s="124" t="s">
        <v>14</v>
      </c>
      <c r="D8" s="125">
        <v>5</v>
      </c>
      <c r="E8" s="197">
        <f t="shared" si="4"/>
        <v>12.536891679748836</v>
      </c>
      <c r="F8" s="127">
        <v>0.75</v>
      </c>
      <c r="G8" s="119">
        <f t="shared" si="0"/>
        <v>62.684458398744177</v>
      </c>
      <c r="H8" s="120">
        <f t="shared" si="1"/>
        <v>47.013343799058134</v>
      </c>
      <c r="I8" s="81">
        <f>VLOOKUP(B8,All_Ingredients!$A$1:$F$151,6,FALSE())</f>
        <v>1</v>
      </c>
      <c r="J8" s="119">
        <f>VLOOKUP(B8,All_Ingredients!$A$1:$J$151,10,FALSE())</f>
        <v>64.243759177679877</v>
      </c>
      <c r="K8" s="122">
        <f t="shared" si="5"/>
        <v>4.7013343799058131E-2</v>
      </c>
      <c r="L8" s="122">
        <f t="shared" si="6"/>
        <v>3.0203139371641603</v>
      </c>
    </row>
    <row r="9" spans="1:33" ht="14.25" customHeight="1" x14ac:dyDescent="0.3">
      <c r="A9" s="270" t="s">
        <v>158</v>
      </c>
      <c r="B9" s="267" t="s">
        <v>171</v>
      </c>
      <c r="C9" s="124" t="s">
        <v>165</v>
      </c>
      <c r="D9" s="125">
        <v>600</v>
      </c>
      <c r="E9" s="197">
        <f t="shared" si="4"/>
        <v>12.536891679748836</v>
      </c>
      <c r="F9" s="127">
        <v>1</v>
      </c>
      <c r="G9" s="119">
        <f t="shared" si="0"/>
        <v>7522.1350078493015</v>
      </c>
      <c r="H9" s="120">
        <f t="shared" si="1"/>
        <v>7522.1350078493015</v>
      </c>
      <c r="I9" s="81">
        <f>VLOOKUP(B9,All_Ingredients!$A$1:$F$151,6,FALSE())</f>
        <v>1</v>
      </c>
      <c r="J9" s="119">
        <f>VLOOKUP(B9,All_Ingredients!$A$1:$J$151,10,FALSE())</f>
        <v>12.666666666666666</v>
      </c>
      <c r="K9" s="122">
        <f t="shared" si="5"/>
        <v>7.5221350078493012</v>
      </c>
      <c r="L9" s="122">
        <f t="shared" si="6"/>
        <v>95.280376766091138</v>
      </c>
    </row>
    <row r="10" spans="1:33" ht="14.25" customHeight="1" x14ac:dyDescent="0.3">
      <c r="A10" s="270" t="s">
        <v>97</v>
      </c>
      <c r="B10" s="267" t="s">
        <v>96</v>
      </c>
      <c r="C10" s="124" t="s">
        <v>14</v>
      </c>
      <c r="D10" s="125">
        <v>11</v>
      </c>
      <c r="E10" s="197">
        <f t="shared" si="4"/>
        <v>12.536891679748836</v>
      </c>
      <c r="F10" s="127">
        <v>1</v>
      </c>
      <c r="G10" s="119">
        <f t="shared" si="0"/>
        <v>137.9058084772372</v>
      </c>
      <c r="H10" s="120">
        <f t="shared" si="1"/>
        <v>137.9058084772372</v>
      </c>
      <c r="I10" s="81">
        <f>VLOOKUP(B10,All_Ingredients!$A$1:$F$151,6,FALSE())</f>
        <v>1</v>
      </c>
      <c r="J10" s="119">
        <f>VLOOKUP(B10,All_Ingredients!$A$1:$J$151,10,FALSE())</f>
        <v>0.74</v>
      </c>
      <c r="K10" s="122">
        <f t="shared" si="5"/>
        <v>0.13790580847723721</v>
      </c>
      <c r="L10" s="122">
        <f t="shared" si="6"/>
        <v>0.10205029827315554</v>
      </c>
    </row>
    <row r="11" spans="1:33" ht="14.25" customHeight="1" x14ac:dyDescent="0.3">
      <c r="A11" s="270" t="s">
        <v>97</v>
      </c>
      <c r="B11" s="267" t="s">
        <v>102</v>
      </c>
      <c r="C11" s="124" t="s">
        <v>14</v>
      </c>
      <c r="D11" s="125">
        <v>5</v>
      </c>
      <c r="E11" s="197">
        <f t="shared" si="4"/>
        <v>12.536891679748836</v>
      </c>
      <c r="F11" s="127">
        <v>1</v>
      </c>
      <c r="G11" s="119">
        <f t="shared" si="0"/>
        <v>62.684458398744177</v>
      </c>
      <c r="H11" s="120">
        <f t="shared" si="1"/>
        <v>62.684458398744177</v>
      </c>
      <c r="I11" s="81">
        <f>VLOOKUP(B11,All_Ingredients!$A$1:$F$151,6,FALSE())</f>
        <v>1</v>
      </c>
      <c r="J11" s="119">
        <f>VLOOKUP(B11,All_Ingredients!$A$1:$J$151,10,FALSE())</f>
        <v>31</v>
      </c>
      <c r="K11" s="122">
        <f t="shared" si="5"/>
        <v>6.2684458398744175E-2</v>
      </c>
      <c r="L11" s="122">
        <f t="shared" si="6"/>
        <v>1.9432182103610693</v>
      </c>
    </row>
    <row r="12" spans="1:33" ht="14.25" customHeight="1" x14ac:dyDescent="0.3">
      <c r="A12" s="270" t="s">
        <v>192</v>
      </c>
      <c r="B12" s="267" t="s">
        <v>193</v>
      </c>
      <c r="C12" s="124" t="s">
        <v>14</v>
      </c>
      <c r="D12" s="125">
        <v>100</v>
      </c>
      <c r="E12" s="197">
        <f t="shared" si="4"/>
        <v>12.536891679748836</v>
      </c>
      <c r="F12" s="127">
        <v>0.75</v>
      </c>
      <c r="G12" s="119">
        <f t="shared" si="0"/>
        <v>1253.6891679748835</v>
      </c>
      <c r="H12" s="120">
        <f t="shared" si="1"/>
        <v>940.26687598116268</v>
      </c>
      <c r="I12" s="81">
        <f>VLOOKUP(B12,All_Ingredients!$A$1:$F$151,6,FALSE())</f>
        <v>0.9</v>
      </c>
      <c r="J12" s="119">
        <f>VLOOKUP(B12,All_Ingredients!$A$1:$J$151,10,FALSE())</f>
        <v>2.3199999999999998</v>
      </c>
      <c r="K12" s="122">
        <f t="shared" si="5"/>
        <v>1.0447409733124029</v>
      </c>
      <c r="L12" s="122">
        <f t="shared" si="6"/>
        <v>2.4237990580847746</v>
      </c>
    </row>
    <row r="13" spans="1:33" ht="14.25" customHeight="1" x14ac:dyDescent="0.3">
      <c r="A13" s="270" t="s">
        <v>158</v>
      </c>
      <c r="B13" s="267" t="s">
        <v>157</v>
      </c>
      <c r="C13" s="124" t="s">
        <v>14</v>
      </c>
      <c r="D13" s="125">
        <v>50</v>
      </c>
      <c r="E13" s="197">
        <f t="shared" si="4"/>
        <v>12.536891679748836</v>
      </c>
      <c r="F13" s="127">
        <v>0.75</v>
      </c>
      <c r="G13" s="119">
        <f t="shared" si="0"/>
        <v>626.84458398744175</v>
      </c>
      <c r="H13" s="120">
        <f t="shared" si="1"/>
        <v>470.13343799058134</v>
      </c>
      <c r="I13" s="81">
        <f>VLOOKUP(B13,All_Ingredients!$A$1:$F$151,6,FALSE())</f>
        <v>1</v>
      </c>
      <c r="J13" s="119">
        <f>VLOOKUP(B13,All_Ingredients!$A$1:$J$151,10,FALSE())</f>
        <v>30</v>
      </c>
      <c r="K13" s="122">
        <f t="shared" si="5"/>
        <v>0.47013343799058133</v>
      </c>
      <c r="L13" s="122">
        <f t="shared" si="6"/>
        <v>14.10400313971744</v>
      </c>
    </row>
    <row r="14" spans="1:33" ht="14.25" customHeight="1" x14ac:dyDescent="0.3">
      <c r="A14" s="270" t="s">
        <v>220</v>
      </c>
      <c r="B14" s="267" t="s">
        <v>221</v>
      </c>
      <c r="C14" s="124" t="s">
        <v>14</v>
      </c>
      <c r="D14" s="125">
        <v>2</v>
      </c>
      <c r="E14" s="197">
        <f t="shared" si="4"/>
        <v>12.536891679748836</v>
      </c>
      <c r="F14" s="127">
        <v>0.75</v>
      </c>
      <c r="G14" s="119">
        <f t="shared" si="0"/>
        <v>25.073783359497671</v>
      </c>
      <c r="H14" s="120">
        <f t="shared" si="1"/>
        <v>18.805337519623254</v>
      </c>
      <c r="I14" s="81">
        <f>VLOOKUP(B14,All_Ingredients!$A$1:$F$151,6,FALSE())</f>
        <v>1</v>
      </c>
      <c r="J14" s="119">
        <f>VLOOKUP(B14,All_Ingredients!$A$1:$J$151,10,FALSE())</f>
        <v>35</v>
      </c>
      <c r="K14" s="122">
        <f t="shared" si="5"/>
        <v>1.8805337519623256E-2</v>
      </c>
      <c r="L14" s="122">
        <f t="shared" si="6"/>
        <v>0.65818681318681393</v>
      </c>
    </row>
    <row r="15" spans="1:33" ht="14.25" customHeight="1" x14ac:dyDescent="0.3">
      <c r="A15" s="270" t="s">
        <v>97</v>
      </c>
      <c r="B15" s="383" t="s">
        <v>144</v>
      </c>
      <c r="C15" s="124" t="s">
        <v>14</v>
      </c>
      <c r="D15" s="125">
        <v>10</v>
      </c>
      <c r="E15" s="197">
        <f t="shared" si="4"/>
        <v>12.536891679748836</v>
      </c>
      <c r="F15" s="127">
        <v>0.9</v>
      </c>
      <c r="G15" s="119">
        <f t="shared" si="0"/>
        <v>125.36891679748835</v>
      </c>
      <c r="H15" s="120">
        <f t="shared" si="1"/>
        <v>112.83202511773952</v>
      </c>
      <c r="I15" s="81">
        <f>VLOOKUP(B15,All_Ingredients!$A$1:$F$151,6,FALSE())</f>
        <v>1</v>
      </c>
      <c r="J15" s="119">
        <f>VLOOKUP(B15,All_Ingredients!$A$1:$J$151,10,FALSE())</f>
        <v>15.277777777777779</v>
      </c>
      <c r="K15" s="122">
        <f t="shared" si="5"/>
        <v>0.11283202511773952</v>
      </c>
      <c r="L15" s="122">
        <f t="shared" si="6"/>
        <v>1.7238226059654649</v>
      </c>
    </row>
    <row r="16" spans="1:33" ht="14.25" customHeight="1" x14ac:dyDescent="0.3">
      <c r="A16" s="270" t="s">
        <v>186</v>
      </c>
      <c r="B16" s="267" t="s">
        <v>189</v>
      </c>
      <c r="C16" s="124" t="s">
        <v>14</v>
      </c>
      <c r="D16" s="125">
        <v>35</v>
      </c>
      <c r="E16" s="197">
        <f t="shared" si="4"/>
        <v>12.536891679748836</v>
      </c>
      <c r="F16" s="127">
        <v>1</v>
      </c>
      <c r="G16" s="119">
        <f t="shared" si="0"/>
        <v>438.79120879120927</v>
      </c>
      <c r="H16" s="120">
        <f t="shared" si="1"/>
        <v>438.79120879120927</v>
      </c>
      <c r="I16" s="81">
        <f>VLOOKUP(B16,All_Ingredients!$A$1:$F$151,6,FALSE())</f>
        <v>1</v>
      </c>
      <c r="J16" s="119">
        <f>VLOOKUP(B16,All_Ingredients!$A$1:$J$151,10,FALSE())</f>
        <v>17</v>
      </c>
      <c r="K16" s="122">
        <f t="shared" si="5"/>
        <v>0.43879120879120925</v>
      </c>
      <c r="L16" s="122">
        <f t="shared" si="6"/>
        <v>7.4594505494505574</v>
      </c>
    </row>
    <row r="17" spans="1:30" ht="14.25" customHeight="1" x14ac:dyDescent="0.3">
      <c r="A17" s="270" t="s">
        <v>220</v>
      </c>
      <c r="B17" s="220" t="s">
        <v>815</v>
      </c>
      <c r="C17" s="124" t="s">
        <v>14</v>
      </c>
      <c r="D17" s="125">
        <v>1</v>
      </c>
      <c r="E17" s="197">
        <f t="shared" si="4"/>
        <v>12.536891679748836</v>
      </c>
      <c r="F17" s="127">
        <v>1</v>
      </c>
      <c r="G17" s="119">
        <f t="shared" si="0"/>
        <v>12.536891679748836</v>
      </c>
      <c r="H17" s="120">
        <f t="shared" si="1"/>
        <v>12.536891679748836</v>
      </c>
      <c r="I17" s="81">
        <f>VLOOKUP(B17,All_Ingredients!$A$1:$F$151,6,FALSE())</f>
        <v>1</v>
      </c>
      <c r="J17" s="119">
        <f>VLOOKUP(B17,All_Ingredients!$A$1:$J$151,10,FALSE())</f>
        <v>22.5</v>
      </c>
      <c r="K17" s="122">
        <f t="shared" si="5"/>
        <v>1.2536891679748835E-2</v>
      </c>
      <c r="L17" s="122">
        <f t="shared" si="6"/>
        <v>0.28208006279434877</v>
      </c>
    </row>
    <row r="18" spans="1:30" ht="14.25" customHeight="1" x14ac:dyDescent="0.3">
      <c r="B18" s="132"/>
      <c r="E18" s="133"/>
      <c r="F18" s="100"/>
      <c r="L18" s="209"/>
    </row>
    <row r="19" spans="1:30" ht="14.25" customHeight="1" x14ac:dyDescent="0.3">
      <c r="L19" s="209"/>
    </row>
    <row r="20" spans="1:30" ht="14.25" customHeight="1" x14ac:dyDescent="0.3">
      <c r="L20" s="209"/>
    </row>
    <row r="21" spans="1:30" ht="14.25" customHeight="1" x14ac:dyDescent="0.3">
      <c r="L21" s="209"/>
    </row>
    <row r="22" spans="1:30" ht="14.25" customHeight="1" x14ac:dyDescent="0.3">
      <c r="L22" s="209"/>
    </row>
    <row r="23" spans="1:30" ht="14.25" customHeight="1" x14ac:dyDescent="0.3">
      <c r="L23" s="209"/>
    </row>
    <row r="24" spans="1:30" ht="14.25" customHeight="1" x14ac:dyDescent="0.3">
      <c r="L24" s="209"/>
      <c r="Z24" s="1294"/>
    </row>
    <row r="25" spans="1:30" ht="14.25" customHeight="1" x14ac:dyDescent="0.3">
      <c r="B25" s="100"/>
      <c r="E25" s="100"/>
      <c r="F25" s="100"/>
      <c r="L25" s="209"/>
      <c r="R25" s="1468" t="s">
        <v>440</v>
      </c>
      <c r="S25" s="1476"/>
      <c r="T25" s="1476"/>
      <c r="U25" s="1476"/>
      <c r="V25" s="1218"/>
      <c r="Z25" s="141" t="s">
        <v>264</v>
      </c>
      <c r="AA25" s="142">
        <v>60550</v>
      </c>
      <c r="AB25" s="141" t="s">
        <v>261</v>
      </c>
      <c r="AC25" s="143">
        <f>AD30*AA25</f>
        <v>5999.3798709767443</v>
      </c>
      <c r="AD25" s="14"/>
    </row>
    <row r="26" spans="1:30" ht="14.25" customHeight="1" x14ac:dyDescent="0.3">
      <c r="B26" s="100"/>
      <c r="E26" s="100"/>
      <c r="F26" s="100"/>
      <c r="L26" s="209"/>
      <c r="R26" s="1468" t="s">
        <v>441</v>
      </c>
      <c r="S26" s="1476"/>
      <c r="T26" s="1476"/>
      <c r="U26" s="1476"/>
      <c r="V26" s="1218"/>
      <c r="Z26" s="14"/>
      <c r="AA26" s="14"/>
      <c r="AB26" s="14"/>
      <c r="AC26" s="14"/>
      <c r="AD26" s="14"/>
    </row>
    <row r="27" spans="1:30" ht="14.25" customHeight="1" thickBot="1" x14ac:dyDescent="0.35">
      <c r="R27" s="145" t="s">
        <v>266</v>
      </c>
      <c r="S27" s="146" t="s">
        <v>376</v>
      </c>
      <c r="T27" s="146" t="s">
        <v>268</v>
      </c>
      <c r="U27" s="146" t="s">
        <v>577</v>
      </c>
      <c r="V27" s="146" t="s">
        <v>848</v>
      </c>
      <c r="Z27" s="141" t="s">
        <v>270</v>
      </c>
      <c r="AA27" s="147" t="s">
        <v>271</v>
      </c>
      <c r="AB27" s="147" t="s">
        <v>272</v>
      </c>
      <c r="AC27" s="1186" t="s">
        <v>848</v>
      </c>
      <c r="AD27" s="147" t="s">
        <v>274</v>
      </c>
    </row>
    <row r="28" spans="1:30" ht="34.25" customHeight="1" thickBot="1" x14ac:dyDescent="0.35">
      <c r="R28" s="148" t="s">
        <v>275</v>
      </c>
      <c r="S28" s="149">
        <f>U28*S40</f>
        <v>40184.615384615376</v>
      </c>
      <c r="T28" s="149">
        <f>U28*U40</f>
        <v>12055.384615384628</v>
      </c>
      <c r="U28" s="1233">
        <f>$Z$1</f>
        <v>52240</v>
      </c>
      <c r="V28" s="149">
        <f>SUM(H37:H38)</f>
        <v>936</v>
      </c>
      <c r="Z28" s="151"/>
      <c r="AA28" s="152">
        <f>AA25*$S$40</f>
        <v>46576.923076923063</v>
      </c>
      <c r="AB28" s="152">
        <f>AA25*$U$40</f>
        <v>13973.076923076937</v>
      </c>
      <c r="AC28" s="1188"/>
      <c r="AD28" s="154">
        <f>SUM(AA28:AC28)</f>
        <v>60550</v>
      </c>
    </row>
    <row r="29" spans="1:30" ht="14.25" customHeight="1" thickBot="1" x14ac:dyDescent="0.35">
      <c r="R29" s="148" t="s">
        <v>276</v>
      </c>
      <c r="S29" s="155"/>
      <c r="T29" s="149"/>
      <c r="U29" s="149">
        <f>T29</f>
        <v>0</v>
      </c>
      <c r="V29" s="149"/>
      <c r="Z29" s="151"/>
      <c r="AA29" s="156">
        <f>AA28/$AD$28</f>
        <v>0.76923076923076905</v>
      </c>
      <c r="AB29" s="156">
        <f>AB28/$AD$28</f>
        <v>0.230769230769231</v>
      </c>
      <c r="AC29" s="1192"/>
      <c r="AD29" s="156">
        <f>AD28/$AD$28</f>
        <v>1</v>
      </c>
    </row>
    <row r="30" spans="1:30" ht="26" customHeight="1" thickBot="1" x14ac:dyDescent="0.35">
      <c r="R30" s="148" t="s">
        <v>277</v>
      </c>
      <c r="S30" s="1143">
        <f>U30*S40</f>
        <v>769.23076923076906</v>
      </c>
      <c r="T30" s="1143">
        <f>U30*U40</f>
        <v>230.769230769231</v>
      </c>
      <c r="U30" s="1236">
        <f>$AB$1</f>
        <v>1000</v>
      </c>
      <c r="V30" s="1143"/>
      <c r="Z30" s="141" t="s">
        <v>278</v>
      </c>
      <c r="AA30" s="157">
        <f>S35/(S32)</f>
        <v>0.1253616200578592</v>
      </c>
      <c r="AB30" s="158">
        <f>T35/T32</f>
        <v>1.1401245677125475E-2</v>
      </c>
      <c r="AC30" s="1199">
        <f>V35/U32</f>
        <v>1.8346059091782713E-5</v>
      </c>
      <c r="AD30" s="1201">
        <f>SUMPRODUCT(AA30:AB30,AA29:AB29)+AC30</f>
        <v>9.9081418182935491E-2</v>
      </c>
    </row>
    <row r="31" spans="1:30" ht="18" customHeight="1" thickBot="1" x14ac:dyDescent="0.35">
      <c r="B31" s="100"/>
      <c r="E31" s="100"/>
      <c r="F31" s="100"/>
      <c r="R31" s="148" t="s">
        <v>279</v>
      </c>
      <c r="S31" s="155"/>
      <c r="T31" s="149"/>
      <c r="U31" s="149"/>
      <c r="V31" s="149"/>
    </row>
    <row r="32" spans="1:30" ht="14.25" customHeight="1" thickBot="1" x14ac:dyDescent="0.35">
      <c r="B32" s="100"/>
      <c r="E32" s="100"/>
      <c r="F32" s="100"/>
      <c r="R32" s="160" t="s">
        <v>269</v>
      </c>
      <c r="S32" s="149">
        <f>SUM(S28:S30)</f>
        <v>40953.846153846142</v>
      </c>
      <c r="T32" s="149">
        <f>SUM(T28:T30)</f>
        <v>12286.153846153858</v>
      </c>
      <c r="U32" s="149">
        <f>SUM(U28:U30)</f>
        <v>53240</v>
      </c>
      <c r="V32" s="149">
        <f>SUM(V28:V30)</f>
        <v>936</v>
      </c>
    </row>
    <row r="33" spans="2:23" ht="14.25" customHeight="1" thickBot="1" x14ac:dyDescent="0.35">
      <c r="B33" s="100"/>
      <c r="E33" s="100"/>
      <c r="F33" s="100"/>
      <c r="R33" s="161" t="s">
        <v>280</v>
      </c>
      <c r="S33" s="155"/>
      <c r="T33" s="155"/>
      <c r="U33" s="155"/>
      <c r="V33" s="155"/>
    </row>
    <row r="34" spans="2:23" ht="14.25" customHeight="1" thickBot="1" x14ac:dyDescent="0.35">
      <c r="R34" s="162" t="s">
        <v>281</v>
      </c>
      <c r="S34" s="155"/>
      <c r="T34" s="149"/>
      <c r="U34" s="155"/>
      <c r="V34" s="155"/>
    </row>
    <row r="35" spans="2:23" ht="14.25" customHeight="1" thickBot="1" x14ac:dyDescent="0.35">
      <c r="B35" s="1394" t="s">
        <v>719</v>
      </c>
      <c r="C35" s="1394"/>
      <c r="D35" s="1394"/>
      <c r="E35" s="1394"/>
      <c r="F35" s="1394"/>
      <c r="G35" s="882"/>
      <c r="H35" s="882"/>
      <c r="I35" s="889"/>
      <c r="J35" s="889"/>
      <c r="K35" s="889"/>
      <c r="L35" s="889"/>
      <c r="R35" s="163" t="s">
        <v>261</v>
      </c>
      <c r="S35" s="1144">
        <f>$L$5</f>
        <v>5134.0405014464777</v>
      </c>
      <c r="T35" s="1144">
        <f>SUM(L6:L17)</f>
        <v>140.07745842696019</v>
      </c>
      <c r="U35" s="1144">
        <f>S35+T35+V35</f>
        <v>5275.0947040594847</v>
      </c>
      <c r="V35" s="1203">
        <f>SUM(L37:L38)</f>
        <v>0.97674418604651159</v>
      </c>
    </row>
    <row r="36" spans="2:23" ht="46.5" x14ac:dyDescent="0.3">
      <c r="B36" s="860" t="s">
        <v>253</v>
      </c>
      <c r="C36" s="860" t="s">
        <v>329</v>
      </c>
      <c r="D36" s="862" t="s">
        <v>671</v>
      </c>
      <c r="E36" s="859" t="s">
        <v>672</v>
      </c>
      <c r="F36" s="862" t="s">
        <v>673</v>
      </c>
      <c r="G36" s="882"/>
      <c r="H36" s="862" t="s">
        <v>673</v>
      </c>
      <c r="I36" s="862" t="s">
        <v>258</v>
      </c>
      <c r="J36" s="862" t="s">
        <v>259</v>
      </c>
      <c r="K36" s="862" t="s">
        <v>260</v>
      </c>
      <c r="L36" s="862" t="s">
        <v>261</v>
      </c>
    </row>
    <row r="37" spans="2:23" x14ac:dyDescent="0.3">
      <c r="B37" s="855" t="s">
        <v>70</v>
      </c>
      <c r="C37" s="856" t="s">
        <v>14</v>
      </c>
      <c r="D37" s="857">
        <v>0.35</v>
      </c>
      <c r="E37" s="855">
        <f>$AD$1</f>
        <v>360</v>
      </c>
      <c r="F37" s="855">
        <f>D37*E37</f>
        <v>125.99999999999999</v>
      </c>
      <c r="G37" s="881"/>
      <c r="H37" s="855">
        <f>F37</f>
        <v>125.99999999999999</v>
      </c>
      <c r="I37" s="855">
        <f>VLOOKUP(B37,All_Ingredients!$A$1:$F$151,6,FALSE())</f>
        <v>0.43</v>
      </c>
      <c r="J37" s="855">
        <f>VLOOKUP(B37,All_Ingredients!$A$1:$J$151,10,FALSE())</f>
        <v>3.333333333333333</v>
      </c>
      <c r="K37" s="855">
        <f>(H37/I37)/1000</f>
        <v>0.2930232558139535</v>
      </c>
      <c r="L37" s="855">
        <f>K37*J37</f>
        <v>0.97674418604651159</v>
      </c>
    </row>
    <row r="38" spans="2:23" ht="27.5" customHeight="1" x14ac:dyDescent="0.3">
      <c r="B38" s="855" t="s">
        <v>862</v>
      </c>
      <c r="C38" s="856" t="s">
        <v>14</v>
      </c>
      <c r="D38" s="857">
        <v>2.25</v>
      </c>
      <c r="E38" s="855">
        <f>$AD$1</f>
        <v>360</v>
      </c>
      <c r="F38" s="855">
        <f>D38*E38</f>
        <v>810</v>
      </c>
      <c r="G38" s="881"/>
      <c r="H38" s="855">
        <f>F38</f>
        <v>810</v>
      </c>
      <c r="I38" s="855">
        <f>VLOOKUP(B38,All_Ingredients!$A$1:$F$151,6,FALSE())</f>
        <v>1</v>
      </c>
      <c r="J38" s="855">
        <f>VLOOKUP(B38,All_Ingredients!$A$1:$J$151,10,FALSE())</f>
        <v>0</v>
      </c>
      <c r="K38" s="855">
        <f>(H38/I38)/1000</f>
        <v>0.81</v>
      </c>
      <c r="L38" s="855">
        <f>K38*J38</f>
        <v>0</v>
      </c>
    </row>
    <row r="40" spans="2:23" ht="16.5" customHeight="1" x14ac:dyDescent="0.3">
      <c r="Q40" s="14"/>
      <c r="R40" s="165" t="s">
        <v>282</v>
      </c>
      <c r="S40" s="166">
        <v>0.76923076923076905</v>
      </c>
      <c r="T40" s="165" t="s">
        <v>283</v>
      </c>
      <c r="U40" s="167">
        <v>0.230769230769231</v>
      </c>
      <c r="V40" s="168">
        <f>S40+U40</f>
        <v>1</v>
      </c>
      <c r="W40" s="14"/>
    </row>
    <row r="41" spans="2:23" ht="14.25" customHeight="1" x14ac:dyDescent="0.3">
      <c r="Q41" s="14"/>
      <c r="R41" s="14"/>
      <c r="S41" s="14"/>
      <c r="T41" s="14"/>
      <c r="U41" s="169"/>
      <c r="V41" s="14"/>
      <c r="W41" s="14"/>
    </row>
    <row r="42" spans="2:23" ht="14.25" customHeight="1" x14ac:dyDescent="0.3">
      <c r="Q42" s="14"/>
      <c r="R42" s="14"/>
      <c r="S42" s="14"/>
      <c r="T42" s="14"/>
      <c r="U42" s="14"/>
      <c r="V42" s="14"/>
      <c r="W42" s="14"/>
    </row>
    <row r="43" spans="2:23" ht="14.25" customHeight="1" x14ac:dyDescent="0.3">
      <c r="Q43" s="170" t="s">
        <v>284</v>
      </c>
      <c r="R43" s="170" t="s">
        <v>285</v>
      </c>
      <c r="S43" s="170" t="s">
        <v>286</v>
      </c>
      <c r="T43" s="170" t="s">
        <v>287</v>
      </c>
      <c r="U43" s="170" t="s">
        <v>288</v>
      </c>
      <c r="V43" s="170" t="s">
        <v>289</v>
      </c>
      <c r="W43" s="258" t="s">
        <v>290</v>
      </c>
    </row>
    <row r="44" spans="2:23" ht="14.25" customHeight="1" x14ac:dyDescent="0.3">
      <c r="Q44" s="172">
        <v>43334</v>
      </c>
      <c r="R44" s="173">
        <f>D51</f>
        <v>10000</v>
      </c>
      <c r="S44" s="174">
        <v>1</v>
      </c>
      <c r="T44" s="174">
        <v>0</v>
      </c>
      <c r="U44" s="242">
        <f>R44*S44</f>
        <v>10000</v>
      </c>
      <c r="V44" s="176">
        <f>R44*T44</f>
        <v>0</v>
      </c>
      <c r="W44" s="260">
        <f>Q44-U44</f>
        <v>33334</v>
      </c>
    </row>
    <row r="50" spans="1:11" ht="20.25" customHeight="1" x14ac:dyDescent="0.3">
      <c r="B50" s="276"/>
      <c r="C50" s="145" t="s">
        <v>245</v>
      </c>
      <c r="D50" s="145" t="s">
        <v>291</v>
      </c>
      <c r="F50" s="100"/>
      <c r="G50" s="145" t="s">
        <v>292</v>
      </c>
      <c r="H50" s="145" t="s">
        <v>245</v>
      </c>
      <c r="I50" s="145" t="s">
        <v>293</v>
      </c>
      <c r="J50" s="145" t="s">
        <v>294</v>
      </c>
      <c r="K50" s="92"/>
    </row>
    <row r="51" spans="1:11" x14ac:dyDescent="0.3">
      <c r="B51" s="180" t="s">
        <v>295</v>
      </c>
      <c r="C51" s="181">
        <f>10/$K$1</f>
        <v>10.204081632653061</v>
      </c>
      <c r="D51" s="182">
        <f>$C$1*10</f>
        <v>10000</v>
      </c>
      <c r="E51" s="183"/>
      <c r="F51" s="100"/>
      <c r="G51" s="180" t="s">
        <v>295</v>
      </c>
      <c r="H51" s="277">
        <f>I51/$D$5</f>
        <v>10</v>
      </c>
      <c r="I51" s="181">
        <f>J51/$R$1</f>
        <v>65360.784313725489</v>
      </c>
      <c r="J51" s="181">
        <f>$W$44</f>
        <v>33334</v>
      </c>
    </row>
    <row r="52" spans="1:11" x14ac:dyDescent="0.3">
      <c r="B52" s="231" t="s">
        <v>274</v>
      </c>
      <c r="C52" s="232">
        <f>$I$1</f>
        <v>12.536891679748836</v>
      </c>
      <c r="D52" s="233">
        <f>$E$1</f>
        <v>12286.153846153858</v>
      </c>
      <c r="E52" s="100"/>
      <c r="F52" s="100"/>
      <c r="G52" s="148" t="s">
        <v>274</v>
      </c>
      <c r="H52" s="210">
        <f>I52/$D$5</f>
        <v>12.285908127991283</v>
      </c>
      <c r="I52" s="176">
        <f>J52/$R$1</f>
        <v>80301.659125188511</v>
      </c>
      <c r="J52" s="184">
        <f>$S$32</f>
        <v>40953.846153846142</v>
      </c>
    </row>
    <row r="53" spans="1:11" x14ac:dyDescent="0.3">
      <c r="B53" s="231" t="s">
        <v>296</v>
      </c>
      <c r="C53" s="234">
        <f>MIN(C52, C51)</f>
        <v>10.204081632653061</v>
      </c>
      <c r="D53" s="975">
        <f>(C53*$K$1)*$C$1</f>
        <v>10000</v>
      </c>
      <c r="E53" s="100"/>
      <c r="F53" s="100"/>
      <c r="G53" s="148" t="s">
        <v>296</v>
      </c>
      <c r="H53" s="187">
        <f>MIN(H52,H51)</f>
        <v>10</v>
      </c>
      <c r="I53" s="176">
        <f>J53/$R$1</f>
        <v>65360.784313725489</v>
      </c>
      <c r="J53" s="176">
        <f>MIN(J52,J51)</f>
        <v>33334</v>
      </c>
    </row>
    <row r="54" spans="1:11" x14ac:dyDescent="0.3">
      <c r="B54" s="231" t="s">
        <v>297</v>
      </c>
      <c r="C54" s="234">
        <f>MIN(MAX(C52-C53,0),C51)</f>
        <v>2.3328100470957747</v>
      </c>
      <c r="D54" s="975">
        <f>(C54*$K$1)*$C$1</f>
        <v>2286.1538461538589</v>
      </c>
      <c r="E54" s="100"/>
      <c r="F54" s="100"/>
      <c r="G54" s="148" t="s">
        <v>297</v>
      </c>
      <c r="H54" s="187">
        <f>MIN(MAX(H52-H53),H51)</f>
        <v>2.2859081279912825</v>
      </c>
      <c r="I54" s="176">
        <f>J54/$R$1</f>
        <v>14940.874811463022</v>
      </c>
      <c r="J54" s="176">
        <f>MIN(MAX(J52-J53),J51)</f>
        <v>7619.8461538461415</v>
      </c>
    </row>
    <row r="55" spans="1:11" x14ac:dyDescent="0.3">
      <c r="B55" s="231" t="s">
        <v>298</v>
      </c>
      <c r="C55" s="234">
        <f>MIN(MAX(C52-C53-C54,0),C51)</f>
        <v>0</v>
      </c>
      <c r="D55" s="233">
        <f>(C55*$K$1)*$C$1</f>
        <v>0</v>
      </c>
      <c r="E55" s="100"/>
      <c r="F55" s="100"/>
      <c r="G55" s="145" t="s">
        <v>298</v>
      </c>
      <c r="H55" s="187">
        <f>MIN(MAX(H52-H53-H54),H51)</f>
        <v>0</v>
      </c>
      <c r="I55" s="176">
        <f>J55/$R$1</f>
        <v>0</v>
      </c>
      <c r="J55" s="176">
        <f>MIN(MAX(J52-J53-J54),J51)</f>
        <v>0</v>
      </c>
    </row>
    <row r="62" spans="1:11" ht="17.75" customHeight="1" x14ac:dyDescent="0.3">
      <c r="A62" s="938"/>
      <c r="B62" s="1382" t="str">
        <f>"شرمب بالسبانخ و الليمون 1 / " &amp; COUNTIF($C$53:$C$55, "&gt;0")</f>
        <v>شرمب بالسبانخ و الليمون 1 / 2</v>
      </c>
      <c r="C62" s="1383"/>
      <c r="D62" s="1383"/>
      <c r="E62" s="1383"/>
      <c r="F62" s="1383"/>
      <c r="G62" s="1383"/>
      <c r="H62" s="1383"/>
    </row>
    <row r="63" spans="1:11" ht="17.75" customHeight="1" x14ac:dyDescent="0.3">
      <c r="A63" s="938"/>
      <c r="B63" s="1384" t="str">
        <f>"Lemon Shrimp 1 / " &amp; COUNTIF($C$53:$C$55, "&gt;0")</f>
        <v>Lemon Shrimp 1 / 2</v>
      </c>
      <c r="C63" s="1385"/>
      <c r="D63" s="1385"/>
      <c r="E63" s="1385"/>
      <c r="F63" s="1385"/>
      <c r="G63" s="1385"/>
      <c r="H63" s="1385"/>
    </row>
    <row r="64" spans="1:11" ht="39" customHeight="1" x14ac:dyDescent="0.3">
      <c r="A64" s="91"/>
      <c r="B64" s="243" t="s">
        <v>253</v>
      </c>
      <c r="C64" s="244" t="s">
        <v>254</v>
      </c>
      <c r="D64" s="245" t="s">
        <v>243</v>
      </c>
      <c r="E64" s="218" t="s">
        <v>246</v>
      </c>
      <c r="F64" s="218" t="s">
        <v>255</v>
      </c>
      <c r="G64" s="245" t="s">
        <v>256</v>
      </c>
      <c r="H64" s="218" t="s">
        <v>257</v>
      </c>
    </row>
    <row r="65" spans="1:8" ht="14.25" customHeight="1" x14ac:dyDescent="0.3">
      <c r="A65" s="270" t="s">
        <v>230</v>
      </c>
      <c r="B65" s="123" t="str">
        <f t="shared" ref="B65:D77" si="7">B5</f>
        <v>Shrimp - جمبرى</v>
      </c>
      <c r="C65" s="123" t="str">
        <f t="shared" si="7"/>
        <v>gm</v>
      </c>
      <c r="D65" s="263">
        <f t="shared" si="7"/>
        <v>6536.0784313725489</v>
      </c>
      <c r="E65" s="197">
        <f>H53</f>
        <v>10</v>
      </c>
      <c r="F65" s="127">
        <f t="shared" ref="F65:F77" si="8">F5</f>
        <v>1</v>
      </c>
      <c r="G65" s="119">
        <f t="shared" ref="G65:G77" si="9">D65*E65</f>
        <v>65360.784313725489</v>
      </c>
      <c r="H65" s="120">
        <f t="shared" ref="H65:H77" si="10">G65*F65</f>
        <v>65360.784313725489</v>
      </c>
    </row>
    <row r="66" spans="1:8" ht="14.25" customHeight="1" x14ac:dyDescent="0.3">
      <c r="A66" s="270" t="s">
        <v>13</v>
      </c>
      <c r="B66" s="123" t="str">
        <f t="shared" si="7"/>
        <v>Onion - بصل</v>
      </c>
      <c r="C66" s="123" t="str">
        <f t="shared" si="7"/>
        <v>gm</v>
      </c>
      <c r="D66" s="123">
        <f t="shared" si="7"/>
        <v>250</v>
      </c>
      <c r="E66" s="197">
        <f t="shared" ref="E66:E77" si="11">$C$53</f>
        <v>10.204081632653061</v>
      </c>
      <c r="F66" s="127">
        <f t="shared" si="8"/>
        <v>1</v>
      </c>
      <c r="G66" s="119">
        <f t="shared" si="9"/>
        <v>2551.0204081632651</v>
      </c>
      <c r="H66" s="120">
        <f t="shared" si="10"/>
        <v>2551.0204081632651</v>
      </c>
    </row>
    <row r="67" spans="1:8" ht="14.25" customHeight="1" x14ac:dyDescent="0.3">
      <c r="A67" s="270" t="s">
        <v>13</v>
      </c>
      <c r="B67" s="123" t="str">
        <f t="shared" si="7"/>
        <v>Garlic - ثوم مقشر</v>
      </c>
      <c r="C67" s="123" t="str">
        <f t="shared" si="7"/>
        <v>gm</v>
      </c>
      <c r="D67" s="123">
        <f t="shared" si="7"/>
        <v>20</v>
      </c>
      <c r="E67" s="197">
        <f t="shared" si="11"/>
        <v>10.204081632653061</v>
      </c>
      <c r="F67" s="127">
        <f t="shared" si="8"/>
        <v>1</v>
      </c>
      <c r="G67" s="119">
        <f t="shared" si="9"/>
        <v>204.08163265306121</v>
      </c>
      <c r="H67" s="120">
        <f t="shared" si="10"/>
        <v>204.08163265306121</v>
      </c>
    </row>
    <row r="68" spans="1:8" ht="14.25" customHeight="1" x14ac:dyDescent="0.3">
      <c r="A68" s="270" t="s">
        <v>97</v>
      </c>
      <c r="B68" s="123" t="str">
        <f t="shared" si="7"/>
        <v>Paprika Powder - بابريكا مطحون</v>
      </c>
      <c r="C68" s="123" t="str">
        <f t="shared" si="7"/>
        <v>gm</v>
      </c>
      <c r="D68" s="123">
        <f t="shared" si="7"/>
        <v>5</v>
      </c>
      <c r="E68" s="197">
        <f t="shared" si="11"/>
        <v>10.204081632653061</v>
      </c>
      <c r="F68" s="127">
        <f t="shared" si="8"/>
        <v>0.75</v>
      </c>
      <c r="G68" s="119">
        <f t="shared" si="9"/>
        <v>51.020408163265301</v>
      </c>
      <c r="H68" s="120">
        <f t="shared" si="10"/>
        <v>38.265306122448976</v>
      </c>
    </row>
    <row r="69" spans="1:8" ht="14.25" customHeight="1" x14ac:dyDescent="0.3">
      <c r="A69" s="270" t="s">
        <v>158</v>
      </c>
      <c r="B69" s="123" t="str">
        <f t="shared" si="7"/>
        <v>Cooking Cream - كريمة طبخ</v>
      </c>
      <c r="C69" s="123" t="str">
        <f t="shared" si="7"/>
        <v>ml</v>
      </c>
      <c r="D69" s="123">
        <f t="shared" si="7"/>
        <v>600</v>
      </c>
      <c r="E69" s="197">
        <f t="shared" si="11"/>
        <v>10.204081632653061</v>
      </c>
      <c r="F69" s="127">
        <f t="shared" si="8"/>
        <v>1</v>
      </c>
      <c r="G69" s="119">
        <f t="shared" si="9"/>
        <v>6122.4489795918362</v>
      </c>
      <c r="H69" s="120">
        <f t="shared" si="10"/>
        <v>6122.4489795918362</v>
      </c>
    </row>
    <row r="70" spans="1:8" ht="14.25" customHeight="1" x14ac:dyDescent="0.3">
      <c r="A70" s="270" t="s">
        <v>97</v>
      </c>
      <c r="B70" s="123" t="str">
        <f t="shared" si="7"/>
        <v>Salt - ملح</v>
      </c>
      <c r="C70" s="123" t="str">
        <f t="shared" si="7"/>
        <v>gm</v>
      </c>
      <c r="D70" s="123">
        <f t="shared" si="7"/>
        <v>11</v>
      </c>
      <c r="E70" s="197">
        <f t="shared" si="11"/>
        <v>10.204081632653061</v>
      </c>
      <c r="F70" s="127">
        <f t="shared" si="8"/>
        <v>1</v>
      </c>
      <c r="G70" s="119">
        <f t="shared" si="9"/>
        <v>112.24489795918367</v>
      </c>
      <c r="H70" s="120">
        <f t="shared" si="10"/>
        <v>112.24489795918367</v>
      </c>
    </row>
    <row r="71" spans="1:8" ht="14.25" customHeight="1" x14ac:dyDescent="0.3">
      <c r="A71" s="270" t="s">
        <v>97</v>
      </c>
      <c r="B71" s="123" t="str">
        <f t="shared" si="7"/>
        <v>Black Pepper Powder - فلفل أسود مطحون</v>
      </c>
      <c r="C71" s="123" t="str">
        <f t="shared" si="7"/>
        <v>gm</v>
      </c>
      <c r="D71" s="123">
        <f t="shared" si="7"/>
        <v>5</v>
      </c>
      <c r="E71" s="197">
        <f t="shared" si="11"/>
        <v>10.204081632653061</v>
      </c>
      <c r="F71" s="127">
        <f t="shared" si="8"/>
        <v>1</v>
      </c>
      <c r="G71" s="119">
        <f t="shared" si="9"/>
        <v>51.020408163265301</v>
      </c>
      <c r="H71" s="120">
        <f t="shared" si="10"/>
        <v>51.020408163265301</v>
      </c>
    </row>
    <row r="72" spans="1:8" ht="14.25" customHeight="1" x14ac:dyDescent="0.3">
      <c r="A72" s="270" t="s">
        <v>192</v>
      </c>
      <c r="B72" s="123" t="str">
        <f t="shared" si="7"/>
        <v>Corn Starch - نشا ذرة</v>
      </c>
      <c r="C72" s="123" t="str">
        <f t="shared" si="7"/>
        <v>gm</v>
      </c>
      <c r="D72" s="123">
        <f t="shared" si="7"/>
        <v>100</v>
      </c>
      <c r="E72" s="197">
        <f t="shared" si="11"/>
        <v>10.204081632653061</v>
      </c>
      <c r="F72" s="127">
        <f t="shared" si="8"/>
        <v>0.75</v>
      </c>
      <c r="G72" s="119">
        <f t="shared" si="9"/>
        <v>1020.4081632653061</v>
      </c>
      <c r="H72" s="120">
        <f t="shared" si="10"/>
        <v>765.30612244897964</v>
      </c>
    </row>
    <row r="73" spans="1:8" ht="14.25" customHeight="1" x14ac:dyDescent="0.3">
      <c r="A73" s="270" t="s">
        <v>158</v>
      </c>
      <c r="B73" s="123" t="str">
        <f t="shared" si="7"/>
        <v>Butter - زبدة</v>
      </c>
      <c r="C73" s="123" t="str">
        <f t="shared" si="7"/>
        <v>gm</v>
      </c>
      <c r="D73" s="123">
        <f t="shared" si="7"/>
        <v>50</v>
      </c>
      <c r="E73" s="197">
        <f t="shared" si="11"/>
        <v>10.204081632653061</v>
      </c>
      <c r="F73" s="127">
        <f t="shared" si="8"/>
        <v>0.75</v>
      </c>
      <c r="G73" s="119">
        <f t="shared" si="9"/>
        <v>510.20408163265307</v>
      </c>
      <c r="H73" s="120">
        <f t="shared" si="10"/>
        <v>382.65306122448982</v>
      </c>
    </row>
    <row r="74" spans="1:8" ht="14.25" customHeight="1" x14ac:dyDescent="0.3">
      <c r="A74" s="270" t="s">
        <v>220</v>
      </c>
      <c r="B74" s="123" t="str">
        <f t="shared" si="7"/>
        <v>Orange Color - لون برتقالي</v>
      </c>
      <c r="C74" s="123" t="str">
        <f t="shared" si="7"/>
        <v>gm</v>
      </c>
      <c r="D74" s="123">
        <f t="shared" si="7"/>
        <v>2</v>
      </c>
      <c r="E74" s="197">
        <f t="shared" si="11"/>
        <v>10.204081632653061</v>
      </c>
      <c r="F74" s="127">
        <f t="shared" si="8"/>
        <v>0.75</v>
      </c>
      <c r="G74" s="119">
        <f t="shared" si="9"/>
        <v>20.408163265306122</v>
      </c>
      <c r="H74" s="120">
        <f t="shared" si="10"/>
        <v>15.306122448979592</v>
      </c>
    </row>
    <row r="75" spans="1:8" ht="14.25" customHeight="1" x14ac:dyDescent="0.3">
      <c r="A75" s="270" t="s">
        <v>97</v>
      </c>
      <c r="B75" s="123" t="str">
        <f t="shared" si="7"/>
        <v>Maggi Cubes - مكعبات ماجي</v>
      </c>
      <c r="C75" s="123" t="str">
        <f t="shared" si="7"/>
        <v>gm</v>
      </c>
      <c r="D75" s="123">
        <f t="shared" si="7"/>
        <v>10</v>
      </c>
      <c r="E75" s="197">
        <f t="shared" si="11"/>
        <v>10.204081632653061</v>
      </c>
      <c r="F75" s="127">
        <f t="shared" si="8"/>
        <v>0.9</v>
      </c>
      <c r="G75" s="119">
        <f t="shared" si="9"/>
        <v>102.0408163265306</v>
      </c>
      <c r="H75" s="120">
        <f t="shared" si="10"/>
        <v>91.836734693877546</v>
      </c>
    </row>
    <row r="76" spans="1:8" ht="14.25" customHeight="1" x14ac:dyDescent="0.3">
      <c r="A76" s="270" t="s">
        <v>186</v>
      </c>
      <c r="B76" s="123" t="str">
        <f t="shared" si="7"/>
        <v>Honey - عسل</v>
      </c>
      <c r="C76" s="123" t="str">
        <f t="shared" si="7"/>
        <v>gm</v>
      </c>
      <c r="D76" s="123">
        <f t="shared" si="7"/>
        <v>35</v>
      </c>
      <c r="E76" s="197">
        <f t="shared" si="11"/>
        <v>10.204081632653061</v>
      </c>
      <c r="F76" s="127">
        <f t="shared" si="8"/>
        <v>1</v>
      </c>
      <c r="G76" s="119">
        <f t="shared" si="9"/>
        <v>357.14285714285711</v>
      </c>
      <c r="H76" s="120">
        <f t="shared" si="10"/>
        <v>357.14285714285711</v>
      </c>
    </row>
    <row r="77" spans="1:8" ht="14.25" customHeight="1" x14ac:dyDescent="0.3">
      <c r="A77" s="270" t="s">
        <v>220</v>
      </c>
      <c r="B77" s="123" t="str">
        <f t="shared" si="7"/>
        <v>لون صفار زعفران بودر - Saffron yellow color powder</v>
      </c>
      <c r="C77" s="123" t="str">
        <f t="shared" si="7"/>
        <v>gm</v>
      </c>
      <c r="D77" s="123">
        <f t="shared" si="7"/>
        <v>1</v>
      </c>
      <c r="E77" s="197">
        <f t="shared" si="11"/>
        <v>10.204081632653061</v>
      </c>
      <c r="F77" s="127">
        <f t="shared" si="8"/>
        <v>1</v>
      </c>
      <c r="G77" s="119">
        <f t="shared" si="9"/>
        <v>10.204081632653061</v>
      </c>
      <c r="H77" s="120">
        <f t="shared" si="10"/>
        <v>10.204081632653061</v>
      </c>
    </row>
    <row r="78" spans="1:8" ht="20.25" customHeight="1" x14ac:dyDescent="0.3">
      <c r="A78" s="211"/>
      <c r="B78" s="198" t="s">
        <v>299</v>
      </c>
      <c r="C78" s="200" t="s">
        <v>285</v>
      </c>
      <c r="D78" s="14"/>
      <c r="E78" s="200" t="s">
        <v>300</v>
      </c>
      <c r="F78" s="14"/>
      <c r="G78" s="890" t="s">
        <v>276</v>
      </c>
      <c r="H78" s="890" t="s">
        <v>733</v>
      </c>
    </row>
    <row r="79" spans="1:8" ht="20" x14ac:dyDescent="0.4">
      <c r="A79" s="211"/>
      <c r="B79" s="199">
        <f>$J$53</f>
        <v>33334</v>
      </c>
      <c r="C79" s="199">
        <f>E79+G79</f>
        <v>10000</v>
      </c>
      <c r="D79" s="930"/>
      <c r="E79" s="199">
        <f>$D$53*$S$44</f>
        <v>10000</v>
      </c>
      <c r="F79" s="934"/>
      <c r="G79" s="199">
        <f>$D$53*$T$44</f>
        <v>0</v>
      </c>
      <c r="H79" s="199">
        <f>B79+E79</f>
        <v>43334</v>
      </c>
    </row>
    <row r="82" spans="1:8" x14ac:dyDescent="0.3">
      <c r="A82" s="938"/>
      <c r="B82" s="1382" t="str">
        <f>"شرمب بالسبانخ و الليمون 2 / " &amp; COUNTIF($C$53:$C$55, "&gt;0")</f>
        <v>شرمب بالسبانخ و الليمون 2 / 2</v>
      </c>
      <c r="C82" s="1383"/>
      <c r="D82" s="1383"/>
      <c r="E82" s="1383"/>
      <c r="F82" s="1383"/>
      <c r="G82" s="1383"/>
      <c r="H82" s="1383"/>
    </row>
    <row r="83" spans="1:8" x14ac:dyDescent="0.3">
      <c r="A83" s="938"/>
      <c r="B83" s="1384" t="str">
        <f>"Lemon Shrimp 2 / " &amp; COUNTIF($C$53:$C$55, "&gt;0")</f>
        <v>Lemon Shrimp 2 / 2</v>
      </c>
      <c r="C83" s="1385"/>
      <c r="D83" s="1385"/>
      <c r="E83" s="1385"/>
      <c r="F83" s="1385"/>
      <c r="G83" s="1385"/>
      <c r="H83" s="1385"/>
    </row>
    <row r="84" spans="1:8" ht="26" x14ac:dyDescent="0.3">
      <c r="A84" s="91"/>
      <c r="B84" s="243" t="s">
        <v>253</v>
      </c>
      <c r="C84" s="244" t="s">
        <v>254</v>
      </c>
      <c r="D84" s="245" t="s">
        <v>243</v>
      </c>
      <c r="E84" s="218" t="s">
        <v>246</v>
      </c>
      <c r="F84" s="218" t="s">
        <v>255</v>
      </c>
      <c r="G84" s="245" t="s">
        <v>256</v>
      </c>
      <c r="H84" s="218" t="s">
        <v>257</v>
      </c>
    </row>
    <row r="85" spans="1:8" x14ac:dyDescent="0.3">
      <c r="A85" s="270" t="s">
        <v>230</v>
      </c>
      <c r="B85" s="123" t="str">
        <f t="shared" ref="B85:D97" si="12">B5</f>
        <v>Shrimp - جمبرى</v>
      </c>
      <c r="C85" s="123" t="str">
        <f t="shared" si="12"/>
        <v>gm</v>
      </c>
      <c r="D85" s="263">
        <f t="shared" si="12"/>
        <v>6536.0784313725489</v>
      </c>
      <c r="E85" s="197">
        <f>$H$54</f>
        <v>2.2859081279912825</v>
      </c>
      <c r="F85" s="127">
        <f>F5</f>
        <v>1</v>
      </c>
      <c r="G85" s="119">
        <f t="shared" ref="G85:G97" si="13">D85*E85</f>
        <v>14940.874811463022</v>
      </c>
      <c r="H85" s="120">
        <f t="shared" ref="H85:H97" si="14">G85*F85</f>
        <v>14940.874811463022</v>
      </c>
    </row>
    <row r="86" spans="1:8" x14ac:dyDescent="0.3">
      <c r="A86" s="270" t="s">
        <v>13</v>
      </c>
      <c r="B86" s="123" t="str">
        <f t="shared" si="12"/>
        <v>Onion - بصل</v>
      </c>
      <c r="C86" s="123" t="str">
        <f t="shared" si="12"/>
        <v>gm</v>
      </c>
      <c r="D86" s="263">
        <f t="shared" si="12"/>
        <v>250</v>
      </c>
      <c r="E86" s="197">
        <f t="shared" ref="E86:E97" si="15">$C$54</f>
        <v>2.3328100470957747</v>
      </c>
      <c r="F86" s="127">
        <f t="shared" ref="F86:F97" si="16">F6</f>
        <v>1</v>
      </c>
      <c r="G86" s="119">
        <f t="shared" si="13"/>
        <v>583.20251177394368</v>
      </c>
      <c r="H86" s="120">
        <f t="shared" si="14"/>
        <v>583.20251177394368</v>
      </c>
    </row>
    <row r="87" spans="1:8" x14ac:dyDescent="0.3">
      <c r="A87" s="270" t="s">
        <v>13</v>
      </c>
      <c r="B87" s="123" t="str">
        <f t="shared" si="12"/>
        <v>Garlic - ثوم مقشر</v>
      </c>
      <c r="C87" s="123" t="str">
        <f t="shared" si="12"/>
        <v>gm</v>
      </c>
      <c r="D87" s="263">
        <f t="shared" si="12"/>
        <v>20</v>
      </c>
      <c r="E87" s="197">
        <f t="shared" si="15"/>
        <v>2.3328100470957747</v>
      </c>
      <c r="F87" s="127">
        <f t="shared" si="16"/>
        <v>1</v>
      </c>
      <c r="G87" s="119">
        <f t="shared" si="13"/>
        <v>46.656200941915493</v>
      </c>
      <c r="H87" s="120">
        <f t="shared" si="14"/>
        <v>46.656200941915493</v>
      </c>
    </row>
    <row r="88" spans="1:8" x14ac:dyDescent="0.3">
      <c r="A88" s="270" t="s">
        <v>97</v>
      </c>
      <c r="B88" s="123" t="str">
        <f t="shared" si="12"/>
        <v>Paprika Powder - بابريكا مطحون</v>
      </c>
      <c r="C88" s="123" t="str">
        <f t="shared" si="12"/>
        <v>gm</v>
      </c>
      <c r="D88" s="263">
        <f t="shared" si="12"/>
        <v>5</v>
      </c>
      <c r="E88" s="197">
        <f t="shared" si="15"/>
        <v>2.3328100470957747</v>
      </c>
      <c r="F88" s="127">
        <f t="shared" si="16"/>
        <v>0.75</v>
      </c>
      <c r="G88" s="119">
        <f t="shared" si="13"/>
        <v>11.664050235478873</v>
      </c>
      <c r="H88" s="120">
        <f t="shared" si="14"/>
        <v>8.7480376766091545</v>
      </c>
    </row>
    <row r="89" spans="1:8" x14ac:dyDescent="0.3">
      <c r="A89" s="270" t="s">
        <v>158</v>
      </c>
      <c r="B89" s="123" t="str">
        <f t="shared" si="12"/>
        <v>Cooking Cream - كريمة طبخ</v>
      </c>
      <c r="C89" s="123" t="str">
        <f t="shared" si="12"/>
        <v>ml</v>
      </c>
      <c r="D89" s="263">
        <f t="shared" si="12"/>
        <v>600</v>
      </c>
      <c r="E89" s="197">
        <f t="shared" si="15"/>
        <v>2.3328100470957747</v>
      </c>
      <c r="F89" s="127">
        <f t="shared" si="16"/>
        <v>1</v>
      </c>
      <c r="G89" s="119">
        <f t="shared" si="13"/>
        <v>1399.6860282574648</v>
      </c>
      <c r="H89" s="120">
        <f t="shared" si="14"/>
        <v>1399.6860282574648</v>
      </c>
    </row>
    <row r="90" spans="1:8" x14ac:dyDescent="0.3">
      <c r="A90" s="270" t="s">
        <v>97</v>
      </c>
      <c r="B90" s="123" t="str">
        <f t="shared" si="12"/>
        <v>Salt - ملح</v>
      </c>
      <c r="C90" s="123" t="str">
        <f t="shared" si="12"/>
        <v>gm</v>
      </c>
      <c r="D90" s="263">
        <f t="shared" si="12"/>
        <v>11</v>
      </c>
      <c r="E90" s="197">
        <f t="shared" si="15"/>
        <v>2.3328100470957747</v>
      </c>
      <c r="F90" s="127">
        <f t="shared" si="16"/>
        <v>1</v>
      </c>
      <c r="G90" s="119">
        <f t="shared" si="13"/>
        <v>25.66091051805352</v>
      </c>
      <c r="H90" s="120">
        <f t="shared" si="14"/>
        <v>25.66091051805352</v>
      </c>
    </row>
    <row r="91" spans="1:8" x14ac:dyDescent="0.3">
      <c r="A91" s="270" t="s">
        <v>97</v>
      </c>
      <c r="B91" s="123" t="str">
        <f t="shared" si="12"/>
        <v>Black Pepper Powder - فلفل أسود مطحون</v>
      </c>
      <c r="C91" s="123" t="str">
        <f t="shared" si="12"/>
        <v>gm</v>
      </c>
      <c r="D91" s="263">
        <f t="shared" si="12"/>
        <v>5</v>
      </c>
      <c r="E91" s="197">
        <f t="shared" si="15"/>
        <v>2.3328100470957747</v>
      </c>
      <c r="F91" s="127">
        <f t="shared" si="16"/>
        <v>1</v>
      </c>
      <c r="G91" s="119">
        <f t="shared" si="13"/>
        <v>11.664050235478873</v>
      </c>
      <c r="H91" s="120">
        <f t="shared" si="14"/>
        <v>11.664050235478873</v>
      </c>
    </row>
    <row r="92" spans="1:8" x14ac:dyDescent="0.3">
      <c r="A92" s="270" t="s">
        <v>192</v>
      </c>
      <c r="B92" s="123" t="str">
        <f t="shared" si="12"/>
        <v>Corn Starch - نشا ذرة</v>
      </c>
      <c r="C92" s="123" t="str">
        <f t="shared" si="12"/>
        <v>gm</v>
      </c>
      <c r="D92" s="263">
        <f t="shared" si="12"/>
        <v>100</v>
      </c>
      <c r="E92" s="197">
        <f t="shared" si="15"/>
        <v>2.3328100470957747</v>
      </c>
      <c r="F92" s="127">
        <f t="shared" si="16"/>
        <v>0.75</v>
      </c>
      <c r="G92" s="119">
        <f t="shared" si="13"/>
        <v>233.28100470957747</v>
      </c>
      <c r="H92" s="120">
        <f t="shared" si="14"/>
        <v>174.96075353218311</v>
      </c>
    </row>
    <row r="93" spans="1:8" x14ac:dyDescent="0.3">
      <c r="A93" s="270" t="s">
        <v>158</v>
      </c>
      <c r="B93" s="123" t="str">
        <f t="shared" si="12"/>
        <v>Butter - زبدة</v>
      </c>
      <c r="C93" s="123" t="str">
        <f t="shared" si="12"/>
        <v>gm</v>
      </c>
      <c r="D93" s="263">
        <f t="shared" si="12"/>
        <v>50</v>
      </c>
      <c r="E93" s="197">
        <f t="shared" si="15"/>
        <v>2.3328100470957747</v>
      </c>
      <c r="F93" s="127">
        <f t="shared" si="16"/>
        <v>0.75</v>
      </c>
      <c r="G93" s="119">
        <f t="shared" si="13"/>
        <v>116.64050235478874</v>
      </c>
      <c r="H93" s="120">
        <f t="shared" si="14"/>
        <v>87.480376766091553</v>
      </c>
    </row>
    <row r="94" spans="1:8" x14ac:dyDescent="0.3">
      <c r="A94" s="270" t="s">
        <v>220</v>
      </c>
      <c r="B94" s="123" t="str">
        <f t="shared" si="12"/>
        <v>Orange Color - لون برتقالي</v>
      </c>
      <c r="C94" s="123" t="str">
        <f t="shared" si="12"/>
        <v>gm</v>
      </c>
      <c r="D94" s="263">
        <f t="shared" si="12"/>
        <v>2</v>
      </c>
      <c r="E94" s="197">
        <f t="shared" si="15"/>
        <v>2.3328100470957747</v>
      </c>
      <c r="F94" s="127">
        <f t="shared" si="16"/>
        <v>0.75</v>
      </c>
      <c r="G94" s="119">
        <f t="shared" si="13"/>
        <v>4.6656200941915493</v>
      </c>
      <c r="H94" s="120">
        <f t="shared" si="14"/>
        <v>3.499215070643662</v>
      </c>
    </row>
    <row r="95" spans="1:8" x14ac:dyDescent="0.3">
      <c r="A95" s="270" t="s">
        <v>97</v>
      </c>
      <c r="B95" s="123" t="str">
        <f t="shared" si="12"/>
        <v>Maggi Cubes - مكعبات ماجي</v>
      </c>
      <c r="C95" s="123" t="str">
        <f t="shared" si="12"/>
        <v>gm</v>
      </c>
      <c r="D95" s="263">
        <f t="shared" si="12"/>
        <v>10</v>
      </c>
      <c r="E95" s="197">
        <f t="shared" si="15"/>
        <v>2.3328100470957747</v>
      </c>
      <c r="F95" s="127">
        <f t="shared" si="16"/>
        <v>0.9</v>
      </c>
      <c r="G95" s="119">
        <f t="shared" si="13"/>
        <v>23.328100470957747</v>
      </c>
      <c r="H95" s="120">
        <f t="shared" si="14"/>
        <v>20.995290423861974</v>
      </c>
    </row>
    <row r="96" spans="1:8" x14ac:dyDescent="0.3">
      <c r="A96" s="270" t="s">
        <v>186</v>
      </c>
      <c r="B96" s="123" t="str">
        <f t="shared" si="12"/>
        <v>Honey - عسل</v>
      </c>
      <c r="C96" s="123" t="str">
        <f t="shared" si="12"/>
        <v>gm</v>
      </c>
      <c r="D96" s="263">
        <f t="shared" si="12"/>
        <v>35</v>
      </c>
      <c r="E96" s="197">
        <f t="shared" si="15"/>
        <v>2.3328100470957747</v>
      </c>
      <c r="F96" s="127">
        <f t="shared" si="16"/>
        <v>1</v>
      </c>
      <c r="G96" s="119">
        <f t="shared" si="13"/>
        <v>81.648351648352119</v>
      </c>
      <c r="H96" s="120">
        <f t="shared" si="14"/>
        <v>81.648351648352119</v>
      </c>
    </row>
    <row r="97" spans="1:8" ht="25" x14ac:dyDescent="0.3">
      <c r="A97" s="270" t="s">
        <v>220</v>
      </c>
      <c r="B97" s="123" t="str">
        <f t="shared" si="12"/>
        <v>لون صفار زعفران بودر - Saffron yellow color powder</v>
      </c>
      <c r="C97" s="123" t="str">
        <f t="shared" si="12"/>
        <v>gm</v>
      </c>
      <c r="D97" s="263">
        <f t="shared" si="12"/>
        <v>1</v>
      </c>
      <c r="E97" s="197">
        <f t="shared" si="15"/>
        <v>2.3328100470957747</v>
      </c>
      <c r="F97" s="127">
        <f t="shared" si="16"/>
        <v>1</v>
      </c>
      <c r="G97" s="119">
        <f t="shared" si="13"/>
        <v>2.3328100470957747</v>
      </c>
      <c r="H97" s="120">
        <f t="shared" si="14"/>
        <v>2.3328100470957747</v>
      </c>
    </row>
    <row r="98" spans="1:8" ht="18" x14ac:dyDescent="0.3">
      <c r="A98" s="211"/>
      <c r="B98" s="198" t="s">
        <v>299</v>
      </c>
      <c r="C98" s="200" t="s">
        <v>285</v>
      </c>
      <c r="D98" s="14"/>
      <c r="E98" s="200" t="s">
        <v>300</v>
      </c>
      <c r="F98" s="14"/>
      <c r="G98" s="890" t="s">
        <v>276</v>
      </c>
      <c r="H98" s="890" t="s">
        <v>733</v>
      </c>
    </row>
    <row r="99" spans="1:8" ht="20" x14ac:dyDescent="0.4">
      <c r="A99" s="211"/>
      <c r="B99" s="199">
        <f>$J$54</f>
        <v>7619.8461538461415</v>
      </c>
      <c r="C99" s="199">
        <f>E99+G99</f>
        <v>2286.1538461538589</v>
      </c>
      <c r="D99" s="930"/>
      <c r="E99" s="199">
        <f>$D$54*$S$44</f>
        <v>2286.1538461538589</v>
      </c>
      <c r="F99" s="934"/>
      <c r="G99" s="199">
        <f>$D$54*$T$44</f>
        <v>0</v>
      </c>
      <c r="H99" s="199">
        <f>B99+E99</f>
        <v>9906</v>
      </c>
    </row>
  </sheetData>
  <mergeCells count="9">
    <mergeCell ref="B82:H82"/>
    <mergeCell ref="B83:H83"/>
    <mergeCell ref="B63:H63"/>
    <mergeCell ref="AE2:AG3"/>
    <mergeCell ref="F2:G3"/>
    <mergeCell ref="R26:U26"/>
    <mergeCell ref="B62:H62"/>
    <mergeCell ref="R25:U25"/>
    <mergeCell ref="B35:F35"/>
  </mergeCells>
  <printOptions horizontalCentered="1"/>
  <pageMargins left="0.5" right="0.5" top="1" bottom="0.5" header="0.3" footer="0.511811023622047"/>
  <pageSetup paperSize="9" scale="32" orientation="portrait" r:id="rId1"/>
  <legacy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6" tint="-0.249977111117893"/>
    <pageSetUpPr fitToPage="1"/>
  </sheetPr>
  <dimension ref="A1:AG130"/>
  <sheetViews>
    <sheetView zoomScale="70" zoomScaleNormal="70" workbookViewId="0">
      <selection activeCell="O49" sqref="O49"/>
    </sheetView>
  </sheetViews>
  <sheetFormatPr defaultColWidth="12.5" defaultRowHeight="14" x14ac:dyDescent="0.3"/>
  <cols>
    <col min="1" max="1" width="12.5" style="1" customWidth="1"/>
    <col min="2" max="2" width="32.25" customWidth="1"/>
    <col min="3" max="3" width="23.9140625" customWidth="1"/>
    <col min="4" max="4" width="19" customWidth="1"/>
    <col min="5" max="5" width="16.1640625" customWidth="1"/>
    <col min="6" max="6" width="23.08203125" customWidth="1"/>
    <col min="7" max="7" width="25.1640625" customWidth="1"/>
    <col min="8" max="8" width="36.1640625" customWidth="1"/>
    <col min="12" max="12" width="8.33203125" customWidth="1"/>
    <col min="13" max="13" width="31.5" customWidth="1"/>
    <col min="18" max="18" width="30.5" customWidth="1"/>
  </cols>
  <sheetData>
    <row r="1" spans="1:33" ht="36.75" customHeight="1" x14ac:dyDescent="0.3">
      <c r="B1" s="80" t="s">
        <v>243</v>
      </c>
      <c r="C1" s="81">
        <v>1000</v>
      </c>
      <c r="D1" s="82" t="s">
        <v>244</v>
      </c>
      <c r="E1" s="117">
        <f>T32</f>
        <v>21096</v>
      </c>
      <c r="F1" s="80" t="s">
        <v>245</v>
      </c>
      <c r="G1" s="624">
        <f>(E1/C1)</f>
        <v>21.096</v>
      </c>
      <c r="H1" s="80" t="s">
        <v>246</v>
      </c>
      <c r="I1" s="249">
        <f>(G1/K1)</f>
        <v>21.526530612244898</v>
      </c>
      <c r="J1" s="86" t="s">
        <v>247</v>
      </c>
      <c r="K1" s="81">
        <v>0.98</v>
      </c>
      <c r="L1" s="100"/>
      <c r="M1" s="662"/>
      <c r="N1" s="90"/>
      <c r="O1" s="91" t="s">
        <v>248</v>
      </c>
      <c r="P1" s="100"/>
      <c r="Q1" s="93" t="s">
        <v>551</v>
      </c>
      <c r="R1" s="14">
        <v>2.5</v>
      </c>
      <c r="Y1" s="91" t="s">
        <v>479</v>
      </c>
      <c r="Z1" s="847">
        <v>52240</v>
      </c>
      <c r="AA1" s="91" t="s">
        <v>600</v>
      </c>
      <c r="AB1" s="847">
        <v>500</v>
      </c>
      <c r="AC1" s="91" t="s">
        <v>587</v>
      </c>
      <c r="AD1" s="847">
        <v>360</v>
      </c>
    </row>
    <row r="2" spans="1:33" ht="12.75" customHeight="1" x14ac:dyDescent="0.3">
      <c r="A2" s="265"/>
      <c r="B2" s="98"/>
      <c r="C2" s="98"/>
      <c r="D2" s="98"/>
      <c r="E2" s="98"/>
      <c r="F2" s="1408" t="s">
        <v>442</v>
      </c>
      <c r="G2" s="1429"/>
      <c r="H2" s="98"/>
      <c r="I2" s="98"/>
      <c r="J2" s="98"/>
      <c r="K2" s="98"/>
      <c r="L2" s="293"/>
      <c r="M2" s="100"/>
      <c r="N2" s="100"/>
      <c r="O2" s="100"/>
      <c r="P2" s="100"/>
      <c r="Q2" s="100"/>
      <c r="AE2" s="1396"/>
      <c r="AF2" s="1422"/>
      <c r="AG2" s="1422"/>
    </row>
    <row r="3" spans="1:33" ht="12.75" customHeight="1" x14ac:dyDescent="0.3">
      <c r="A3" s="265"/>
      <c r="B3" s="103"/>
      <c r="C3" s="103"/>
      <c r="D3" s="103"/>
      <c r="E3" s="103"/>
      <c r="F3" s="1388"/>
      <c r="G3" s="1388"/>
      <c r="H3" s="103"/>
      <c r="I3" s="103"/>
      <c r="J3" s="103"/>
      <c r="K3" s="103"/>
      <c r="L3" s="293"/>
      <c r="M3" s="100"/>
      <c r="N3" s="100"/>
      <c r="O3" s="100"/>
      <c r="P3" s="100"/>
      <c r="Q3" s="100"/>
      <c r="AE3" s="1422"/>
      <c r="AF3" s="1422"/>
      <c r="AG3" s="1422"/>
    </row>
    <row r="4" spans="1:33" ht="35.25" customHeight="1" x14ac:dyDescent="0.3">
      <c r="A4" s="91" t="s">
        <v>1</v>
      </c>
      <c r="B4" s="91" t="s">
        <v>253</v>
      </c>
      <c r="C4" s="107" t="s">
        <v>254</v>
      </c>
      <c r="D4" s="91" t="s">
        <v>243</v>
      </c>
      <c r="E4" s="108" t="s">
        <v>246</v>
      </c>
      <c r="F4" s="108" t="s">
        <v>255</v>
      </c>
      <c r="G4" s="91" t="s">
        <v>256</v>
      </c>
      <c r="H4" s="331" t="s">
        <v>347</v>
      </c>
      <c r="I4" s="91" t="s">
        <v>258</v>
      </c>
      <c r="J4" s="91" t="s">
        <v>259</v>
      </c>
      <c r="K4" s="91" t="s">
        <v>260</v>
      </c>
      <c r="L4" s="91" t="s">
        <v>261</v>
      </c>
      <c r="M4" s="100"/>
      <c r="N4" s="100"/>
      <c r="O4" s="100"/>
    </row>
    <row r="5" spans="1:33" ht="14.25" customHeight="1" x14ac:dyDescent="0.3">
      <c r="A5" s="266"/>
      <c r="B5" s="401" t="s">
        <v>553</v>
      </c>
      <c r="C5" s="124" t="s">
        <v>14</v>
      </c>
      <c r="D5" s="1023">
        <f>I51/H51</f>
        <v>600</v>
      </c>
      <c r="E5" s="197">
        <f>$I$1</f>
        <v>21.526530612244898</v>
      </c>
      <c r="F5" s="127">
        <v>1</v>
      </c>
      <c r="G5" s="119">
        <f>D5*E5</f>
        <v>12915.918367346938</v>
      </c>
      <c r="H5" s="120">
        <f>G5*F5</f>
        <v>12915.918367346938</v>
      </c>
      <c r="I5" s="81">
        <f>VLOOKUP(B5,All_Ingredients!$A$1:$F$151,6,FALSE())</f>
        <v>1</v>
      </c>
      <c r="J5" s="119">
        <f>VLOOKUP(B5,All_Ingredients!$A$1:$J$151,10,FALSE())</f>
        <v>8.7962962962962958</v>
      </c>
      <c r="K5" s="122">
        <f t="shared" ref="K5" si="0">(H5/I5)/1000</f>
        <v>12.915918367346938</v>
      </c>
      <c r="L5" s="122">
        <f t="shared" ref="L5" si="1">K5*J5</f>
        <v>113.61224489795917</v>
      </c>
      <c r="M5" s="100"/>
      <c r="N5" s="100"/>
      <c r="O5" s="100"/>
    </row>
    <row r="6" spans="1:33" ht="14.25" customHeight="1" x14ac:dyDescent="0.3">
      <c r="A6" s="270" t="s">
        <v>13</v>
      </c>
      <c r="B6" s="114" t="s">
        <v>12</v>
      </c>
      <c r="C6" s="124" t="s">
        <v>14</v>
      </c>
      <c r="D6" s="125">
        <v>150</v>
      </c>
      <c r="E6" s="197">
        <f t="shared" ref="E6:E21" si="2">$I$1</f>
        <v>21.526530612244898</v>
      </c>
      <c r="F6" s="127">
        <v>0.95</v>
      </c>
      <c r="G6" s="119">
        <f t="shared" ref="G6:G17" si="3">D6*E6</f>
        <v>3228.9795918367345</v>
      </c>
      <c r="H6" s="120">
        <f t="shared" ref="H6:H17" si="4">G6*F6</f>
        <v>3067.5306122448974</v>
      </c>
      <c r="I6" s="81">
        <f>VLOOKUP(B6,All_Ingredients!$A$1:$F$151,6,FALSE())</f>
        <v>0.9</v>
      </c>
      <c r="J6" s="119">
        <f>VLOOKUP(B6,All_Ingredients!$A$1:$J$151,10,FALSE())</f>
        <v>3</v>
      </c>
      <c r="K6" s="122">
        <f t="shared" ref="K6:K21" si="5">(H6/I6)/1000</f>
        <v>3.4083673469387752</v>
      </c>
      <c r="L6" s="122">
        <f t="shared" ref="L6:L21" si="6">K6*J6</f>
        <v>10.225102040816326</v>
      </c>
    </row>
    <row r="7" spans="1:33" ht="14.25" customHeight="1" x14ac:dyDescent="0.3">
      <c r="A7" s="270" t="s">
        <v>13</v>
      </c>
      <c r="B7" s="114" t="s">
        <v>792</v>
      </c>
      <c r="C7" s="124" t="s">
        <v>14</v>
      </c>
      <c r="D7" s="125">
        <v>50</v>
      </c>
      <c r="E7" s="197">
        <f t="shared" si="2"/>
        <v>21.526530612244898</v>
      </c>
      <c r="F7" s="127">
        <v>1</v>
      </c>
      <c r="G7" s="119">
        <f t="shared" si="3"/>
        <v>1076.3265306122448</v>
      </c>
      <c r="H7" s="120">
        <f t="shared" si="4"/>
        <v>1076.3265306122448</v>
      </c>
      <c r="I7" s="81">
        <f>VLOOKUP(B7,All_Ingredients!$A$1:$F$151,6,FALSE())</f>
        <v>1</v>
      </c>
      <c r="J7" s="119">
        <f>VLOOKUP(B7,All_Ingredients!$A$1:$J$151,10,FALSE())</f>
        <v>10.5</v>
      </c>
      <c r="K7" s="122">
        <f t="shared" si="5"/>
        <v>1.0763265306122449</v>
      </c>
      <c r="L7" s="122">
        <f t="shared" si="6"/>
        <v>11.301428571428572</v>
      </c>
    </row>
    <row r="8" spans="1:33" ht="14.25" customHeight="1" x14ac:dyDescent="0.3">
      <c r="A8" s="270" t="s">
        <v>13</v>
      </c>
      <c r="B8" s="114" t="s">
        <v>17</v>
      </c>
      <c r="C8" s="124" t="s">
        <v>14</v>
      </c>
      <c r="D8" s="125">
        <v>250</v>
      </c>
      <c r="E8" s="197">
        <f t="shared" si="2"/>
        <v>21.526530612244898</v>
      </c>
      <c r="F8" s="127">
        <v>1</v>
      </c>
      <c r="G8" s="119">
        <f t="shared" si="3"/>
        <v>5381.6326530612241</v>
      </c>
      <c r="H8" s="120">
        <f t="shared" si="4"/>
        <v>5381.6326530612241</v>
      </c>
      <c r="I8" s="81">
        <f>VLOOKUP(B8,All_Ingredients!$A$1:$F$151,6,FALSE())</f>
        <v>0.98</v>
      </c>
      <c r="J8" s="119">
        <f>VLOOKUP(B8,All_Ingredients!$A$1:$J$151,10,FALSE())</f>
        <v>3.5</v>
      </c>
      <c r="K8" s="122">
        <f t="shared" si="5"/>
        <v>5.4914618908788011</v>
      </c>
      <c r="L8" s="122">
        <f t="shared" si="6"/>
        <v>19.220116618075803</v>
      </c>
    </row>
    <row r="9" spans="1:33" ht="14.25" customHeight="1" x14ac:dyDescent="0.3">
      <c r="A9" s="270" t="s">
        <v>196</v>
      </c>
      <c r="B9" s="114" t="s">
        <v>761</v>
      </c>
      <c r="C9" s="124" t="s">
        <v>14</v>
      </c>
      <c r="D9" s="632">
        <v>300</v>
      </c>
      <c r="E9" s="197">
        <f t="shared" si="2"/>
        <v>21.526530612244898</v>
      </c>
      <c r="F9" s="127">
        <v>1</v>
      </c>
      <c r="G9" s="119">
        <f t="shared" si="3"/>
        <v>6457.9591836734689</v>
      </c>
      <c r="H9" s="120">
        <f t="shared" si="4"/>
        <v>6457.9591836734689</v>
      </c>
      <c r="I9" s="81">
        <f>VLOOKUP(B9,All_Ingredients!$A$1:$F$151,6,FALSE())</f>
        <v>1</v>
      </c>
      <c r="J9" s="119">
        <f>VLOOKUP(B9,All_Ingredients!$A$1:$J$151,10,FALSE())</f>
        <v>8.1520833333333336</v>
      </c>
      <c r="K9" s="122">
        <f t="shared" si="5"/>
        <v>6.4579591836734691</v>
      </c>
      <c r="L9" s="122">
        <f t="shared" si="6"/>
        <v>52.645821428571431</v>
      </c>
    </row>
    <row r="10" spans="1:33" ht="14.25" customHeight="1" x14ac:dyDescent="0.3">
      <c r="A10" s="270" t="s">
        <v>97</v>
      </c>
      <c r="B10" s="114" t="s">
        <v>114</v>
      </c>
      <c r="C10" s="124" t="s">
        <v>14</v>
      </c>
      <c r="D10" s="125">
        <v>2</v>
      </c>
      <c r="E10" s="197">
        <f t="shared" si="2"/>
        <v>21.526530612244898</v>
      </c>
      <c r="F10" s="127">
        <v>0.75</v>
      </c>
      <c r="G10" s="119">
        <f t="shared" si="3"/>
        <v>43.053061224489795</v>
      </c>
      <c r="H10" s="120">
        <f t="shared" si="4"/>
        <v>32.289795918367346</v>
      </c>
      <c r="I10" s="81">
        <f>VLOOKUP(B10,All_Ingredients!$A$1:$F$151,6,FALSE())</f>
        <v>1</v>
      </c>
      <c r="J10" s="119">
        <f>VLOOKUP(B10,All_Ingredients!$A$1:$J$151,10,FALSE())</f>
        <v>64.243759177679877</v>
      </c>
      <c r="K10" s="122">
        <f t="shared" si="5"/>
        <v>3.2289795918367344E-2</v>
      </c>
      <c r="L10" s="122">
        <f t="shared" si="6"/>
        <v>2.0744178728760221</v>
      </c>
    </row>
    <row r="11" spans="1:33" ht="14.25" customHeight="1" x14ac:dyDescent="0.3">
      <c r="A11" s="270" t="s">
        <v>83</v>
      </c>
      <c r="B11" s="114" t="s">
        <v>85</v>
      </c>
      <c r="C11" s="124" t="s">
        <v>14</v>
      </c>
      <c r="D11" s="123">
        <v>1</v>
      </c>
      <c r="E11" s="197">
        <f t="shared" si="2"/>
        <v>21.526530612244898</v>
      </c>
      <c r="F11" s="127">
        <v>0.75</v>
      </c>
      <c r="G11" s="119">
        <f t="shared" si="3"/>
        <v>21.526530612244898</v>
      </c>
      <c r="H11" s="120">
        <f t="shared" si="4"/>
        <v>16.144897959183673</v>
      </c>
      <c r="I11" s="81">
        <f>VLOOKUP(B11,All_Ingredients!$A$1:$F$151,6,FALSE())</f>
        <v>1</v>
      </c>
      <c r="J11" s="119">
        <f>VLOOKUP(B11,All_Ingredients!$A$1:$J$151,10,FALSE())</f>
        <v>147.88732394366198</v>
      </c>
      <c r="K11" s="122">
        <f t="shared" si="5"/>
        <v>1.6144897959183672E-2</v>
      </c>
      <c r="L11" s="122">
        <f t="shared" si="6"/>
        <v>2.3876257545271629</v>
      </c>
    </row>
    <row r="12" spans="1:33" ht="14.25" customHeight="1" x14ac:dyDescent="0.3">
      <c r="A12" s="270" t="s">
        <v>83</v>
      </c>
      <c r="B12" s="114" t="s">
        <v>87</v>
      </c>
      <c r="C12" s="124" t="s">
        <v>14</v>
      </c>
      <c r="D12" s="123">
        <v>1</v>
      </c>
      <c r="E12" s="197">
        <f t="shared" si="2"/>
        <v>21.526530612244898</v>
      </c>
      <c r="F12" s="127">
        <v>0.75</v>
      </c>
      <c r="G12" s="119">
        <f t="shared" si="3"/>
        <v>21.526530612244898</v>
      </c>
      <c r="H12" s="120">
        <f t="shared" si="4"/>
        <v>16.144897959183673</v>
      </c>
      <c r="I12" s="81">
        <f>VLOOKUP(B12,All_Ingredients!$A$1:$F$151,6,FALSE())</f>
        <v>1</v>
      </c>
      <c r="J12" s="119">
        <f>VLOOKUP(B12,All_Ingredients!$A$1:$J$151,10,FALSE())</f>
        <v>140.84507042253523</v>
      </c>
      <c r="K12" s="122">
        <f t="shared" si="5"/>
        <v>1.6144897959183672E-2</v>
      </c>
      <c r="L12" s="122">
        <f t="shared" si="6"/>
        <v>2.2739292900258694</v>
      </c>
    </row>
    <row r="13" spans="1:33" ht="14.25" customHeight="1" x14ac:dyDescent="0.3">
      <c r="A13" s="270" t="s">
        <v>97</v>
      </c>
      <c r="B13" s="114" t="s">
        <v>96</v>
      </c>
      <c r="C13" s="124" t="s">
        <v>14</v>
      </c>
      <c r="D13" s="123">
        <v>11</v>
      </c>
      <c r="E13" s="197">
        <f t="shared" si="2"/>
        <v>21.526530612244898</v>
      </c>
      <c r="F13" s="127">
        <v>0.75</v>
      </c>
      <c r="G13" s="119">
        <f t="shared" si="3"/>
        <v>236.79183673469387</v>
      </c>
      <c r="H13" s="120">
        <f t="shared" si="4"/>
        <v>177.5938775510204</v>
      </c>
      <c r="I13" s="81">
        <f>VLOOKUP(B13,All_Ingredients!$A$1:$F$151,6,FALSE())</f>
        <v>1</v>
      </c>
      <c r="J13" s="119">
        <f>VLOOKUP(B13,All_Ingredients!$A$1:$J$151,10,FALSE())</f>
        <v>0.74</v>
      </c>
      <c r="K13" s="122">
        <f t="shared" si="5"/>
        <v>0.17759387755102041</v>
      </c>
      <c r="L13" s="122">
        <f t="shared" si="6"/>
        <v>0.13141946938775509</v>
      </c>
      <c r="R13" t="s">
        <v>539</v>
      </c>
    </row>
    <row r="14" spans="1:33" ht="14.25" customHeight="1" x14ac:dyDescent="0.3">
      <c r="A14" s="270" t="s">
        <v>13</v>
      </c>
      <c r="B14" s="114" t="s">
        <v>818</v>
      </c>
      <c r="C14" s="124" t="s">
        <v>14</v>
      </c>
      <c r="D14" s="123">
        <v>140</v>
      </c>
      <c r="E14" s="197">
        <f t="shared" si="2"/>
        <v>21.526530612244898</v>
      </c>
      <c r="F14" s="127">
        <v>1</v>
      </c>
      <c r="G14" s="119">
        <f t="shared" si="3"/>
        <v>3013.7142857142858</v>
      </c>
      <c r="H14" s="120">
        <f t="shared" si="4"/>
        <v>3013.7142857142858</v>
      </c>
      <c r="I14" s="81">
        <f>VLOOKUP(B14,All_Ingredients!$A$1:$F$151,6,FALSE())</f>
        <v>1</v>
      </c>
      <c r="J14" s="119">
        <f>VLOOKUP(B14,All_Ingredients!$A$1:$J$151,10,FALSE())</f>
        <v>80</v>
      </c>
      <c r="K14" s="122">
        <f t="shared" si="5"/>
        <v>3.0137142857142858</v>
      </c>
      <c r="L14" s="122">
        <f t="shared" si="6"/>
        <v>241.09714285714287</v>
      </c>
      <c r="R14" t="s">
        <v>537</v>
      </c>
    </row>
    <row r="15" spans="1:33" ht="14.25" customHeight="1" x14ac:dyDescent="0.3">
      <c r="A15" s="270" t="s">
        <v>220</v>
      </c>
      <c r="B15" s="114" t="s">
        <v>221</v>
      </c>
      <c r="C15" s="124" t="s">
        <v>14</v>
      </c>
      <c r="D15" s="125">
        <v>2</v>
      </c>
      <c r="E15" s="197">
        <f t="shared" si="2"/>
        <v>21.526530612244898</v>
      </c>
      <c r="F15" s="127">
        <v>0.75</v>
      </c>
      <c r="G15" s="119">
        <f t="shared" si="3"/>
        <v>43.053061224489795</v>
      </c>
      <c r="H15" s="120">
        <f t="shared" si="4"/>
        <v>32.289795918367346</v>
      </c>
      <c r="I15" s="81">
        <f>VLOOKUP(B15,All_Ingredients!$A$1:$F$151,6,FALSE())</f>
        <v>1</v>
      </c>
      <c r="J15" s="119">
        <f>VLOOKUP(B15,All_Ingredients!$A$1:$J$151,10,FALSE())</f>
        <v>35</v>
      </c>
      <c r="K15" s="122">
        <f t="shared" si="5"/>
        <v>3.2289795918367344E-2</v>
      </c>
      <c r="L15" s="122">
        <f t="shared" si="6"/>
        <v>1.1301428571428571</v>
      </c>
      <c r="R15" t="s">
        <v>538</v>
      </c>
    </row>
    <row r="16" spans="1:33" ht="14.25" customHeight="1" x14ac:dyDescent="0.3">
      <c r="A16" s="270" t="s">
        <v>186</v>
      </c>
      <c r="B16" s="114" t="s">
        <v>189</v>
      </c>
      <c r="C16" s="124" t="s">
        <v>14</v>
      </c>
      <c r="D16" s="123">
        <v>25</v>
      </c>
      <c r="E16" s="197">
        <f t="shared" si="2"/>
        <v>21.526530612244898</v>
      </c>
      <c r="F16" s="127">
        <v>1</v>
      </c>
      <c r="G16" s="119">
        <f t="shared" si="3"/>
        <v>538.16326530612241</v>
      </c>
      <c r="H16" s="120">
        <f t="shared" si="4"/>
        <v>538.16326530612241</v>
      </c>
      <c r="I16" s="81">
        <f>VLOOKUP(B16,All_Ingredients!$A$1:$F$151,6,FALSE())</f>
        <v>1</v>
      </c>
      <c r="J16" s="119">
        <f>VLOOKUP(B16,All_Ingredients!$A$1:$J$151,10,FALSE())</f>
        <v>17</v>
      </c>
      <c r="K16" s="122">
        <f t="shared" si="5"/>
        <v>0.53816326530612246</v>
      </c>
      <c r="L16" s="122">
        <f t="shared" si="6"/>
        <v>9.1487755102040822</v>
      </c>
    </row>
    <row r="17" spans="1:30" ht="14.25" customHeight="1" x14ac:dyDescent="0.35">
      <c r="A17" s="270" t="s">
        <v>196</v>
      </c>
      <c r="B17" s="114" t="s">
        <v>204</v>
      </c>
      <c r="C17" s="1010" t="s">
        <v>165</v>
      </c>
      <c r="D17" s="123">
        <v>40</v>
      </c>
      <c r="E17" s="197">
        <f t="shared" si="2"/>
        <v>21.526530612244898</v>
      </c>
      <c r="F17" s="127">
        <v>1</v>
      </c>
      <c r="G17" s="119">
        <f t="shared" si="3"/>
        <v>861.0612244897959</v>
      </c>
      <c r="H17" s="120">
        <f t="shared" si="4"/>
        <v>861.0612244897959</v>
      </c>
      <c r="I17" s="81">
        <f>VLOOKUP(B17,All_Ingredients!$A$1:$F$151,6,FALSE())</f>
        <v>1</v>
      </c>
      <c r="J17" s="119">
        <f>VLOOKUP(B17,All_Ingredients!$A$1:$J$151,10,FALSE())</f>
        <v>3.25</v>
      </c>
      <c r="K17" s="122">
        <f t="shared" si="5"/>
        <v>0.86106122448979594</v>
      </c>
      <c r="L17" s="122">
        <f t="shared" si="6"/>
        <v>2.7984489795918366</v>
      </c>
    </row>
    <row r="18" spans="1:30" ht="14.25" customHeight="1" x14ac:dyDescent="0.3">
      <c r="A18" s="270"/>
      <c r="B18" s="114" t="s">
        <v>157</v>
      </c>
      <c r="C18" s="124" t="s">
        <v>14</v>
      </c>
      <c r="D18" s="123">
        <v>30</v>
      </c>
      <c r="E18" s="197">
        <f t="shared" si="2"/>
        <v>21.526530612244898</v>
      </c>
      <c r="F18" s="127">
        <v>1</v>
      </c>
      <c r="G18" s="119">
        <f>D18*E18</f>
        <v>645.79591836734699</v>
      </c>
      <c r="H18" s="120">
        <f>G18*F18</f>
        <v>645.79591836734699</v>
      </c>
      <c r="I18" s="81">
        <f>VLOOKUP(B18,All_Ingredients!$A$1:$F$151,6,FALSE())</f>
        <v>1</v>
      </c>
      <c r="J18" s="119">
        <f>VLOOKUP(B18,All_Ingredients!$A$1:$J$151,10,FALSE())</f>
        <v>30</v>
      </c>
      <c r="K18" s="122">
        <f t="shared" si="5"/>
        <v>0.64579591836734695</v>
      </c>
      <c r="L18" s="122">
        <f t="shared" si="6"/>
        <v>19.37387755102041</v>
      </c>
    </row>
    <row r="19" spans="1:30" ht="14.25" customHeight="1" x14ac:dyDescent="0.3">
      <c r="A19" s="270"/>
      <c r="B19" s="114" t="s">
        <v>102</v>
      </c>
      <c r="C19" s="124" t="s">
        <v>14</v>
      </c>
      <c r="D19" s="123">
        <v>3</v>
      </c>
      <c r="E19" s="197">
        <f t="shared" si="2"/>
        <v>21.526530612244898</v>
      </c>
      <c r="F19" s="127">
        <v>1</v>
      </c>
      <c r="G19" s="119">
        <f>D19*E19</f>
        <v>64.579591836734693</v>
      </c>
      <c r="H19" s="120">
        <f>G19*F19</f>
        <v>64.579591836734693</v>
      </c>
      <c r="I19" s="81">
        <f>VLOOKUP(B19,All_Ingredients!$A$1:$F$151,6,FALSE())</f>
        <v>1</v>
      </c>
      <c r="J19" s="119">
        <f>VLOOKUP(B19,All_Ingredients!$A$1:$J$151,10,FALSE())</f>
        <v>31</v>
      </c>
      <c r="K19" s="122">
        <f t="shared" si="5"/>
        <v>6.4579591836734687E-2</v>
      </c>
      <c r="L19" s="122">
        <f t="shared" si="6"/>
        <v>2.0019673469387751</v>
      </c>
    </row>
    <row r="20" spans="1:30" ht="14.25" customHeight="1" x14ac:dyDescent="0.3">
      <c r="A20" s="270"/>
      <c r="B20" s="114" t="s">
        <v>218</v>
      </c>
      <c r="C20" s="124" t="s">
        <v>14</v>
      </c>
      <c r="D20" s="123">
        <v>5</v>
      </c>
      <c r="E20" s="197">
        <f t="shared" si="2"/>
        <v>21.526530612244898</v>
      </c>
      <c r="F20" s="127">
        <v>1</v>
      </c>
      <c r="G20" s="119">
        <f>D20*E20</f>
        <v>107.63265306122449</v>
      </c>
      <c r="H20" s="120">
        <f>G20*F20</f>
        <v>107.63265306122449</v>
      </c>
      <c r="I20" s="81">
        <f>VLOOKUP(B20,All_Ingredients!$A$1:$F$151,6,FALSE())</f>
        <v>1</v>
      </c>
      <c r="J20" s="119">
        <f>VLOOKUP(B20,All_Ingredients!$A$1:$J$151,10,FALSE())</f>
        <v>15.5</v>
      </c>
      <c r="K20" s="122">
        <f t="shared" si="5"/>
        <v>0.10763265306122449</v>
      </c>
      <c r="L20" s="122">
        <f t="shared" si="6"/>
        <v>1.6683061224489797</v>
      </c>
    </row>
    <row r="21" spans="1:30" ht="14.25" customHeight="1" x14ac:dyDescent="0.3">
      <c r="A21" s="270"/>
      <c r="B21" s="114" t="s">
        <v>96</v>
      </c>
      <c r="C21" s="124" t="s">
        <v>14</v>
      </c>
      <c r="D21" s="123">
        <v>5</v>
      </c>
      <c r="E21" s="197">
        <f t="shared" si="2"/>
        <v>21.526530612244898</v>
      </c>
      <c r="F21" s="127">
        <v>1</v>
      </c>
      <c r="G21" s="119">
        <f>D21*E21</f>
        <v>107.63265306122449</v>
      </c>
      <c r="H21" s="120">
        <f>G21*F21</f>
        <v>107.63265306122449</v>
      </c>
      <c r="I21" s="81">
        <f>VLOOKUP(B21,All_Ingredients!$A$1:$F$151,6,FALSE())</f>
        <v>1</v>
      </c>
      <c r="J21" s="119">
        <f>VLOOKUP(B21,All_Ingredients!$A$1:$J$151,10,FALSE())</f>
        <v>0.74</v>
      </c>
      <c r="K21" s="122">
        <f t="shared" si="5"/>
        <v>0.10763265306122449</v>
      </c>
      <c r="L21" s="122">
        <f t="shared" si="6"/>
        <v>7.9648163265306118E-2</v>
      </c>
    </row>
    <row r="22" spans="1:30" ht="14.25" customHeight="1" x14ac:dyDescent="0.3">
      <c r="B22" s="132"/>
      <c r="C22" s="133"/>
      <c r="D22" s="132"/>
      <c r="E22" s="296"/>
      <c r="F22" s="136"/>
      <c r="G22" s="137"/>
      <c r="H22" s="138"/>
      <c r="I22" s="92"/>
      <c r="J22" s="137"/>
      <c r="K22" s="131"/>
      <c r="L22" s="131"/>
    </row>
    <row r="23" spans="1:30" ht="14.25" customHeight="1" x14ac:dyDescent="0.3">
      <c r="B23" s="132"/>
      <c r="C23" s="133"/>
      <c r="D23" s="132"/>
      <c r="E23" s="296"/>
      <c r="F23" s="136"/>
      <c r="G23" s="137"/>
      <c r="H23" s="138"/>
      <c r="I23" s="92"/>
      <c r="J23" s="137"/>
      <c r="K23" s="131"/>
      <c r="L23" s="131"/>
    </row>
    <row r="24" spans="1:30" ht="14.25" customHeight="1" x14ac:dyDescent="0.3">
      <c r="B24" s="132"/>
      <c r="C24" s="133"/>
      <c r="D24" s="132"/>
      <c r="E24" s="296"/>
      <c r="F24" s="136"/>
      <c r="G24" s="137"/>
      <c r="H24" s="138"/>
      <c r="I24" s="92"/>
      <c r="J24" s="137"/>
      <c r="K24" s="131"/>
      <c r="L24" s="131"/>
      <c r="Z24" s="1294"/>
    </row>
    <row r="25" spans="1:30" ht="14.25" customHeight="1" x14ac:dyDescent="0.35">
      <c r="E25" s="100"/>
      <c r="F25" s="100"/>
      <c r="L25" s="209"/>
      <c r="R25" s="1411" t="s">
        <v>442</v>
      </c>
      <c r="S25" s="1388"/>
      <c r="T25" s="1388"/>
      <c r="U25" s="1388"/>
      <c r="Z25" s="141" t="s">
        <v>264</v>
      </c>
      <c r="AA25" s="142">
        <v>60550</v>
      </c>
      <c r="AB25" s="141" t="s">
        <v>261</v>
      </c>
      <c r="AC25" s="143">
        <f>AC30*AA25</f>
        <v>537.35727356363759</v>
      </c>
      <c r="AD25" s="14"/>
    </row>
    <row r="26" spans="1:30" ht="14.25" customHeight="1" x14ac:dyDescent="0.3">
      <c r="L26" s="209"/>
      <c r="R26" s="1409" t="s">
        <v>373</v>
      </c>
      <c r="S26" s="1410"/>
      <c r="T26" s="1410"/>
      <c r="U26" s="1410"/>
      <c r="Z26" s="14"/>
      <c r="AA26" s="14"/>
      <c r="AB26" s="14"/>
      <c r="AC26" s="14"/>
      <c r="AD26" s="14"/>
    </row>
    <row r="27" spans="1:30" ht="14.25" customHeight="1" x14ac:dyDescent="0.3">
      <c r="L27" s="209"/>
      <c r="R27" s="145" t="s">
        <v>266</v>
      </c>
      <c r="S27" s="146" t="s">
        <v>364</v>
      </c>
      <c r="T27" s="146" t="s">
        <v>268</v>
      </c>
      <c r="U27" s="146" t="s">
        <v>269</v>
      </c>
      <c r="Z27" s="141" t="s">
        <v>270</v>
      </c>
      <c r="AA27" s="147" t="s">
        <v>364</v>
      </c>
      <c r="AB27" s="147" t="s">
        <v>272</v>
      </c>
      <c r="AC27" s="147" t="s">
        <v>274</v>
      </c>
    </row>
    <row r="28" spans="1:30" ht="14.25" customHeight="1" x14ac:dyDescent="0.3">
      <c r="L28" s="209"/>
      <c r="R28" s="148" t="s">
        <v>275</v>
      </c>
      <c r="S28" s="149">
        <f>U28*S40</f>
        <v>31344</v>
      </c>
      <c r="T28" s="149">
        <f>U28*U40</f>
        <v>20896</v>
      </c>
      <c r="U28" s="1233">
        <f>$Z$1</f>
        <v>52240</v>
      </c>
      <c r="Z28" s="151"/>
      <c r="AA28" s="152">
        <f>AA25*$S$40</f>
        <v>36330</v>
      </c>
      <c r="AB28" s="152">
        <f>AA25*$U$40</f>
        <v>24220</v>
      </c>
      <c r="AC28" s="154">
        <f>SUM(AA28:AB28)</f>
        <v>60550</v>
      </c>
    </row>
    <row r="29" spans="1:30" ht="14.25" customHeight="1" x14ac:dyDescent="0.3">
      <c r="L29" s="209"/>
      <c r="R29" s="148" t="s">
        <v>276</v>
      </c>
      <c r="S29" s="155"/>
      <c r="T29" s="149"/>
      <c r="U29" s="149">
        <f>T29</f>
        <v>0</v>
      </c>
      <c r="Z29" s="151"/>
      <c r="AA29" s="156">
        <f>AA28/$AC$28</f>
        <v>0.6</v>
      </c>
      <c r="AB29" s="156">
        <f>AB28/$AC$28</f>
        <v>0.4</v>
      </c>
      <c r="AC29" s="156">
        <f>AC28/$AC$28</f>
        <v>1</v>
      </c>
    </row>
    <row r="30" spans="1:30" ht="14.25" customHeight="1" x14ac:dyDescent="0.3">
      <c r="L30" s="209"/>
      <c r="R30" s="148" t="s">
        <v>277</v>
      </c>
      <c r="S30" s="155">
        <f>U30*S40</f>
        <v>300</v>
      </c>
      <c r="T30" s="155">
        <f>U30*U40</f>
        <v>200</v>
      </c>
      <c r="U30" s="1236">
        <f>$AB$1</f>
        <v>500</v>
      </c>
      <c r="Z30" s="141" t="s">
        <v>278</v>
      </c>
      <c r="AA30" s="157">
        <f>S35/(S32)</f>
        <v>3.590325018896447E-3</v>
      </c>
      <c r="AB30" s="158">
        <f>T35/T32</f>
        <v>1.6801022527957461E-2</v>
      </c>
      <c r="AC30" s="159">
        <f>SUMPRODUCT(AA30:AB30,AA29:AB29)</f>
        <v>8.8746040225208527E-3</v>
      </c>
    </row>
    <row r="31" spans="1:30" ht="14.25" customHeight="1" x14ac:dyDescent="0.3">
      <c r="L31" s="209"/>
      <c r="R31" s="148" t="s">
        <v>279</v>
      </c>
      <c r="S31" s="155"/>
      <c r="T31" s="149"/>
      <c r="U31" s="149"/>
    </row>
    <row r="32" spans="1:30" ht="14.25" customHeight="1" x14ac:dyDescent="0.3">
      <c r="B32" s="100"/>
      <c r="E32" s="100"/>
      <c r="F32" s="100"/>
      <c r="L32" s="209"/>
      <c r="R32" s="160" t="s">
        <v>269</v>
      </c>
      <c r="S32" s="149">
        <f>SUM(S28:S30)</f>
        <v>31644</v>
      </c>
      <c r="T32" s="149">
        <f>SUM(T28:T30)</f>
        <v>21096</v>
      </c>
      <c r="U32" s="149">
        <f>SUM(U28:U30)</f>
        <v>52740</v>
      </c>
    </row>
    <row r="33" spans="2:23" ht="14.25" customHeight="1" x14ac:dyDescent="0.3">
      <c r="B33" s="100"/>
      <c r="E33" s="100"/>
      <c r="F33" s="100"/>
      <c r="L33" s="209"/>
      <c r="R33" s="161" t="s">
        <v>280</v>
      </c>
      <c r="S33" s="155"/>
      <c r="T33" s="155"/>
      <c r="U33" s="155"/>
    </row>
    <row r="34" spans="2:23" ht="14.25" customHeight="1" x14ac:dyDescent="0.3">
      <c r="B34" s="100"/>
      <c r="E34" s="100"/>
      <c r="F34" s="100"/>
      <c r="R34" s="162" t="s">
        <v>281</v>
      </c>
      <c r="S34" s="155"/>
      <c r="T34" s="149"/>
      <c r="U34" s="155"/>
    </row>
    <row r="35" spans="2:23" ht="14.25" customHeight="1" x14ac:dyDescent="0.3">
      <c r="B35" s="100"/>
      <c r="E35" s="100"/>
      <c r="F35" s="100"/>
      <c r="R35" s="163" t="s">
        <v>261</v>
      </c>
      <c r="S35" s="1144">
        <f>$L$5</f>
        <v>113.61224489795917</v>
      </c>
      <c r="T35" s="1144">
        <f>SUM(L6:L17)</f>
        <v>354.43437124979062</v>
      </c>
      <c r="U35" s="1144">
        <f>S35+T35</f>
        <v>468.04661614774977</v>
      </c>
    </row>
    <row r="36" spans="2:23" x14ac:dyDescent="0.3">
      <c r="B36" s="100"/>
      <c r="E36" s="100"/>
      <c r="F36" s="100"/>
    </row>
    <row r="37" spans="2:23" x14ac:dyDescent="0.3">
      <c r="B37" s="100"/>
      <c r="C37" s="100"/>
      <c r="E37" s="100"/>
      <c r="F37" s="100"/>
      <c r="M37" s="643"/>
      <c r="N37" s="643"/>
    </row>
    <row r="38" spans="2:23" x14ac:dyDescent="0.3">
      <c r="B38" s="100"/>
      <c r="C38" s="100"/>
      <c r="E38" s="100"/>
      <c r="F38" s="100"/>
    </row>
    <row r="39" spans="2:23" x14ac:dyDescent="0.3">
      <c r="B39" s="100"/>
      <c r="E39" s="100"/>
      <c r="F39" s="100"/>
    </row>
    <row r="40" spans="2:23" ht="52" x14ac:dyDescent="0.3">
      <c r="B40" s="100"/>
      <c r="E40" s="100"/>
      <c r="F40" s="100"/>
      <c r="Q40" s="14"/>
      <c r="R40" s="165" t="s">
        <v>282</v>
      </c>
      <c r="S40" s="166">
        <v>0.6</v>
      </c>
      <c r="T40" s="165" t="s">
        <v>283</v>
      </c>
      <c r="U40" s="167">
        <v>0.4</v>
      </c>
      <c r="V40" s="168">
        <f>S40+U40</f>
        <v>1</v>
      </c>
      <c r="W40" s="14"/>
    </row>
    <row r="41" spans="2:23" x14ac:dyDescent="0.3">
      <c r="B41" s="100"/>
      <c r="E41" s="100"/>
      <c r="F41" s="100"/>
      <c r="Q41" s="14"/>
      <c r="R41" s="14"/>
      <c r="S41" s="14"/>
      <c r="T41" s="14"/>
      <c r="U41" s="169"/>
      <c r="V41" s="14"/>
      <c r="W41" s="14"/>
    </row>
    <row r="42" spans="2:23" x14ac:dyDescent="0.3">
      <c r="B42" s="100"/>
      <c r="E42" s="100"/>
      <c r="F42" s="100"/>
      <c r="Q42" s="14"/>
      <c r="R42" s="14"/>
      <c r="S42" s="14"/>
      <c r="T42" s="14"/>
      <c r="U42" s="14"/>
      <c r="V42" s="14"/>
      <c r="W42" s="14"/>
    </row>
    <row r="43" spans="2:23" x14ac:dyDescent="0.3">
      <c r="Q43" s="170" t="s">
        <v>284</v>
      </c>
      <c r="R43" s="170" t="s">
        <v>285</v>
      </c>
      <c r="S43" s="170" t="s">
        <v>286</v>
      </c>
      <c r="T43" s="170" t="s">
        <v>287</v>
      </c>
      <c r="U43" s="170" t="s">
        <v>288</v>
      </c>
      <c r="V43" s="170" t="s">
        <v>289</v>
      </c>
      <c r="W43" s="258" t="s">
        <v>545</v>
      </c>
    </row>
    <row r="44" spans="2:23" x14ac:dyDescent="0.3">
      <c r="Q44" s="551">
        <v>25000</v>
      </c>
      <c r="R44" s="173">
        <f>D51</f>
        <v>10000</v>
      </c>
      <c r="S44" s="174">
        <v>1</v>
      </c>
      <c r="T44" s="174">
        <v>0</v>
      </c>
      <c r="U44" s="242">
        <f>R44*S44</f>
        <v>10000</v>
      </c>
      <c r="V44" s="176">
        <f>R44*T44</f>
        <v>0</v>
      </c>
      <c r="W44" s="651">
        <f>Q44-U44</f>
        <v>15000</v>
      </c>
    </row>
    <row r="50" spans="1:10" x14ac:dyDescent="0.3">
      <c r="B50" s="145"/>
      <c r="C50" s="145" t="s">
        <v>245</v>
      </c>
      <c r="D50" s="145" t="s">
        <v>291</v>
      </c>
      <c r="E50" s="100"/>
      <c r="F50" s="100"/>
      <c r="G50" s="145" t="s">
        <v>292</v>
      </c>
      <c r="H50" s="145" t="s">
        <v>245</v>
      </c>
      <c r="I50" s="145" t="s">
        <v>544</v>
      </c>
      <c r="J50" s="145" t="s">
        <v>543</v>
      </c>
    </row>
    <row r="51" spans="1:10" x14ac:dyDescent="0.3">
      <c r="B51" s="180" t="s">
        <v>295</v>
      </c>
      <c r="C51" s="181">
        <f>10/$K$1</f>
        <v>10.204081632653061</v>
      </c>
      <c r="D51" s="182">
        <f>$C$1*10</f>
        <v>10000</v>
      </c>
      <c r="E51" s="100"/>
      <c r="F51" s="100"/>
      <c r="G51" s="180" t="s">
        <v>295</v>
      </c>
      <c r="H51" s="277">
        <v>10</v>
      </c>
      <c r="I51" s="181">
        <f>J51/$R$1</f>
        <v>6000</v>
      </c>
      <c r="J51" s="181">
        <f>$W$44</f>
        <v>15000</v>
      </c>
    </row>
    <row r="52" spans="1:10" x14ac:dyDescent="0.3">
      <c r="B52" s="231" t="s">
        <v>274</v>
      </c>
      <c r="C52" s="232">
        <f>$I$1</f>
        <v>21.526530612244898</v>
      </c>
      <c r="D52" s="233">
        <f>$E$1</f>
        <v>21096</v>
      </c>
      <c r="E52" s="100"/>
      <c r="F52" s="100"/>
      <c r="G52" s="148" t="s">
        <v>274</v>
      </c>
      <c r="H52" s="210">
        <f>I52/$D$5</f>
        <v>21.096</v>
      </c>
      <c r="I52" s="176">
        <f>J52/$R$1</f>
        <v>12657.6</v>
      </c>
      <c r="J52" s="184">
        <f>$S$32</f>
        <v>31644</v>
      </c>
    </row>
    <row r="53" spans="1:10" x14ac:dyDescent="0.3">
      <c r="B53" s="231" t="s">
        <v>296</v>
      </c>
      <c r="C53" s="234">
        <f>MIN(C52, C51)</f>
        <v>10.204081632653061</v>
      </c>
      <c r="D53" s="233">
        <f>(C53*$K$1)*$C$1</f>
        <v>10000</v>
      </c>
      <c r="E53" s="100"/>
      <c r="F53" s="100"/>
      <c r="G53" s="148" t="s">
        <v>296</v>
      </c>
      <c r="H53" s="187">
        <f>MIN(H52,H51)</f>
        <v>10</v>
      </c>
      <c r="I53" s="176">
        <f>J53/$R$1</f>
        <v>6000</v>
      </c>
      <c r="J53" s="176">
        <f>MIN(J52,J51)</f>
        <v>15000</v>
      </c>
    </row>
    <row r="54" spans="1:10" x14ac:dyDescent="0.3">
      <c r="B54" s="231" t="s">
        <v>297</v>
      </c>
      <c r="C54" s="234">
        <f>MIN(MAX(C52-C53,0),C51)</f>
        <v>10.204081632653061</v>
      </c>
      <c r="D54" s="233">
        <f>(C54*$K$1)*$C$1</f>
        <v>10000</v>
      </c>
      <c r="E54" s="100"/>
      <c r="F54" s="100"/>
      <c r="G54" s="148" t="s">
        <v>297</v>
      </c>
      <c r="H54" s="187">
        <f>MIN(MAX(H52-H53),H51)</f>
        <v>10</v>
      </c>
      <c r="I54" s="176">
        <f>J54/$R$1</f>
        <v>6000</v>
      </c>
      <c r="J54" s="176">
        <f>MIN(MAX(J52-J53),J51)</f>
        <v>15000</v>
      </c>
    </row>
    <row r="55" spans="1:10" x14ac:dyDescent="0.3">
      <c r="B55" s="231" t="s">
        <v>298</v>
      </c>
      <c r="C55" s="234">
        <f>MIN(MAX(C52-C53-C54,0),C51)</f>
        <v>1.1183673469387756</v>
      </c>
      <c r="D55" s="233">
        <f>(C55*$K$1)*$C$1</f>
        <v>1096</v>
      </c>
      <c r="E55" s="100"/>
      <c r="F55" s="100"/>
      <c r="G55" s="145" t="s">
        <v>298</v>
      </c>
      <c r="H55" s="187">
        <f>MIN(MAX(H52-H53-H54),H51)</f>
        <v>1.0960000000000001</v>
      </c>
      <c r="I55" s="176">
        <f>J55/$R$1</f>
        <v>657.6</v>
      </c>
      <c r="J55" s="176">
        <f>MIN(MAX(J52-J53-J54),J51)</f>
        <v>1644</v>
      </c>
    </row>
    <row r="62" spans="1:10" ht="18" x14ac:dyDescent="0.3">
      <c r="A62" s="938"/>
      <c r="B62" s="1382" t="str">
        <f>"لسان العصفور 1 / " &amp; COUNTIF($C$53:$C$55, "&gt;0")</f>
        <v>لسان العصفور 1 / 3</v>
      </c>
      <c r="C62" s="1382"/>
      <c r="D62" s="1382"/>
      <c r="E62" s="1382"/>
      <c r="F62" s="1382"/>
      <c r="G62" s="1382"/>
      <c r="H62" s="1382"/>
    </row>
    <row r="63" spans="1:10" ht="17.75" customHeight="1" x14ac:dyDescent="0.3">
      <c r="A63" s="938"/>
      <c r="B63" s="1384" t="str">
        <f>"Orzo Pasta 1 / " &amp; COUNTIF($C$53:$C$55, "&gt;0")</f>
        <v>Orzo Pasta 1 / 3</v>
      </c>
      <c r="C63" s="1384"/>
      <c r="D63" s="1384"/>
      <c r="E63" s="1384"/>
      <c r="F63" s="1384"/>
      <c r="G63" s="1384"/>
      <c r="H63" s="1384"/>
    </row>
    <row r="64" spans="1:10" ht="53" customHeight="1" x14ac:dyDescent="0.3">
      <c r="A64" s="91"/>
      <c r="B64" s="91" t="s">
        <v>253</v>
      </c>
      <c r="C64" s="107" t="s">
        <v>254</v>
      </c>
      <c r="D64" s="91" t="s">
        <v>243</v>
      </c>
      <c r="E64" s="218" t="s">
        <v>246</v>
      </c>
      <c r="F64" s="108" t="s">
        <v>255</v>
      </c>
      <c r="G64" s="91" t="s">
        <v>256</v>
      </c>
      <c r="H64" s="218" t="s">
        <v>257</v>
      </c>
    </row>
    <row r="65" spans="1:8" ht="25.5" customHeight="1" x14ac:dyDescent="0.3">
      <c r="A65" s="270" t="s">
        <v>13</v>
      </c>
      <c r="B65" s="123" t="str">
        <f t="shared" ref="B65:D81" si="7">B5</f>
        <v>Pasta Orzo - مكرونة لسان عصفور</v>
      </c>
      <c r="C65" s="123" t="str">
        <f t="shared" si="7"/>
        <v>gm</v>
      </c>
      <c r="D65" s="123">
        <f t="shared" si="7"/>
        <v>600</v>
      </c>
      <c r="E65" s="197">
        <f>H53</f>
        <v>10</v>
      </c>
      <c r="F65" s="127">
        <f t="shared" ref="F65:F81" si="8">F5</f>
        <v>1</v>
      </c>
      <c r="G65" s="119">
        <f>D65*E65</f>
        <v>6000</v>
      </c>
      <c r="H65" s="120">
        <f>G65*F65</f>
        <v>6000</v>
      </c>
    </row>
    <row r="66" spans="1:8" ht="14.25" customHeight="1" x14ac:dyDescent="0.3">
      <c r="A66" s="270" t="s">
        <v>13</v>
      </c>
      <c r="B66" s="123" t="str">
        <f t="shared" si="7"/>
        <v>Onion - بصل</v>
      </c>
      <c r="C66" s="123" t="str">
        <f t="shared" si="7"/>
        <v>gm</v>
      </c>
      <c r="D66" s="123">
        <f t="shared" si="7"/>
        <v>150</v>
      </c>
      <c r="E66" s="197">
        <f>$C$53</f>
        <v>10.204081632653061</v>
      </c>
      <c r="F66" s="127">
        <f t="shared" si="8"/>
        <v>0.95</v>
      </c>
      <c r="G66" s="119">
        <f t="shared" ref="G66:G77" si="9">D66*E66</f>
        <v>1530.612244897959</v>
      </c>
      <c r="H66" s="120">
        <f t="shared" ref="H66:H77" si="10">G66*F66</f>
        <v>1454.081632653061</v>
      </c>
    </row>
    <row r="67" spans="1:8" ht="14.25" customHeight="1" x14ac:dyDescent="0.3">
      <c r="A67" s="270" t="s">
        <v>13</v>
      </c>
      <c r="B67" s="123" t="str">
        <f t="shared" si="7"/>
        <v>Garlic - ثوم مقشر</v>
      </c>
      <c r="C67" s="123" t="str">
        <f t="shared" si="7"/>
        <v>gm</v>
      </c>
      <c r="D67" s="123">
        <f t="shared" si="7"/>
        <v>50</v>
      </c>
      <c r="E67" s="197">
        <f t="shared" ref="E67:E81" si="11">$C$53</f>
        <v>10.204081632653061</v>
      </c>
      <c r="F67" s="127">
        <f t="shared" si="8"/>
        <v>1</v>
      </c>
      <c r="G67" s="119">
        <f t="shared" si="9"/>
        <v>510.20408163265307</v>
      </c>
      <c r="H67" s="120">
        <f t="shared" si="10"/>
        <v>510.20408163265307</v>
      </c>
    </row>
    <row r="68" spans="1:8" ht="14.25" customHeight="1" x14ac:dyDescent="0.3">
      <c r="A68" s="270" t="s">
        <v>13</v>
      </c>
      <c r="B68" s="123" t="str">
        <f t="shared" si="7"/>
        <v>Tomato - طماطم</v>
      </c>
      <c r="C68" s="123" t="str">
        <f t="shared" si="7"/>
        <v>gm</v>
      </c>
      <c r="D68" s="123">
        <f t="shared" si="7"/>
        <v>250</v>
      </c>
      <c r="E68" s="197">
        <f t="shared" si="11"/>
        <v>10.204081632653061</v>
      </c>
      <c r="F68" s="127">
        <f t="shared" si="8"/>
        <v>1</v>
      </c>
      <c r="G68" s="119">
        <f t="shared" si="9"/>
        <v>2551.0204081632651</v>
      </c>
      <c r="H68" s="120">
        <f t="shared" si="10"/>
        <v>2551.0204081632651</v>
      </c>
    </row>
    <row r="69" spans="1:8" ht="14.25" customHeight="1" x14ac:dyDescent="0.3">
      <c r="A69" s="270" t="s">
        <v>196</v>
      </c>
      <c r="B69" s="123" t="str">
        <f t="shared" si="7"/>
        <v>Tomato Paste - صلصة طماطم</v>
      </c>
      <c r="C69" s="123" t="str">
        <f t="shared" si="7"/>
        <v>gm</v>
      </c>
      <c r="D69" s="123">
        <f t="shared" si="7"/>
        <v>300</v>
      </c>
      <c r="E69" s="197">
        <f t="shared" si="11"/>
        <v>10.204081632653061</v>
      </c>
      <c r="F69" s="127">
        <f t="shared" si="8"/>
        <v>1</v>
      </c>
      <c r="G69" s="119">
        <f t="shared" si="9"/>
        <v>3061.2244897959181</v>
      </c>
      <c r="H69" s="120">
        <f t="shared" si="10"/>
        <v>3061.2244897959181</v>
      </c>
    </row>
    <row r="70" spans="1:8" ht="14.25" customHeight="1" x14ac:dyDescent="0.3">
      <c r="A70" s="270" t="s">
        <v>97</v>
      </c>
      <c r="B70" s="123" t="str">
        <f t="shared" si="7"/>
        <v>Paprika Powder - بابريكا مطحون</v>
      </c>
      <c r="C70" s="123" t="str">
        <f t="shared" si="7"/>
        <v>gm</v>
      </c>
      <c r="D70" s="123">
        <f t="shared" si="7"/>
        <v>2</v>
      </c>
      <c r="E70" s="197">
        <f t="shared" si="11"/>
        <v>10.204081632653061</v>
      </c>
      <c r="F70" s="127">
        <f t="shared" si="8"/>
        <v>0.75</v>
      </c>
      <c r="G70" s="119">
        <f t="shared" si="9"/>
        <v>20.408163265306122</v>
      </c>
      <c r="H70" s="120">
        <f t="shared" si="10"/>
        <v>15.306122448979592</v>
      </c>
    </row>
    <row r="71" spans="1:8" ht="14.25" customHeight="1" x14ac:dyDescent="0.3">
      <c r="A71" s="270" t="s">
        <v>83</v>
      </c>
      <c r="B71" s="123" t="str">
        <f t="shared" si="7"/>
        <v>Dry Oregano - أوريجانو مجفف</v>
      </c>
      <c r="C71" s="123" t="str">
        <f t="shared" si="7"/>
        <v>gm</v>
      </c>
      <c r="D71" s="123">
        <f t="shared" si="7"/>
        <v>1</v>
      </c>
      <c r="E71" s="197">
        <f t="shared" si="11"/>
        <v>10.204081632653061</v>
      </c>
      <c r="F71" s="127">
        <f t="shared" si="8"/>
        <v>0.75</v>
      </c>
      <c r="G71" s="119">
        <f t="shared" si="9"/>
        <v>10.204081632653061</v>
      </c>
      <c r="H71" s="120">
        <f t="shared" si="10"/>
        <v>7.6530612244897958</v>
      </c>
    </row>
    <row r="72" spans="1:8" ht="14.25" customHeight="1" x14ac:dyDescent="0.3">
      <c r="A72" s="270" t="s">
        <v>83</v>
      </c>
      <c r="B72" s="123" t="str">
        <f t="shared" si="7"/>
        <v>Dry Basil - ريحان مجفف</v>
      </c>
      <c r="C72" s="123" t="str">
        <f t="shared" si="7"/>
        <v>gm</v>
      </c>
      <c r="D72" s="123">
        <f t="shared" si="7"/>
        <v>1</v>
      </c>
      <c r="E72" s="197">
        <f t="shared" si="11"/>
        <v>10.204081632653061</v>
      </c>
      <c r="F72" s="127">
        <f t="shared" si="8"/>
        <v>0.75</v>
      </c>
      <c r="G72" s="119">
        <f t="shared" si="9"/>
        <v>10.204081632653061</v>
      </c>
      <c r="H72" s="120">
        <f t="shared" si="10"/>
        <v>7.6530612244897958</v>
      </c>
    </row>
    <row r="73" spans="1:8" ht="14.25" customHeight="1" x14ac:dyDescent="0.3">
      <c r="A73" s="270" t="s">
        <v>97</v>
      </c>
      <c r="B73" s="123" t="str">
        <f t="shared" si="7"/>
        <v>Salt - ملح</v>
      </c>
      <c r="C73" s="123" t="str">
        <f t="shared" si="7"/>
        <v>gm</v>
      </c>
      <c r="D73" s="123">
        <f t="shared" si="7"/>
        <v>11</v>
      </c>
      <c r="E73" s="197">
        <f t="shared" si="11"/>
        <v>10.204081632653061</v>
      </c>
      <c r="F73" s="127">
        <f t="shared" si="8"/>
        <v>0.75</v>
      </c>
      <c r="G73" s="119">
        <f t="shared" si="9"/>
        <v>112.24489795918367</v>
      </c>
      <c r="H73" s="120">
        <f t="shared" si="10"/>
        <v>84.183673469387756</v>
      </c>
    </row>
    <row r="74" spans="1:8" ht="14.25" customHeight="1" x14ac:dyDescent="0.3">
      <c r="A74" s="270" t="s">
        <v>13</v>
      </c>
      <c r="B74" s="123" t="str">
        <f t="shared" si="7"/>
        <v>Fresh Baby Spinach - سبانخ هولندي</v>
      </c>
      <c r="C74" s="123" t="str">
        <f t="shared" si="7"/>
        <v>gm</v>
      </c>
      <c r="D74" s="123">
        <f t="shared" si="7"/>
        <v>140</v>
      </c>
      <c r="E74" s="197">
        <f t="shared" si="11"/>
        <v>10.204081632653061</v>
      </c>
      <c r="F74" s="127">
        <f t="shared" si="8"/>
        <v>1</v>
      </c>
      <c r="G74" s="119">
        <f t="shared" si="9"/>
        <v>1428.5714285714284</v>
      </c>
      <c r="H74" s="120">
        <f t="shared" si="10"/>
        <v>1428.5714285714284</v>
      </c>
    </row>
    <row r="75" spans="1:8" ht="14.25" customHeight="1" x14ac:dyDescent="0.3">
      <c r="A75" s="270" t="s">
        <v>220</v>
      </c>
      <c r="B75" s="123" t="str">
        <f t="shared" si="7"/>
        <v>Orange Color - لون برتقالي</v>
      </c>
      <c r="C75" s="123" t="str">
        <f t="shared" si="7"/>
        <v>gm</v>
      </c>
      <c r="D75" s="123">
        <f t="shared" si="7"/>
        <v>2</v>
      </c>
      <c r="E75" s="197">
        <f t="shared" si="11"/>
        <v>10.204081632653061</v>
      </c>
      <c r="F75" s="127">
        <f t="shared" si="8"/>
        <v>0.75</v>
      </c>
      <c r="G75" s="119">
        <f t="shared" si="9"/>
        <v>20.408163265306122</v>
      </c>
      <c r="H75" s="120">
        <f t="shared" si="10"/>
        <v>15.306122448979592</v>
      </c>
    </row>
    <row r="76" spans="1:8" ht="14.25" customHeight="1" x14ac:dyDescent="0.3">
      <c r="A76" s="270" t="s">
        <v>186</v>
      </c>
      <c r="B76" s="123" t="str">
        <f t="shared" si="7"/>
        <v>Honey - عسل</v>
      </c>
      <c r="C76" s="123" t="str">
        <f t="shared" si="7"/>
        <v>gm</v>
      </c>
      <c r="D76" s="123">
        <f t="shared" si="7"/>
        <v>25</v>
      </c>
      <c r="E76" s="197">
        <f t="shared" si="11"/>
        <v>10.204081632653061</v>
      </c>
      <c r="F76" s="127">
        <f t="shared" si="8"/>
        <v>1</v>
      </c>
      <c r="G76" s="119">
        <f t="shared" si="9"/>
        <v>255.10204081632654</v>
      </c>
      <c r="H76" s="120">
        <f t="shared" si="10"/>
        <v>255.10204081632654</v>
      </c>
    </row>
    <row r="77" spans="1:8" ht="14.25" customHeight="1" x14ac:dyDescent="0.3">
      <c r="A77" s="270" t="s">
        <v>196</v>
      </c>
      <c r="B77" s="123" t="str">
        <f t="shared" si="7"/>
        <v>Tomato Ketchup - كاتشب طماطم</v>
      </c>
      <c r="C77" s="123" t="str">
        <f t="shared" si="7"/>
        <v>ml</v>
      </c>
      <c r="D77" s="123">
        <f t="shared" si="7"/>
        <v>40</v>
      </c>
      <c r="E77" s="197">
        <f t="shared" si="11"/>
        <v>10.204081632653061</v>
      </c>
      <c r="F77" s="127">
        <f t="shared" si="8"/>
        <v>1</v>
      </c>
      <c r="G77" s="119">
        <f t="shared" si="9"/>
        <v>408.16326530612241</v>
      </c>
      <c r="H77" s="120">
        <f t="shared" si="10"/>
        <v>408.16326530612241</v>
      </c>
    </row>
    <row r="78" spans="1:8" ht="20.25" customHeight="1" x14ac:dyDescent="0.3">
      <c r="A78" s="270" t="s">
        <v>196</v>
      </c>
      <c r="B78" s="123" t="str">
        <f t="shared" si="7"/>
        <v>Butter - زبدة</v>
      </c>
      <c r="C78" s="123" t="str">
        <f t="shared" si="7"/>
        <v>gm</v>
      </c>
      <c r="D78" s="123">
        <f t="shared" si="7"/>
        <v>30</v>
      </c>
      <c r="E78" s="197">
        <f t="shared" si="11"/>
        <v>10.204081632653061</v>
      </c>
      <c r="F78" s="127">
        <f t="shared" si="8"/>
        <v>1</v>
      </c>
      <c r="G78" s="119">
        <f>D78*E78</f>
        <v>306.12244897959181</v>
      </c>
      <c r="H78" s="120">
        <f>G78*F78</f>
        <v>306.12244897959181</v>
      </c>
    </row>
    <row r="79" spans="1:8" ht="14.25" customHeight="1" x14ac:dyDescent="0.3">
      <c r="A79" s="270" t="s">
        <v>196</v>
      </c>
      <c r="B79" s="123" t="str">
        <f t="shared" si="7"/>
        <v>Black Pepper Powder - فلفل أسود مطحون</v>
      </c>
      <c r="C79" s="123" t="str">
        <f t="shared" si="7"/>
        <v>gm</v>
      </c>
      <c r="D79" s="123">
        <f t="shared" si="7"/>
        <v>3</v>
      </c>
      <c r="E79" s="197">
        <f t="shared" si="11"/>
        <v>10.204081632653061</v>
      </c>
      <c r="F79" s="127">
        <f t="shared" si="8"/>
        <v>1</v>
      </c>
      <c r="G79" s="119">
        <f>D79*E79</f>
        <v>30.612244897959183</v>
      </c>
      <c r="H79" s="120">
        <f>G79*F79</f>
        <v>30.612244897959183</v>
      </c>
    </row>
    <row r="80" spans="1:8" x14ac:dyDescent="0.3">
      <c r="A80" s="270" t="s">
        <v>196</v>
      </c>
      <c r="B80" s="123" t="str">
        <f t="shared" si="7"/>
        <v>Olive Oil - زيت زيتون</v>
      </c>
      <c r="C80" s="123" t="str">
        <f t="shared" si="7"/>
        <v>gm</v>
      </c>
      <c r="D80" s="123">
        <f t="shared" si="7"/>
        <v>5</v>
      </c>
      <c r="E80" s="197">
        <f t="shared" si="11"/>
        <v>10.204081632653061</v>
      </c>
      <c r="F80" s="127">
        <f t="shared" si="8"/>
        <v>1</v>
      </c>
      <c r="G80" s="119">
        <f>D80*E80</f>
        <v>51.020408163265301</v>
      </c>
      <c r="H80" s="120">
        <f>G80*F80</f>
        <v>51.020408163265301</v>
      </c>
    </row>
    <row r="81" spans="1:8" x14ac:dyDescent="0.3">
      <c r="A81" s="270" t="s">
        <v>196</v>
      </c>
      <c r="B81" s="123" t="str">
        <f t="shared" si="7"/>
        <v>Salt - ملح</v>
      </c>
      <c r="C81" s="123" t="str">
        <f t="shared" si="7"/>
        <v>gm</v>
      </c>
      <c r="D81" s="123">
        <f t="shared" si="7"/>
        <v>5</v>
      </c>
      <c r="E81" s="197">
        <f t="shared" si="11"/>
        <v>10.204081632653061</v>
      </c>
      <c r="F81" s="127">
        <f t="shared" si="8"/>
        <v>1</v>
      </c>
      <c r="G81" s="119">
        <f>D81*E81</f>
        <v>51.020408163265301</v>
      </c>
      <c r="H81" s="120">
        <f>G81*F81</f>
        <v>51.020408163265301</v>
      </c>
    </row>
    <row r="82" spans="1:8" ht="18" x14ac:dyDescent="0.3">
      <c r="A82" s="211"/>
      <c r="B82" s="198" t="s">
        <v>364</v>
      </c>
      <c r="C82" s="200" t="s">
        <v>285</v>
      </c>
      <c r="D82" s="14"/>
      <c r="E82" s="200" t="s">
        <v>300</v>
      </c>
      <c r="F82" s="14"/>
      <c r="G82" s="890" t="s">
        <v>276</v>
      </c>
      <c r="H82" s="890" t="s">
        <v>744</v>
      </c>
    </row>
    <row r="83" spans="1:8" ht="20" x14ac:dyDescent="0.4">
      <c r="A83" s="211"/>
      <c r="B83" s="199">
        <f>$J$53</f>
        <v>15000</v>
      </c>
      <c r="C83" s="199">
        <f>E83+G83</f>
        <v>10000</v>
      </c>
      <c r="D83" s="930"/>
      <c r="E83" s="199">
        <f>$D$53*$S$44</f>
        <v>10000</v>
      </c>
      <c r="F83" s="934"/>
      <c r="G83" s="199">
        <f>$D$53*$T$44</f>
        <v>0</v>
      </c>
      <c r="H83" s="199">
        <f>B83+E83</f>
        <v>25000</v>
      </c>
    </row>
    <row r="85" spans="1:8" ht="18" x14ac:dyDescent="0.3">
      <c r="A85" s="938"/>
      <c r="B85" s="1382" t="str">
        <f>"لسان العصفور 2 / " &amp; COUNTIF($C$53:$C$55, "&gt;0")</f>
        <v>لسان العصفور 2 / 3</v>
      </c>
      <c r="C85" s="1382"/>
      <c r="D85" s="1382"/>
      <c r="E85" s="1382"/>
      <c r="F85" s="1382"/>
      <c r="G85" s="1382"/>
      <c r="H85" s="1382"/>
    </row>
    <row r="86" spans="1:8" ht="18" x14ac:dyDescent="0.3">
      <c r="A86" s="938"/>
      <c r="B86" s="1384" t="str">
        <f>"Orzo Pasta 2 / " &amp; COUNTIF($C$53:$C$55, "&gt;0")</f>
        <v>Orzo Pasta 2 / 3</v>
      </c>
      <c r="C86" s="1384"/>
      <c r="D86" s="1384"/>
      <c r="E86" s="1384"/>
      <c r="F86" s="1384"/>
      <c r="G86" s="1384"/>
      <c r="H86" s="1384"/>
    </row>
    <row r="87" spans="1:8" ht="44" customHeight="1" x14ac:dyDescent="0.3">
      <c r="A87" s="91"/>
      <c r="B87" s="91" t="s">
        <v>253</v>
      </c>
      <c r="C87" s="107" t="s">
        <v>254</v>
      </c>
      <c r="D87" s="91" t="s">
        <v>243</v>
      </c>
      <c r="E87" s="218" t="s">
        <v>246</v>
      </c>
      <c r="F87" s="108" t="s">
        <v>255</v>
      </c>
      <c r="G87" s="91" t="s">
        <v>256</v>
      </c>
      <c r="H87" s="218" t="s">
        <v>257</v>
      </c>
    </row>
    <row r="88" spans="1:8" x14ac:dyDescent="0.3">
      <c r="A88" s="270" t="s">
        <v>13</v>
      </c>
      <c r="B88" s="123" t="str">
        <f t="shared" ref="B88:D102" si="12">B5</f>
        <v>Pasta Orzo - مكرونة لسان عصفور</v>
      </c>
      <c r="C88" s="123" t="str">
        <f t="shared" si="12"/>
        <v>gm</v>
      </c>
      <c r="D88" s="123">
        <f t="shared" si="12"/>
        <v>600</v>
      </c>
      <c r="E88" s="197">
        <f>H54</f>
        <v>10</v>
      </c>
      <c r="F88" s="127">
        <f>F5</f>
        <v>1</v>
      </c>
      <c r="G88" s="119">
        <f>D88*E88</f>
        <v>6000</v>
      </c>
      <c r="H88" s="120">
        <f>G88*F88</f>
        <v>6000</v>
      </c>
    </row>
    <row r="89" spans="1:8" x14ac:dyDescent="0.3">
      <c r="A89" s="270" t="s">
        <v>13</v>
      </c>
      <c r="B89" s="123" t="str">
        <f t="shared" si="12"/>
        <v>Onion - بصل</v>
      </c>
      <c r="C89" s="123" t="str">
        <f t="shared" si="12"/>
        <v>gm</v>
      </c>
      <c r="D89" s="123">
        <f t="shared" si="12"/>
        <v>150</v>
      </c>
      <c r="E89" s="197">
        <f>$C$54</f>
        <v>10.204081632653061</v>
      </c>
      <c r="F89" s="127">
        <f t="shared" ref="F89:F104" si="13">F6</f>
        <v>0.95</v>
      </c>
      <c r="G89" s="119">
        <f t="shared" ref="G89:G100" si="14">D89*E89</f>
        <v>1530.612244897959</v>
      </c>
      <c r="H89" s="120">
        <f t="shared" ref="H89:H100" si="15">G89*F89</f>
        <v>1454.081632653061</v>
      </c>
    </row>
    <row r="90" spans="1:8" x14ac:dyDescent="0.3">
      <c r="A90" s="270" t="s">
        <v>13</v>
      </c>
      <c r="B90" s="123" t="str">
        <f t="shared" si="12"/>
        <v>Garlic - ثوم مقشر</v>
      </c>
      <c r="C90" s="123" t="str">
        <f t="shared" si="12"/>
        <v>gm</v>
      </c>
      <c r="D90" s="123">
        <f t="shared" si="12"/>
        <v>50</v>
      </c>
      <c r="E90" s="197">
        <f t="shared" ref="E90:E104" si="16">$C$54</f>
        <v>10.204081632653061</v>
      </c>
      <c r="F90" s="127">
        <f t="shared" si="13"/>
        <v>1</v>
      </c>
      <c r="G90" s="119">
        <f t="shared" si="14"/>
        <v>510.20408163265307</v>
      </c>
      <c r="H90" s="120">
        <f t="shared" si="15"/>
        <v>510.20408163265307</v>
      </c>
    </row>
    <row r="91" spans="1:8" x14ac:dyDescent="0.3">
      <c r="A91" s="270" t="s">
        <v>13</v>
      </c>
      <c r="B91" s="123" t="str">
        <f t="shared" si="12"/>
        <v>Tomato - طماطم</v>
      </c>
      <c r="C91" s="123" t="str">
        <f t="shared" si="12"/>
        <v>gm</v>
      </c>
      <c r="D91" s="123">
        <f t="shared" si="12"/>
        <v>250</v>
      </c>
      <c r="E91" s="197">
        <f t="shared" si="16"/>
        <v>10.204081632653061</v>
      </c>
      <c r="F91" s="127">
        <f t="shared" si="13"/>
        <v>1</v>
      </c>
      <c r="G91" s="119">
        <f t="shared" si="14"/>
        <v>2551.0204081632651</v>
      </c>
      <c r="H91" s="120">
        <f t="shared" si="15"/>
        <v>2551.0204081632651</v>
      </c>
    </row>
    <row r="92" spans="1:8" x14ac:dyDescent="0.3">
      <c r="A92" s="270" t="s">
        <v>196</v>
      </c>
      <c r="B92" s="123" t="str">
        <f t="shared" si="12"/>
        <v>Tomato Paste - صلصة طماطم</v>
      </c>
      <c r="C92" s="123" t="str">
        <f t="shared" si="12"/>
        <v>gm</v>
      </c>
      <c r="D92" s="123">
        <f t="shared" si="12"/>
        <v>300</v>
      </c>
      <c r="E92" s="197">
        <f t="shared" si="16"/>
        <v>10.204081632653061</v>
      </c>
      <c r="F92" s="127">
        <f t="shared" si="13"/>
        <v>1</v>
      </c>
      <c r="G92" s="119">
        <f t="shared" si="14"/>
        <v>3061.2244897959181</v>
      </c>
      <c r="H92" s="120">
        <f t="shared" si="15"/>
        <v>3061.2244897959181</v>
      </c>
    </row>
    <row r="93" spans="1:8" x14ac:dyDescent="0.3">
      <c r="A93" s="270" t="s">
        <v>97</v>
      </c>
      <c r="B93" s="123" t="str">
        <f t="shared" si="12"/>
        <v>Paprika Powder - بابريكا مطحون</v>
      </c>
      <c r="C93" s="123" t="str">
        <f t="shared" si="12"/>
        <v>gm</v>
      </c>
      <c r="D93" s="123">
        <f t="shared" si="12"/>
        <v>2</v>
      </c>
      <c r="E93" s="197">
        <f t="shared" si="16"/>
        <v>10.204081632653061</v>
      </c>
      <c r="F93" s="127">
        <f t="shared" si="13"/>
        <v>0.75</v>
      </c>
      <c r="G93" s="119">
        <f t="shared" si="14"/>
        <v>20.408163265306122</v>
      </c>
      <c r="H93" s="120">
        <f t="shared" si="15"/>
        <v>15.306122448979592</v>
      </c>
    </row>
    <row r="94" spans="1:8" x14ac:dyDescent="0.3">
      <c r="A94" s="270" t="s">
        <v>83</v>
      </c>
      <c r="B94" s="123" t="str">
        <f t="shared" si="12"/>
        <v>Dry Oregano - أوريجانو مجفف</v>
      </c>
      <c r="C94" s="123" t="str">
        <f t="shared" si="12"/>
        <v>gm</v>
      </c>
      <c r="D94" s="123">
        <f t="shared" si="12"/>
        <v>1</v>
      </c>
      <c r="E94" s="197">
        <f t="shared" si="16"/>
        <v>10.204081632653061</v>
      </c>
      <c r="F94" s="127">
        <f t="shared" si="13"/>
        <v>0.75</v>
      </c>
      <c r="G94" s="119">
        <f t="shared" si="14"/>
        <v>10.204081632653061</v>
      </c>
      <c r="H94" s="120">
        <f t="shared" si="15"/>
        <v>7.6530612244897958</v>
      </c>
    </row>
    <row r="95" spans="1:8" x14ac:dyDescent="0.3">
      <c r="A95" s="270" t="s">
        <v>83</v>
      </c>
      <c r="B95" s="123" t="str">
        <f t="shared" si="12"/>
        <v>Dry Basil - ريحان مجفف</v>
      </c>
      <c r="C95" s="123" t="str">
        <f t="shared" si="12"/>
        <v>gm</v>
      </c>
      <c r="D95" s="123">
        <f t="shared" si="12"/>
        <v>1</v>
      </c>
      <c r="E95" s="197">
        <f t="shared" si="16"/>
        <v>10.204081632653061</v>
      </c>
      <c r="F95" s="127">
        <f t="shared" si="13"/>
        <v>0.75</v>
      </c>
      <c r="G95" s="119">
        <f t="shared" si="14"/>
        <v>10.204081632653061</v>
      </c>
      <c r="H95" s="120">
        <f t="shared" si="15"/>
        <v>7.6530612244897958</v>
      </c>
    </row>
    <row r="96" spans="1:8" x14ac:dyDescent="0.3">
      <c r="A96" s="270" t="s">
        <v>97</v>
      </c>
      <c r="B96" s="123" t="str">
        <f t="shared" si="12"/>
        <v>Salt - ملح</v>
      </c>
      <c r="C96" s="123" t="str">
        <f t="shared" si="12"/>
        <v>gm</v>
      </c>
      <c r="D96" s="123">
        <f t="shared" si="12"/>
        <v>11</v>
      </c>
      <c r="E96" s="197">
        <f t="shared" si="16"/>
        <v>10.204081632653061</v>
      </c>
      <c r="F96" s="127">
        <f t="shared" si="13"/>
        <v>0.75</v>
      </c>
      <c r="G96" s="119">
        <f t="shared" si="14"/>
        <v>112.24489795918367</v>
      </c>
      <c r="H96" s="120">
        <f t="shared" si="15"/>
        <v>84.183673469387756</v>
      </c>
    </row>
    <row r="97" spans="1:8" x14ac:dyDescent="0.3">
      <c r="A97" s="270" t="s">
        <v>13</v>
      </c>
      <c r="B97" s="123" t="str">
        <f t="shared" si="12"/>
        <v>Fresh Baby Spinach - سبانخ هولندي</v>
      </c>
      <c r="C97" s="123" t="str">
        <f t="shared" si="12"/>
        <v>gm</v>
      </c>
      <c r="D97" s="123">
        <f t="shared" si="12"/>
        <v>140</v>
      </c>
      <c r="E97" s="197">
        <f t="shared" si="16"/>
        <v>10.204081632653061</v>
      </c>
      <c r="F97" s="127">
        <f t="shared" si="13"/>
        <v>1</v>
      </c>
      <c r="G97" s="119">
        <f t="shared" si="14"/>
        <v>1428.5714285714284</v>
      </c>
      <c r="H97" s="120">
        <f t="shared" si="15"/>
        <v>1428.5714285714284</v>
      </c>
    </row>
    <row r="98" spans="1:8" x14ac:dyDescent="0.3">
      <c r="A98" s="270" t="s">
        <v>220</v>
      </c>
      <c r="B98" s="123" t="str">
        <f t="shared" si="12"/>
        <v>Orange Color - لون برتقالي</v>
      </c>
      <c r="C98" s="123" t="str">
        <f t="shared" si="12"/>
        <v>gm</v>
      </c>
      <c r="D98" s="123">
        <f t="shared" si="12"/>
        <v>2</v>
      </c>
      <c r="E98" s="197">
        <f t="shared" si="16"/>
        <v>10.204081632653061</v>
      </c>
      <c r="F98" s="127">
        <f t="shared" si="13"/>
        <v>0.75</v>
      </c>
      <c r="G98" s="119">
        <f t="shared" si="14"/>
        <v>20.408163265306122</v>
      </c>
      <c r="H98" s="120">
        <f t="shared" si="15"/>
        <v>15.306122448979592</v>
      </c>
    </row>
    <row r="99" spans="1:8" x14ac:dyDescent="0.3">
      <c r="A99" s="270" t="s">
        <v>186</v>
      </c>
      <c r="B99" s="123" t="str">
        <f t="shared" si="12"/>
        <v>Honey - عسل</v>
      </c>
      <c r="C99" s="123" t="str">
        <f t="shared" si="12"/>
        <v>gm</v>
      </c>
      <c r="D99" s="123">
        <f t="shared" si="12"/>
        <v>25</v>
      </c>
      <c r="E99" s="197">
        <f t="shared" si="16"/>
        <v>10.204081632653061</v>
      </c>
      <c r="F99" s="127">
        <f t="shared" si="13"/>
        <v>1</v>
      </c>
      <c r="G99" s="119">
        <f t="shared" si="14"/>
        <v>255.10204081632654</v>
      </c>
      <c r="H99" s="120">
        <f t="shared" si="15"/>
        <v>255.10204081632654</v>
      </c>
    </row>
    <row r="100" spans="1:8" x14ac:dyDescent="0.3">
      <c r="A100" s="270" t="s">
        <v>196</v>
      </c>
      <c r="B100" s="123" t="str">
        <f t="shared" si="12"/>
        <v>Tomato Ketchup - كاتشب طماطم</v>
      </c>
      <c r="C100" s="123" t="str">
        <f t="shared" si="12"/>
        <v>ml</v>
      </c>
      <c r="D100" s="123">
        <f t="shared" si="12"/>
        <v>40</v>
      </c>
      <c r="E100" s="197">
        <f t="shared" si="16"/>
        <v>10.204081632653061</v>
      </c>
      <c r="F100" s="127">
        <f t="shared" si="13"/>
        <v>1</v>
      </c>
      <c r="G100" s="119">
        <f t="shared" si="14"/>
        <v>408.16326530612241</v>
      </c>
      <c r="H100" s="120">
        <f t="shared" si="15"/>
        <v>408.16326530612241</v>
      </c>
    </row>
    <row r="101" spans="1:8" x14ac:dyDescent="0.3">
      <c r="A101" s="270" t="s">
        <v>196</v>
      </c>
      <c r="B101" s="123" t="str">
        <f t="shared" si="12"/>
        <v>Butter - زبدة</v>
      </c>
      <c r="C101" s="123" t="str">
        <f t="shared" si="12"/>
        <v>gm</v>
      </c>
      <c r="D101" s="123">
        <f t="shared" si="12"/>
        <v>30</v>
      </c>
      <c r="E101" s="197">
        <f t="shared" si="16"/>
        <v>10.204081632653061</v>
      </c>
      <c r="F101" s="127">
        <f t="shared" si="13"/>
        <v>1</v>
      </c>
      <c r="G101" s="119">
        <f>D101*E101</f>
        <v>306.12244897959181</v>
      </c>
      <c r="H101" s="120">
        <f>G101*F101</f>
        <v>306.12244897959181</v>
      </c>
    </row>
    <row r="102" spans="1:8" x14ac:dyDescent="0.3">
      <c r="A102" s="270" t="s">
        <v>196</v>
      </c>
      <c r="B102" s="123" t="str">
        <f t="shared" si="12"/>
        <v>Black Pepper Powder - فلفل أسود مطحون</v>
      </c>
      <c r="C102" s="123" t="str">
        <f t="shared" si="12"/>
        <v>gm</v>
      </c>
      <c r="D102" s="123">
        <f t="shared" si="12"/>
        <v>3</v>
      </c>
      <c r="E102" s="197">
        <f t="shared" si="16"/>
        <v>10.204081632653061</v>
      </c>
      <c r="F102" s="127">
        <f t="shared" si="13"/>
        <v>1</v>
      </c>
      <c r="G102" s="119">
        <f>D102*E102</f>
        <v>30.612244897959183</v>
      </c>
      <c r="H102" s="120">
        <f>G102*F102</f>
        <v>30.612244897959183</v>
      </c>
    </row>
    <row r="103" spans="1:8" x14ac:dyDescent="0.3">
      <c r="A103" s="270" t="s">
        <v>196</v>
      </c>
      <c r="B103" s="123" t="str">
        <f t="shared" ref="B103:D104" si="17">B20</f>
        <v>Olive Oil - زيت زيتون</v>
      </c>
      <c r="C103" s="123" t="str">
        <f t="shared" si="17"/>
        <v>gm</v>
      </c>
      <c r="D103" s="123">
        <f t="shared" si="17"/>
        <v>5</v>
      </c>
      <c r="E103" s="197">
        <f t="shared" si="16"/>
        <v>10.204081632653061</v>
      </c>
      <c r="F103" s="127">
        <f t="shared" si="13"/>
        <v>1</v>
      </c>
      <c r="G103" s="119">
        <f>D103*E103</f>
        <v>51.020408163265301</v>
      </c>
      <c r="H103" s="120">
        <f>G103*F103</f>
        <v>51.020408163265301</v>
      </c>
    </row>
    <row r="104" spans="1:8" x14ac:dyDescent="0.3">
      <c r="A104" s="270" t="s">
        <v>196</v>
      </c>
      <c r="B104" s="123" t="str">
        <f t="shared" si="17"/>
        <v>Salt - ملح</v>
      </c>
      <c r="C104" s="123" t="str">
        <f t="shared" si="17"/>
        <v>gm</v>
      </c>
      <c r="D104" s="123">
        <f t="shared" si="17"/>
        <v>5</v>
      </c>
      <c r="E104" s="197">
        <f t="shared" si="16"/>
        <v>10.204081632653061</v>
      </c>
      <c r="F104" s="127">
        <f t="shared" si="13"/>
        <v>1</v>
      </c>
      <c r="G104" s="119">
        <f>D104*E104</f>
        <v>51.020408163265301</v>
      </c>
      <c r="H104" s="120">
        <f>G104*F104</f>
        <v>51.020408163265301</v>
      </c>
    </row>
    <row r="105" spans="1:8" ht="18" x14ac:dyDescent="0.3">
      <c r="B105" s="198" t="s">
        <v>364</v>
      </c>
      <c r="C105" s="200" t="s">
        <v>285</v>
      </c>
      <c r="D105" s="14"/>
      <c r="E105" s="200" t="s">
        <v>300</v>
      </c>
      <c r="F105" s="14"/>
      <c r="G105" s="890" t="s">
        <v>276</v>
      </c>
      <c r="H105" s="890" t="s">
        <v>744</v>
      </c>
    </row>
    <row r="106" spans="1:8" ht="20" x14ac:dyDescent="0.4">
      <c r="B106" s="199">
        <f>$J$54</f>
        <v>15000</v>
      </c>
      <c r="C106" s="199">
        <f>E106+G106</f>
        <v>10000</v>
      </c>
      <c r="D106" s="930"/>
      <c r="E106" s="199">
        <f>$D$54*$S$44</f>
        <v>10000</v>
      </c>
      <c r="F106" s="934"/>
      <c r="G106" s="199">
        <f>$D$54*$T$44</f>
        <v>0</v>
      </c>
      <c r="H106" s="199">
        <f>B106+E106</f>
        <v>25000</v>
      </c>
    </row>
    <row r="109" spans="1:8" ht="18" x14ac:dyDescent="0.3">
      <c r="A109" s="938"/>
      <c r="B109" s="1382" t="str">
        <f>"لسان العصفور 3 / " &amp; COUNTIF($C$53:$C$55, "&gt;0")</f>
        <v>لسان العصفور 3 / 3</v>
      </c>
      <c r="C109" s="1382"/>
      <c r="D109" s="1382"/>
      <c r="E109" s="1382"/>
      <c r="F109" s="1382"/>
      <c r="G109" s="1382"/>
      <c r="H109" s="1382"/>
    </row>
    <row r="110" spans="1:8" ht="18" x14ac:dyDescent="0.3">
      <c r="A110" s="938"/>
      <c r="B110" s="1384" t="str">
        <f>"Orzo Pasta 3 / " &amp; COUNTIF($C$53:$C$55, "&gt;0")</f>
        <v>Orzo Pasta 3 / 3</v>
      </c>
      <c r="C110" s="1384"/>
      <c r="D110" s="1384"/>
      <c r="E110" s="1384"/>
      <c r="F110" s="1384"/>
      <c r="G110" s="1384"/>
      <c r="H110" s="1384"/>
    </row>
    <row r="111" spans="1:8" ht="42.5" customHeight="1" x14ac:dyDescent="0.3">
      <c r="A111" s="91"/>
      <c r="B111" s="91" t="s">
        <v>253</v>
      </c>
      <c r="C111" s="107" t="s">
        <v>254</v>
      </c>
      <c r="D111" s="91" t="s">
        <v>243</v>
      </c>
      <c r="E111" s="218" t="s">
        <v>246</v>
      </c>
      <c r="F111" s="108" t="s">
        <v>255</v>
      </c>
      <c r="G111" s="91" t="s">
        <v>256</v>
      </c>
      <c r="H111" s="218" t="s">
        <v>257</v>
      </c>
    </row>
    <row r="112" spans="1:8" x14ac:dyDescent="0.3">
      <c r="A112" s="270" t="s">
        <v>13</v>
      </c>
      <c r="B112" s="123" t="str">
        <f t="shared" ref="B112:D128" si="18">B5</f>
        <v>Pasta Orzo - مكرونة لسان عصفور</v>
      </c>
      <c r="C112" s="123" t="str">
        <f t="shared" si="18"/>
        <v>gm</v>
      </c>
      <c r="D112" s="123">
        <f t="shared" si="18"/>
        <v>600</v>
      </c>
      <c r="E112" s="197">
        <f>$H$55</f>
        <v>1.0960000000000001</v>
      </c>
      <c r="F112" s="127">
        <f>F5</f>
        <v>1</v>
      </c>
      <c r="G112" s="119">
        <f>D112*E112</f>
        <v>657.6</v>
      </c>
      <c r="H112" s="120">
        <f>G112*F112</f>
        <v>657.6</v>
      </c>
    </row>
    <row r="113" spans="1:8" x14ac:dyDescent="0.3">
      <c r="A113" s="270" t="s">
        <v>13</v>
      </c>
      <c r="B113" s="123" t="str">
        <f t="shared" si="18"/>
        <v>Onion - بصل</v>
      </c>
      <c r="C113" s="123" t="str">
        <f t="shared" si="18"/>
        <v>gm</v>
      </c>
      <c r="D113" s="123">
        <f t="shared" si="18"/>
        <v>150</v>
      </c>
      <c r="E113" s="197">
        <f>$C$55</f>
        <v>1.1183673469387756</v>
      </c>
      <c r="F113" s="127">
        <f t="shared" ref="F113:F128" si="19">F6</f>
        <v>0.95</v>
      </c>
      <c r="G113" s="119">
        <f t="shared" ref="G113:G124" si="20">D113*E113</f>
        <v>167.75510204081633</v>
      </c>
      <c r="H113" s="120">
        <f t="shared" ref="H113:H124" si="21">G113*F113</f>
        <v>159.36734693877551</v>
      </c>
    </row>
    <row r="114" spans="1:8" x14ac:dyDescent="0.3">
      <c r="A114" s="270" t="s">
        <v>13</v>
      </c>
      <c r="B114" s="123" t="str">
        <f t="shared" si="18"/>
        <v>Garlic - ثوم مقشر</v>
      </c>
      <c r="C114" s="123" t="str">
        <f t="shared" si="18"/>
        <v>gm</v>
      </c>
      <c r="D114" s="123">
        <f t="shared" si="18"/>
        <v>50</v>
      </c>
      <c r="E114" s="197">
        <f t="shared" ref="E114:E128" si="22">$C$55</f>
        <v>1.1183673469387756</v>
      </c>
      <c r="F114" s="127">
        <f t="shared" si="19"/>
        <v>1</v>
      </c>
      <c r="G114" s="119">
        <f t="shared" si="20"/>
        <v>55.91836734693878</v>
      </c>
      <c r="H114" s="120">
        <f t="shared" si="21"/>
        <v>55.91836734693878</v>
      </c>
    </row>
    <row r="115" spans="1:8" x14ac:dyDescent="0.3">
      <c r="A115" s="270" t="s">
        <v>13</v>
      </c>
      <c r="B115" s="123" t="str">
        <f t="shared" si="18"/>
        <v>Tomato - طماطم</v>
      </c>
      <c r="C115" s="123" t="str">
        <f t="shared" si="18"/>
        <v>gm</v>
      </c>
      <c r="D115" s="123">
        <f t="shared" si="18"/>
        <v>250</v>
      </c>
      <c r="E115" s="197">
        <f t="shared" si="22"/>
        <v>1.1183673469387756</v>
      </c>
      <c r="F115" s="127">
        <f t="shared" si="19"/>
        <v>1</v>
      </c>
      <c r="G115" s="119">
        <f t="shared" si="20"/>
        <v>279.59183673469391</v>
      </c>
      <c r="H115" s="120">
        <f t="shared" si="21"/>
        <v>279.59183673469391</v>
      </c>
    </row>
    <row r="116" spans="1:8" x14ac:dyDescent="0.3">
      <c r="A116" s="270" t="s">
        <v>196</v>
      </c>
      <c r="B116" s="123" t="str">
        <f t="shared" si="18"/>
        <v>Tomato Paste - صلصة طماطم</v>
      </c>
      <c r="C116" s="123" t="str">
        <f t="shared" si="18"/>
        <v>gm</v>
      </c>
      <c r="D116" s="123">
        <f t="shared" si="18"/>
        <v>300</v>
      </c>
      <c r="E116" s="197">
        <f t="shared" si="22"/>
        <v>1.1183673469387756</v>
      </c>
      <c r="F116" s="127">
        <f t="shared" si="19"/>
        <v>1</v>
      </c>
      <c r="G116" s="119">
        <f t="shared" si="20"/>
        <v>335.51020408163265</v>
      </c>
      <c r="H116" s="120">
        <f t="shared" si="21"/>
        <v>335.51020408163265</v>
      </c>
    </row>
    <row r="117" spans="1:8" x14ac:dyDescent="0.3">
      <c r="A117" s="270" t="s">
        <v>97</v>
      </c>
      <c r="B117" s="123" t="str">
        <f t="shared" si="18"/>
        <v>Paprika Powder - بابريكا مطحون</v>
      </c>
      <c r="C117" s="123" t="str">
        <f t="shared" si="18"/>
        <v>gm</v>
      </c>
      <c r="D117" s="123">
        <f t="shared" si="18"/>
        <v>2</v>
      </c>
      <c r="E117" s="197">
        <f t="shared" si="22"/>
        <v>1.1183673469387756</v>
      </c>
      <c r="F117" s="127">
        <f t="shared" si="19"/>
        <v>0.75</v>
      </c>
      <c r="G117" s="119">
        <f t="shared" si="20"/>
        <v>2.2367346938775512</v>
      </c>
      <c r="H117" s="120">
        <f t="shared" si="21"/>
        <v>1.6775510204081634</v>
      </c>
    </row>
    <row r="118" spans="1:8" x14ac:dyDescent="0.3">
      <c r="A118" s="270" t="s">
        <v>83</v>
      </c>
      <c r="B118" s="123" t="str">
        <f t="shared" si="18"/>
        <v>Dry Oregano - أوريجانو مجفف</v>
      </c>
      <c r="C118" s="123" t="str">
        <f t="shared" si="18"/>
        <v>gm</v>
      </c>
      <c r="D118" s="123">
        <f t="shared" si="18"/>
        <v>1</v>
      </c>
      <c r="E118" s="197">
        <f t="shared" si="22"/>
        <v>1.1183673469387756</v>
      </c>
      <c r="F118" s="127">
        <f t="shared" si="19"/>
        <v>0.75</v>
      </c>
      <c r="G118" s="119">
        <f t="shared" si="20"/>
        <v>1.1183673469387756</v>
      </c>
      <c r="H118" s="120">
        <f t="shared" si="21"/>
        <v>0.8387755102040817</v>
      </c>
    </row>
    <row r="119" spans="1:8" x14ac:dyDescent="0.3">
      <c r="A119" s="270" t="s">
        <v>83</v>
      </c>
      <c r="B119" s="123" t="str">
        <f t="shared" si="18"/>
        <v>Dry Basil - ريحان مجفف</v>
      </c>
      <c r="C119" s="123" t="str">
        <f t="shared" si="18"/>
        <v>gm</v>
      </c>
      <c r="D119" s="123">
        <f t="shared" si="18"/>
        <v>1</v>
      </c>
      <c r="E119" s="197">
        <f t="shared" si="22"/>
        <v>1.1183673469387756</v>
      </c>
      <c r="F119" s="127">
        <f t="shared" si="19"/>
        <v>0.75</v>
      </c>
      <c r="G119" s="119">
        <f t="shared" si="20"/>
        <v>1.1183673469387756</v>
      </c>
      <c r="H119" s="120">
        <f t="shared" si="21"/>
        <v>0.8387755102040817</v>
      </c>
    </row>
    <row r="120" spans="1:8" x14ac:dyDescent="0.3">
      <c r="A120" s="270" t="s">
        <v>97</v>
      </c>
      <c r="B120" s="123" t="str">
        <f t="shared" si="18"/>
        <v>Salt - ملح</v>
      </c>
      <c r="C120" s="123" t="str">
        <f t="shared" si="18"/>
        <v>gm</v>
      </c>
      <c r="D120" s="123">
        <f t="shared" si="18"/>
        <v>11</v>
      </c>
      <c r="E120" s="197">
        <f t="shared" si="22"/>
        <v>1.1183673469387756</v>
      </c>
      <c r="F120" s="127">
        <f t="shared" si="19"/>
        <v>0.75</v>
      </c>
      <c r="G120" s="119">
        <f t="shared" si="20"/>
        <v>12.302040816326532</v>
      </c>
      <c r="H120" s="120">
        <f t="shared" si="21"/>
        <v>9.2265306122448987</v>
      </c>
    </row>
    <row r="121" spans="1:8" x14ac:dyDescent="0.3">
      <c r="A121" s="270" t="s">
        <v>13</v>
      </c>
      <c r="B121" s="123" t="str">
        <f t="shared" si="18"/>
        <v>Fresh Baby Spinach - سبانخ هولندي</v>
      </c>
      <c r="C121" s="123" t="str">
        <f t="shared" si="18"/>
        <v>gm</v>
      </c>
      <c r="D121" s="123">
        <f t="shared" si="18"/>
        <v>140</v>
      </c>
      <c r="E121" s="197">
        <f t="shared" si="22"/>
        <v>1.1183673469387756</v>
      </c>
      <c r="F121" s="127">
        <f t="shared" si="19"/>
        <v>1</v>
      </c>
      <c r="G121" s="119">
        <f t="shared" si="20"/>
        <v>156.57142857142858</v>
      </c>
      <c r="H121" s="120">
        <f t="shared" si="21"/>
        <v>156.57142857142858</v>
      </c>
    </row>
    <row r="122" spans="1:8" x14ac:dyDescent="0.3">
      <c r="A122" s="270" t="s">
        <v>220</v>
      </c>
      <c r="B122" s="123" t="str">
        <f t="shared" si="18"/>
        <v>Orange Color - لون برتقالي</v>
      </c>
      <c r="C122" s="123" t="str">
        <f t="shared" si="18"/>
        <v>gm</v>
      </c>
      <c r="D122" s="123">
        <f t="shared" si="18"/>
        <v>2</v>
      </c>
      <c r="E122" s="197">
        <f t="shared" si="22"/>
        <v>1.1183673469387756</v>
      </c>
      <c r="F122" s="127">
        <f t="shared" si="19"/>
        <v>0.75</v>
      </c>
      <c r="G122" s="119">
        <f t="shared" si="20"/>
        <v>2.2367346938775512</v>
      </c>
      <c r="H122" s="120">
        <f t="shared" si="21"/>
        <v>1.6775510204081634</v>
      </c>
    </row>
    <row r="123" spans="1:8" x14ac:dyDescent="0.3">
      <c r="A123" s="270" t="s">
        <v>186</v>
      </c>
      <c r="B123" s="123" t="str">
        <f t="shared" si="18"/>
        <v>Honey - عسل</v>
      </c>
      <c r="C123" s="123" t="str">
        <f t="shared" si="18"/>
        <v>gm</v>
      </c>
      <c r="D123" s="123">
        <f t="shared" si="18"/>
        <v>25</v>
      </c>
      <c r="E123" s="197">
        <f t="shared" si="22"/>
        <v>1.1183673469387756</v>
      </c>
      <c r="F123" s="127">
        <f t="shared" si="19"/>
        <v>1</v>
      </c>
      <c r="G123" s="119">
        <f t="shared" si="20"/>
        <v>27.95918367346939</v>
      </c>
      <c r="H123" s="120">
        <f t="shared" si="21"/>
        <v>27.95918367346939</v>
      </c>
    </row>
    <row r="124" spans="1:8" x14ac:dyDescent="0.3">
      <c r="A124" s="270" t="s">
        <v>196</v>
      </c>
      <c r="B124" s="123" t="str">
        <f t="shared" si="18"/>
        <v>Tomato Ketchup - كاتشب طماطم</v>
      </c>
      <c r="C124" s="123" t="str">
        <f t="shared" si="18"/>
        <v>ml</v>
      </c>
      <c r="D124" s="123">
        <f t="shared" si="18"/>
        <v>40</v>
      </c>
      <c r="E124" s="197">
        <f t="shared" si="22"/>
        <v>1.1183673469387756</v>
      </c>
      <c r="F124" s="127">
        <f t="shared" si="19"/>
        <v>1</v>
      </c>
      <c r="G124" s="119">
        <f t="shared" si="20"/>
        <v>44.734693877551024</v>
      </c>
      <c r="H124" s="120">
        <f t="shared" si="21"/>
        <v>44.734693877551024</v>
      </c>
    </row>
    <row r="125" spans="1:8" x14ac:dyDescent="0.3">
      <c r="A125" s="270" t="s">
        <v>196</v>
      </c>
      <c r="B125" s="123" t="str">
        <f t="shared" si="18"/>
        <v>Butter - زبدة</v>
      </c>
      <c r="C125" s="123" t="str">
        <f t="shared" si="18"/>
        <v>gm</v>
      </c>
      <c r="D125" s="123">
        <f t="shared" si="18"/>
        <v>30</v>
      </c>
      <c r="E125" s="197">
        <f t="shared" si="22"/>
        <v>1.1183673469387756</v>
      </c>
      <c r="F125" s="127">
        <f t="shared" si="19"/>
        <v>1</v>
      </c>
      <c r="G125" s="119">
        <f>D125*E125</f>
        <v>33.551020408163268</v>
      </c>
      <c r="H125" s="120">
        <f>G125*F125</f>
        <v>33.551020408163268</v>
      </c>
    </row>
    <row r="126" spans="1:8" x14ac:dyDescent="0.3">
      <c r="A126" s="270" t="s">
        <v>196</v>
      </c>
      <c r="B126" s="123" t="str">
        <f t="shared" si="18"/>
        <v>Black Pepper Powder - فلفل أسود مطحون</v>
      </c>
      <c r="C126" s="123" t="str">
        <f t="shared" si="18"/>
        <v>gm</v>
      </c>
      <c r="D126" s="123">
        <f t="shared" si="18"/>
        <v>3</v>
      </c>
      <c r="E126" s="197">
        <f t="shared" si="22"/>
        <v>1.1183673469387756</v>
      </c>
      <c r="F126" s="127">
        <f t="shared" si="19"/>
        <v>1</v>
      </c>
      <c r="G126" s="119">
        <f>D126*E126</f>
        <v>3.3551020408163268</v>
      </c>
      <c r="H126" s="120">
        <f>G126*F126</f>
        <v>3.3551020408163268</v>
      </c>
    </row>
    <row r="127" spans="1:8" x14ac:dyDescent="0.3">
      <c r="A127" s="270" t="s">
        <v>196</v>
      </c>
      <c r="B127" s="123" t="str">
        <f t="shared" si="18"/>
        <v>Olive Oil - زيت زيتون</v>
      </c>
      <c r="C127" s="123" t="str">
        <f t="shared" si="18"/>
        <v>gm</v>
      </c>
      <c r="D127" s="123">
        <f t="shared" si="18"/>
        <v>5</v>
      </c>
      <c r="E127" s="197">
        <f t="shared" si="22"/>
        <v>1.1183673469387756</v>
      </c>
      <c r="F127" s="127">
        <f t="shared" si="19"/>
        <v>1</v>
      </c>
      <c r="G127" s="119">
        <f>D127*E127</f>
        <v>5.591836734693878</v>
      </c>
      <c r="H127" s="120">
        <f>G127*F127</f>
        <v>5.591836734693878</v>
      </c>
    </row>
    <row r="128" spans="1:8" x14ac:dyDescent="0.3">
      <c r="A128" s="270" t="s">
        <v>196</v>
      </c>
      <c r="B128" s="123" t="str">
        <f t="shared" si="18"/>
        <v>Salt - ملح</v>
      </c>
      <c r="C128" s="123" t="str">
        <f t="shared" si="18"/>
        <v>gm</v>
      </c>
      <c r="D128" s="123">
        <f t="shared" si="18"/>
        <v>5</v>
      </c>
      <c r="E128" s="197">
        <f t="shared" si="22"/>
        <v>1.1183673469387756</v>
      </c>
      <c r="F128" s="127">
        <f t="shared" si="19"/>
        <v>1</v>
      </c>
      <c r="G128" s="119">
        <f>D128*E128</f>
        <v>5.591836734693878</v>
      </c>
      <c r="H128" s="120">
        <f>G128*F128</f>
        <v>5.591836734693878</v>
      </c>
    </row>
    <row r="129" spans="2:8" ht="18" x14ac:dyDescent="0.3">
      <c r="B129" s="198" t="s">
        <v>364</v>
      </c>
      <c r="C129" s="200" t="s">
        <v>285</v>
      </c>
      <c r="D129" s="14"/>
      <c r="E129" s="200" t="s">
        <v>300</v>
      </c>
      <c r="F129" s="14"/>
      <c r="G129" s="890" t="s">
        <v>276</v>
      </c>
      <c r="H129" s="890" t="s">
        <v>744</v>
      </c>
    </row>
    <row r="130" spans="2:8" ht="20" x14ac:dyDescent="0.4">
      <c r="B130" s="199">
        <f>$J$55</f>
        <v>1644</v>
      </c>
      <c r="C130" s="199">
        <f>E130+G130</f>
        <v>1096</v>
      </c>
      <c r="D130" s="930"/>
      <c r="E130" s="199">
        <f>$D$55*$S$44</f>
        <v>1096</v>
      </c>
      <c r="F130" s="934"/>
      <c r="G130" s="199">
        <f>$D$55*$T$44</f>
        <v>0</v>
      </c>
      <c r="H130" s="199">
        <f>B130+E130</f>
        <v>2740</v>
      </c>
    </row>
  </sheetData>
  <mergeCells count="10">
    <mergeCell ref="AE2:AG3"/>
    <mergeCell ref="F2:G3"/>
    <mergeCell ref="R26:U26"/>
    <mergeCell ref="R25:U25"/>
    <mergeCell ref="B109:H109"/>
    <mergeCell ref="B110:H110"/>
    <mergeCell ref="B85:H85"/>
    <mergeCell ref="B86:H86"/>
    <mergeCell ref="B62:H62"/>
    <mergeCell ref="B63:H63"/>
  </mergeCells>
  <printOptions horizontalCentered="1"/>
  <pageMargins left="0.5" right="0.5" top="1" bottom="0.5" header="0.3" footer="0.511811023622047"/>
  <pageSetup paperSize="9" scale="28" orientation="portrait" r:id="rId1"/>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DFE2E-E8C4-43F7-BA6D-11A24BB0DFDA}">
  <sheetPr codeName="Sheet79">
    <tabColor theme="6" tint="-0.249977111117893"/>
    <pageSetUpPr fitToPage="1"/>
  </sheetPr>
  <dimension ref="A1:AT973"/>
  <sheetViews>
    <sheetView topLeftCell="A16" zoomScaleNormal="100" workbookViewId="0">
      <selection activeCell="I36" sqref="I36:L37"/>
    </sheetView>
  </sheetViews>
  <sheetFormatPr defaultColWidth="12.5" defaultRowHeight="12.5" x14ac:dyDescent="0.25"/>
  <cols>
    <col min="1" max="1" width="12.5" style="14" customWidth="1"/>
    <col min="2" max="2" width="38.33203125" style="14" customWidth="1"/>
    <col min="3" max="3" width="24" style="14" customWidth="1"/>
    <col min="4" max="4" width="19" style="14" customWidth="1"/>
    <col min="5" max="5" width="16.1640625" style="14" customWidth="1"/>
    <col min="6" max="6" width="23.08203125" style="14" customWidth="1"/>
    <col min="7" max="7" width="22.33203125" style="14" customWidth="1"/>
    <col min="8" max="8" width="36.1640625" style="14" customWidth="1"/>
    <col min="9" max="11" width="12.5" style="14" customWidth="1"/>
    <col min="12" max="12" width="8.33203125" style="14" customWidth="1"/>
    <col min="13" max="13" width="11.9140625" style="14" customWidth="1"/>
    <col min="14" max="14" width="8.83203125" style="14" customWidth="1"/>
    <col min="15" max="15" width="31.33203125" style="14" bestFit="1" customWidth="1"/>
    <col min="16" max="18" width="12.5" style="14" customWidth="1"/>
    <col min="19" max="19" width="15.9140625" style="14" customWidth="1"/>
    <col min="20" max="27" width="12.5" style="14" customWidth="1"/>
    <col min="28" max="28" width="11.75" style="14" bestFit="1" customWidth="1"/>
    <col min="29" max="29" width="13.25" style="14" bestFit="1" customWidth="1"/>
    <col min="30" max="30" width="10.08203125" style="14" bestFit="1" customWidth="1"/>
    <col min="31" max="31" width="7" style="14" bestFit="1" customWidth="1"/>
    <col min="32" max="35" width="4.5" style="14" customWidth="1"/>
    <col min="36" max="36" width="34.08203125" style="14" customWidth="1"/>
    <col min="37" max="37" width="12.5" style="14" customWidth="1"/>
    <col min="38" max="41" width="12.5" style="14"/>
    <col min="42" max="42" width="17.25" style="14" customWidth="1"/>
    <col min="43" max="16384" width="12.5" style="14"/>
  </cols>
  <sheetData>
    <row r="1" spans="1:46" ht="28.5" customHeight="1" x14ac:dyDescent="0.3">
      <c r="A1" s="1"/>
      <c r="B1" s="80" t="s">
        <v>243</v>
      </c>
      <c r="C1" s="81">
        <v>1000</v>
      </c>
      <c r="D1" s="82" t="s">
        <v>244</v>
      </c>
      <c r="E1" s="117">
        <f>S32</f>
        <v>25710</v>
      </c>
      <c r="F1" s="80" t="s">
        <v>245</v>
      </c>
      <c r="G1" s="624">
        <f>(E1/C1)</f>
        <v>25.71</v>
      </c>
      <c r="H1" s="80" t="s">
        <v>246</v>
      </c>
      <c r="I1" s="249">
        <f>(G1/K1)</f>
        <v>26.23469387755102</v>
      </c>
      <c r="J1" s="86" t="s">
        <v>247</v>
      </c>
      <c r="K1" s="81">
        <v>0.98</v>
      </c>
      <c r="L1" s="100"/>
      <c r="M1" s="100"/>
      <c r="N1" s="100"/>
      <c r="O1" s="91" t="s">
        <v>248</v>
      </c>
      <c r="P1" s="92" t="s">
        <v>344</v>
      </c>
      <c r="Q1" s="93" t="s">
        <v>250</v>
      </c>
      <c r="R1" s="92">
        <v>0.57999999999999996</v>
      </c>
      <c r="S1" s="91" t="s">
        <v>518</v>
      </c>
      <c r="T1" s="92" t="s">
        <v>311</v>
      </c>
      <c r="U1" s="93" t="s">
        <v>446</v>
      </c>
      <c r="V1" s="627">
        <v>0.84</v>
      </c>
      <c r="W1" s="14">
        <f>2100/2500</f>
        <v>0.84</v>
      </c>
      <c r="Y1" s="91" t="s">
        <v>479</v>
      </c>
      <c r="Z1" s="847">
        <v>25210</v>
      </c>
      <c r="AA1" s="91" t="s">
        <v>600</v>
      </c>
      <c r="AB1" s="847">
        <v>500</v>
      </c>
      <c r="AC1" s="91" t="s">
        <v>587</v>
      </c>
      <c r="AD1" s="847">
        <v>170</v>
      </c>
      <c r="AJ1" s="94" t="s">
        <v>262</v>
      </c>
      <c r="AK1" s="94">
        <v>10000</v>
      </c>
      <c r="AL1" s="628" t="s">
        <v>520</v>
      </c>
      <c r="AM1" s="629">
        <f>$S$32</f>
        <v>25710</v>
      </c>
      <c r="AN1" s="94" t="s">
        <v>251</v>
      </c>
      <c r="AO1" s="329">
        <f>(($S$32)/$R$1)/$AK$1</f>
        <v>4.4327586206896559</v>
      </c>
      <c r="AP1" s="95"/>
    </row>
    <row r="2" spans="1:46" ht="12.75" customHeight="1" x14ac:dyDescent="0.25">
      <c r="A2" s="330"/>
      <c r="B2" s="1415" t="s">
        <v>514</v>
      </c>
      <c r="C2" s="1415"/>
      <c r="D2" s="1415"/>
      <c r="E2" s="1415"/>
      <c r="F2" s="1415"/>
      <c r="G2" s="1415"/>
      <c r="H2" s="1415"/>
      <c r="I2" s="293"/>
      <c r="J2" s="293"/>
      <c r="K2" s="293"/>
      <c r="L2" s="293"/>
      <c r="M2" s="131"/>
      <c r="O2" s="100"/>
      <c r="P2" s="100"/>
      <c r="Q2" s="100"/>
      <c r="R2" s="100"/>
      <c r="S2" s="100"/>
      <c r="T2" s="100"/>
      <c r="U2" s="100"/>
      <c r="AJ2" s="101"/>
      <c r="AK2" s="101"/>
      <c r="AL2" s="1386" t="s">
        <v>526</v>
      </c>
      <c r="AM2" s="1386"/>
      <c r="AN2" s="102"/>
      <c r="AO2" s="101"/>
      <c r="AP2" s="101"/>
    </row>
    <row r="3" spans="1:46" ht="12.75" customHeight="1" x14ac:dyDescent="0.25">
      <c r="A3" s="330"/>
      <c r="B3" s="1387"/>
      <c r="C3" s="1387"/>
      <c r="D3" s="1387"/>
      <c r="E3" s="1387"/>
      <c r="F3" s="1387"/>
      <c r="G3" s="1387"/>
      <c r="H3" s="1387"/>
      <c r="I3" s="293"/>
      <c r="J3" s="293"/>
      <c r="K3" s="293"/>
      <c r="L3" s="293"/>
      <c r="M3" s="131"/>
      <c r="O3" s="100"/>
      <c r="P3" s="100"/>
      <c r="Q3" s="100"/>
      <c r="R3" s="100"/>
      <c r="S3" s="100"/>
      <c r="T3" s="100"/>
      <c r="U3" s="100"/>
      <c r="AJ3" s="104"/>
      <c r="AK3" s="104"/>
      <c r="AL3" s="105"/>
      <c r="AM3" s="105"/>
      <c r="AN3" s="105"/>
      <c r="AO3" s="104"/>
      <c r="AP3" s="104"/>
    </row>
    <row r="4" spans="1:46" ht="68.75" customHeight="1" x14ac:dyDescent="0.25">
      <c r="A4" s="91" t="s">
        <v>1</v>
      </c>
      <c r="B4" s="91" t="s">
        <v>253</v>
      </c>
      <c r="C4" s="107" t="s">
        <v>254</v>
      </c>
      <c r="D4" s="91" t="s">
        <v>243</v>
      </c>
      <c r="E4" s="108" t="s">
        <v>246</v>
      </c>
      <c r="F4" s="108" t="s">
        <v>255</v>
      </c>
      <c r="G4" s="91" t="s">
        <v>256</v>
      </c>
      <c r="H4" s="331" t="s">
        <v>347</v>
      </c>
      <c r="I4" s="91" t="s">
        <v>258</v>
      </c>
      <c r="J4" s="91" t="s">
        <v>259</v>
      </c>
      <c r="K4" s="91" t="s">
        <v>260</v>
      </c>
      <c r="L4" s="91" t="s">
        <v>261</v>
      </c>
      <c r="M4" s="131"/>
      <c r="O4" s="100"/>
      <c r="P4" s="100"/>
      <c r="Q4" s="100"/>
      <c r="R4" s="100"/>
      <c r="S4" s="100"/>
      <c r="AJ4" s="110" t="s">
        <v>253</v>
      </c>
      <c r="AK4" s="111" t="s">
        <v>254</v>
      </c>
      <c r="AL4" s="110" t="s">
        <v>262</v>
      </c>
      <c r="AM4" s="110" t="s">
        <v>246</v>
      </c>
      <c r="AN4" s="110" t="s">
        <v>255</v>
      </c>
      <c r="AO4" s="110" t="s">
        <v>256</v>
      </c>
      <c r="AP4" s="112" t="s">
        <v>257</v>
      </c>
      <c r="AQ4" s="91" t="s">
        <v>258</v>
      </c>
      <c r="AR4" s="91" t="s">
        <v>259</v>
      </c>
      <c r="AS4" s="91" t="s">
        <v>260</v>
      </c>
      <c r="AT4" s="91" t="s">
        <v>261</v>
      </c>
    </row>
    <row r="5" spans="1:46" ht="14.25" customHeight="1" x14ac:dyDescent="0.25">
      <c r="A5" s="295" t="s">
        <v>230</v>
      </c>
      <c r="B5" s="125" t="s">
        <v>229</v>
      </c>
      <c r="C5" s="124" t="s">
        <v>238</v>
      </c>
      <c r="D5" s="625">
        <f>C1/$R$1</f>
        <v>1724.1379310344828</v>
      </c>
      <c r="E5" s="116">
        <f>$G$1</f>
        <v>25.71</v>
      </c>
      <c r="F5" s="127">
        <v>1</v>
      </c>
      <c r="G5" s="119">
        <f>D5*E5</f>
        <v>44327.586206896551</v>
      </c>
      <c r="H5" s="120">
        <f>G5*F5</f>
        <v>44327.586206896551</v>
      </c>
      <c r="I5" s="81">
        <f>VLOOKUP(B5,All_Ingredients!$A$1:$F$151,6,FALSE())</f>
        <v>0.86</v>
      </c>
      <c r="J5" s="119">
        <f>VLOOKUP(B5,All_Ingredients!$A$1:$J$151,10,FALSE())</f>
        <v>17.100000000000001</v>
      </c>
      <c r="K5" s="122">
        <f>(H5/I5)/1000</f>
        <v>51.543704891740177</v>
      </c>
      <c r="L5" s="122">
        <f>K5*J5</f>
        <v>881.39735364875708</v>
      </c>
      <c r="M5" s="131"/>
      <c r="AJ5" s="123" t="s">
        <v>229</v>
      </c>
      <c r="AK5" s="124" t="s">
        <v>238</v>
      </c>
      <c r="AL5" s="125">
        <v>10</v>
      </c>
      <c r="AM5" s="197">
        <f>$AO$1</f>
        <v>4.4327586206896559</v>
      </c>
      <c r="AN5" s="127">
        <v>1</v>
      </c>
      <c r="AO5" s="378">
        <f>AL5*AM5</f>
        <v>44.327586206896555</v>
      </c>
      <c r="AP5" s="379">
        <f>AO5*AN5</f>
        <v>44.327586206896555</v>
      </c>
      <c r="AQ5" s="295"/>
      <c r="AR5" s="1171"/>
      <c r="AS5" s="175"/>
      <c r="AT5" s="1172"/>
    </row>
    <row r="6" spans="1:46" ht="14.25" customHeight="1" x14ac:dyDescent="0.25">
      <c r="B6" s="125" t="s">
        <v>563</v>
      </c>
      <c r="C6" s="124" t="s">
        <v>14</v>
      </c>
      <c r="D6" s="268">
        <f>($D$5*$R$1)*P11</f>
        <v>80</v>
      </c>
      <c r="E6" s="116">
        <f>$G$1</f>
        <v>25.71</v>
      </c>
      <c r="F6" s="127">
        <v>1</v>
      </c>
      <c r="G6" s="119">
        <f>D6*E6</f>
        <v>2056.8000000000002</v>
      </c>
      <c r="H6" s="120">
        <f>G6*F6</f>
        <v>2056.8000000000002</v>
      </c>
      <c r="I6" s="81">
        <f>VLOOKUP(B6,All_Ingredients!$A$1:$F$151,6,FALSE())</f>
        <v>1</v>
      </c>
      <c r="J6" s="119">
        <f>VLOOKUP(B6,All_Ingredients!$A$1:$J$151,10,FALSE())</f>
        <v>10.196078431372548</v>
      </c>
      <c r="K6" s="122">
        <f t="shared" ref="K6:K9" si="0">(H6/I6)/1000</f>
        <v>2.0568</v>
      </c>
      <c r="L6" s="122">
        <f t="shared" ref="L6:L9" si="1">K6*J6</f>
        <v>20.971294117647059</v>
      </c>
      <c r="M6" s="131"/>
      <c r="AJ6" s="123" t="s">
        <v>56</v>
      </c>
      <c r="AK6" s="334" t="s">
        <v>14</v>
      </c>
      <c r="AL6" s="335">
        <v>100</v>
      </c>
      <c r="AM6" s="197">
        <f t="shared" ref="AM6:AM19" si="2">$AO$1</f>
        <v>4.4327586206896559</v>
      </c>
      <c r="AN6" s="127">
        <v>1</v>
      </c>
      <c r="AO6" s="378">
        <f t="shared" ref="AO6:AO19" si="3">AL6*AM6</f>
        <v>443.27586206896558</v>
      </c>
      <c r="AP6" s="379">
        <f t="shared" ref="AP6:AP19" si="4">AO6*AN6</f>
        <v>443.27586206896558</v>
      </c>
      <c r="AQ6" s="1172">
        <f>VLOOKUP(AJ6,Marination_Ordering!$A:$J,6,FALSE)</f>
        <v>0.87</v>
      </c>
      <c r="AR6" s="1172">
        <f>VLOOKUP(AJ6,Marination_Ordering!$A:$J,10,FALSE)</f>
        <v>3.2</v>
      </c>
      <c r="AS6" s="175">
        <f>AP6/AQ6</f>
        <v>509.51248513674204</v>
      </c>
      <c r="AT6" s="1172">
        <f>AR6*(AS6/1000)</f>
        <v>1.6304399524375748</v>
      </c>
    </row>
    <row r="7" spans="1:46" ht="14.25" customHeight="1" x14ac:dyDescent="0.25">
      <c r="B7" s="125" t="s">
        <v>19</v>
      </c>
      <c r="C7" s="124" t="s">
        <v>14</v>
      </c>
      <c r="D7" s="268">
        <f>(($D$5*$R$1)*P12)/$V$1</f>
        <v>166.66666666666669</v>
      </c>
      <c r="E7" s="116">
        <f>$G$1</f>
        <v>25.71</v>
      </c>
      <c r="F7" s="127">
        <v>1</v>
      </c>
      <c r="G7" s="119">
        <f>D7*E7</f>
        <v>4285.0000000000009</v>
      </c>
      <c r="H7" s="120">
        <f>G7*F7</f>
        <v>4285.0000000000009</v>
      </c>
      <c r="I7" s="81">
        <f>VLOOKUP(B7,All_Ingredients!$A$1:$F$151,6,FALSE())</f>
        <v>0.84</v>
      </c>
      <c r="J7" s="119">
        <f>VLOOKUP(B7,All_Ingredients!$A$1:$J$151,10,FALSE())</f>
        <v>2.6</v>
      </c>
      <c r="K7" s="122">
        <f t="shared" si="0"/>
        <v>5.1011904761904772</v>
      </c>
      <c r="L7" s="122">
        <f t="shared" si="1"/>
        <v>13.263095238095241</v>
      </c>
      <c r="M7" s="131"/>
      <c r="AJ7" s="123" t="s">
        <v>792</v>
      </c>
      <c r="AK7" s="334" t="s">
        <v>14</v>
      </c>
      <c r="AL7" s="335">
        <v>100</v>
      </c>
      <c r="AM7" s="197">
        <f t="shared" si="2"/>
        <v>4.4327586206896559</v>
      </c>
      <c r="AN7" s="127">
        <v>1</v>
      </c>
      <c r="AO7" s="378">
        <f t="shared" si="3"/>
        <v>443.27586206896558</v>
      </c>
      <c r="AP7" s="379">
        <f t="shared" si="4"/>
        <v>443.27586206896558</v>
      </c>
      <c r="AQ7" s="1172">
        <f>VLOOKUP(AJ7,Marination_Ordering!$A:$J,6,FALSE)</f>
        <v>1</v>
      </c>
      <c r="AR7" s="1172">
        <f>VLOOKUP(AJ7,Marination_Ordering!$A:$J,10,FALSE)</f>
        <v>10.5</v>
      </c>
      <c r="AS7" s="175">
        <f t="shared" ref="AS7:AS9" si="5">AP7/AQ7</f>
        <v>443.27586206896558</v>
      </c>
      <c r="AT7" s="1172">
        <f t="shared" ref="AT7:AT9" si="6">AR7*(AS7/1000)</f>
        <v>4.6543965517241386</v>
      </c>
    </row>
    <row r="8" spans="1:46" ht="14.25" customHeight="1" x14ac:dyDescent="0.25">
      <c r="B8" s="125" t="s">
        <v>515</v>
      </c>
      <c r="C8" s="124" t="s">
        <v>14</v>
      </c>
      <c r="D8" s="268">
        <f>($D$5*$R$1)*P13</f>
        <v>80</v>
      </c>
      <c r="E8" s="116">
        <f>$G$1</f>
        <v>25.71</v>
      </c>
      <c r="F8" s="127">
        <v>1</v>
      </c>
      <c r="G8" s="119">
        <f>D8*E8</f>
        <v>2056.8000000000002</v>
      </c>
      <c r="H8" s="120">
        <f>G8*F8</f>
        <v>2056.8000000000002</v>
      </c>
      <c r="I8" s="81">
        <f>VLOOKUP(B8,All_Ingredients!$A$1:$F$151,6,FALSE())</f>
        <v>1</v>
      </c>
      <c r="J8" s="119">
        <f>VLOOKUP(B8,All_Ingredients!$A$1:$J$151,10,FALSE())</f>
        <v>16.666666666666668</v>
      </c>
      <c r="K8" s="122">
        <f t="shared" si="0"/>
        <v>2.0568</v>
      </c>
      <c r="L8" s="122">
        <f t="shared" si="1"/>
        <v>34.28</v>
      </c>
      <c r="M8" s="131"/>
      <c r="AJ8" s="123" t="s">
        <v>108</v>
      </c>
      <c r="AK8" s="334" t="s">
        <v>14</v>
      </c>
      <c r="AL8" s="335">
        <v>10</v>
      </c>
      <c r="AM8" s="197">
        <f t="shared" si="2"/>
        <v>4.4327586206896559</v>
      </c>
      <c r="AN8" s="127">
        <v>1</v>
      </c>
      <c r="AO8" s="378">
        <f t="shared" si="3"/>
        <v>44.327586206896555</v>
      </c>
      <c r="AP8" s="379">
        <f t="shared" si="4"/>
        <v>44.327586206896555</v>
      </c>
      <c r="AQ8" s="1172">
        <f>VLOOKUP(AJ8,Marination_Ordering!$A:$J,6,FALSE)</f>
        <v>1</v>
      </c>
      <c r="AR8" s="1172">
        <f>VLOOKUP(AJ8,Marination_Ordering!$A:$J,10,FALSE)</f>
        <v>15</v>
      </c>
      <c r="AS8" s="175">
        <f t="shared" si="5"/>
        <v>44.327586206896555</v>
      </c>
      <c r="AT8" s="1172">
        <f t="shared" si="6"/>
        <v>0.66491379310344834</v>
      </c>
    </row>
    <row r="9" spans="1:46" ht="14.25" customHeight="1" x14ac:dyDescent="0.25">
      <c r="B9" s="125" t="s">
        <v>517</v>
      </c>
      <c r="C9" s="124" t="s">
        <v>14</v>
      </c>
      <c r="D9" s="268">
        <f>($D$5*$R$1)*P14</f>
        <v>100</v>
      </c>
      <c r="E9" s="116">
        <f>$G$1</f>
        <v>25.71</v>
      </c>
      <c r="F9" s="127">
        <v>1</v>
      </c>
      <c r="G9" s="119">
        <f>D9*E9</f>
        <v>2571</v>
      </c>
      <c r="H9" s="120">
        <f>G9*F9</f>
        <v>2571</v>
      </c>
      <c r="I9" s="81">
        <f>VLOOKUP(B9,All_Ingredients!$A$1:$F$151,6,FALSE())</f>
        <v>0.88</v>
      </c>
      <c r="J9" s="119">
        <f>VLOOKUP(B9,All_Ingredients!$A$1:$J$151,10,FALSE())</f>
        <v>3</v>
      </c>
      <c r="K9" s="122">
        <f t="shared" si="0"/>
        <v>2.9215909090909089</v>
      </c>
      <c r="L9" s="122">
        <f t="shared" si="1"/>
        <v>8.7647727272727263</v>
      </c>
      <c r="M9" s="131"/>
      <c r="N9" s="131"/>
      <c r="AJ9" s="123" t="s">
        <v>110</v>
      </c>
      <c r="AK9" s="334" t="s">
        <v>14</v>
      </c>
      <c r="AL9" s="335">
        <v>10</v>
      </c>
      <c r="AM9" s="197">
        <f t="shared" si="2"/>
        <v>4.4327586206896559</v>
      </c>
      <c r="AN9" s="127">
        <v>1</v>
      </c>
      <c r="AO9" s="378">
        <f t="shared" si="3"/>
        <v>44.327586206896555</v>
      </c>
      <c r="AP9" s="379">
        <f t="shared" si="4"/>
        <v>44.327586206896555</v>
      </c>
      <c r="AQ9" s="1172">
        <f>VLOOKUP(AJ9,Marination_Ordering!$A:$J,6,FALSE)</f>
        <v>1</v>
      </c>
      <c r="AR9" s="1172">
        <f>VLOOKUP(AJ9,Marination_Ordering!$A:$J,10,FALSE)</f>
        <v>8</v>
      </c>
      <c r="AS9" s="175">
        <f t="shared" si="5"/>
        <v>44.327586206896555</v>
      </c>
      <c r="AT9" s="1172">
        <f t="shared" si="6"/>
        <v>0.35462068965517246</v>
      </c>
    </row>
    <row r="10" spans="1:46" ht="14.25" customHeight="1" x14ac:dyDescent="0.25">
      <c r="B10" s="212"/>
      <c r="C10" s="212"/>
      <c r="D10" s="212"/>
      <c r="E10" s="333"/>
      <c r="F10" s="136"/>
      <c r="G10" s="137"/>
      <c r="H10" s="138"/>
      <c r="I10" s="92"/>
      <c r="J10" s="137"/>
      <c r="K10" s="131"/>
      <c r="L10" s="131"/>
      <c r="M10" s="131"/>
      <c r="N10" s="131"/>
      <c r="AJ10" s="123" t="s">
        <v>96</v>
      </c>
      <c r="AK10" s="334" t="s">
        <v>14</v>
      </c>
      <c r="AL10" s="335">
        <v>5</v>
      </c>
      <c r="AM10" s="197">
        <f t="shared" si="2"/>
        <v>4.4327586206896559</v>
      </c>
      <c r="AN10" s="127">
        <v>1</v>
      </c>
      <c r="AO10" s="378">
        <f t="shared" si="3"/>
        <v>22.163793103448278</v>
      </c>
      <c r="AP10" s="379">
        <f t="shared" si="4"/>
        <v>22.163793103448278</v>
      </c>
      <c r="AQ10" s="1172">
        <f>VLOOKUP(AJ10,Marination_Ordering!$A:$J,6,FALSE)</f>
        <v>1</v>
      </c>
      <c r="AR10" s="1172">
        <f>VLOOKUP(AJ10,Marination_Ordering!$A:$J,10,FALSE)</f>
        <v>0.74</v>
      </c>
      <c r="AS10" s="175">
        <f t="shared" ref="AS10:AS19" si="7">AP10/AQ10</f>
        <v>22.163793103448278</v>
      </c>
      <c r="AT10" s="1172">
        <f t="shared" ref="AT10:AT19" si="8">AR10*(AS10/1000)</f>
        <v>1.6401206896551727E-2</v>
      </c>
    </row>
    <row r="11" spans="1:46" ht="14.25" customHeight="1" x14ac:dyDescent="0.25">
      <c r="B11" s="212"/>
      <c r="C11" s="212"/>
      <c r="D11" s="212"/>
      <c r="E11" s="333"/>
      <c r="F11" s="136"/>
      <c r="G11" s="137"/>
      <c r="H11" s="138"/>
      <c r="I11" s="92"/>
      <c r="J11" s="137"/>
      <c r="K11" s="131"/>
      <c r="L11" s="131"/>
      <c r="M11" s="137"/>
      <c r="N11" s="131"/>
      <c r="O11" s="136" t="s">
        <v>563</v>
      </c>
      <c r="P11" s="626">
        <v>0.08</v>
      </c>
      <c r="AJ11" s="123" t="s">
        <v>104</v>
      </c>
      <c r="AK11" s="334" t="s">
        <v>14</v>
      </c>
      <c r="AL11" s="335">
        <v>5</v>
      </c>
      <c r="AM11" s="197">
        <f t="shared" si="2"/>
        <v>4.4327586206896559</v>
      </c>
      <c r="AN11" s="127">
        <v>1</v>
      </c>
      <c r="AO11" s="378">
        <f t="shared" si="3"/>
        <v>22.163793103448278</v>
      </c>
      <c r="AP11" s="379">
        <f t="shared" si="4"/>
        <v>22.163793103448278</v>
      </c>
      <c r="AQ11" s="1172">
        <f>VLOOKUP(AJ11,Marination_Ordering!$A:$J,6,FALSE)</f>
        <v>1</v>
      </c>
      <c r="AR11" s="1172">
        <f>VLOOKUP(AJ11,Marination_Ordering!$A:$J,10,FALSE)</f>
        <v>47</v>
      </c>
      <c r="AS11" s="175">
        <f t="shared" si="7"/>
        <v>22.163793103448278</v>
      </c>
      <c r="AT11" s="1172">
        <f t="shared" si="8"/>
        <v>1.0416982758620692</v>
      </c>
    </row>
    <row r="12" spans="1:46" ht="14.25" customHeight="1" x14ac:dyDescent="0.25">
      <c r="B12" s="212"/>
      <c r="C12" s="332"/>
      <c r="D12" s="212"/>
      <c r="E12" s="333"/>
      <c r="F12" s="136"/>
      <c r="G12" s="137"/>
      <c r="H12" s="138"/>
      <c r="I12" s="92"/>
      <c r="J12" s="137"/>
      <c r="K12" s="131"/>
      <c r="L12" s="131"/>
      <c r="M12" s="137"/>
      <c r="N12" s="131"/>
      <c r="O12" s="136" t="s">
        <v>19</v>
      </c>
      <c r="P12" s="626">
        <v>0.14000000000000001</v>
      </c>
      <c r="AJ12" s="123" t="s">
        <v>178</v>
      </c>
      <c r="AK12" s="334" t="s">
        <v>14</v>
      </c>
      <c r="AL12" s="335">
        <v>100</v>
      </c>
      <c r="AM12" s="197">
        <f t="shared" si="2"/>
        <v>4.4327586206896559</v>
      </c>
      <c r="AN12" s="127">
        <v>1</v>
      </c>
      <c r="AO12" s="378">
        <f t="shared" si="3"/>
        <v>443.27586206896558</v>
      </c>
      <c r="AP12" s="379">
        <f t="shared" si="4"/>
        <v>443.27586206896558</v>
      </c>
      <c r="AQ12" s="1172">
        <f>VLOOKUP(AJ12,Marination_Ordering!$A:$J,6,FALSE)</f>
        <v>1</v>
      </c>
      <c r="AR12" s="1172">
        <f>VLOOKUP(AJ12,Marination_Ordering!$A:$J,10,FALSE)</f>
        <v>17.934782608695652</v>
      </c>
      <c r="AS12" s="175">
        <f t="shared" si="7"/>
        <v>443.27586206896558</v>
      </c>
      <c r="AT12" s="1172">
        <f t="shared" si="8"/>
        <v>7.9500562218890565</v>
      </c>
    </row>
    <row r="13" spans="1:46" ht="14.25" customHeight="1" x14ac:dyDescent="0.25">
      <c r="B13" s="212"/>
      <c r="C13" s="332"/>
      <c r="D13" s="212"/>
      <c r="E13" s="333"/>
      <c r="F13" s="136"/>
      <c r="G13" s="254"/>
      <c r="H13" s="138"/>
      <c r="I13" s="92"/>
      <c r="J13" s="137"/>
      <c r="K13" s="131"/>
      <c r="L13" s="131"/>
      <c r="M13" s="137"/>
      <c r="N13" s="137"/>
      <c r="O13" s="136" t="s">
        <v>515</v>
      </c>
      <c r="P13" s="626">
        <v>0.08</v>
      </c>
      <c r="AJ13" s="123" t="s">
        <v>219</v>
      </c>
      <c r="AK13" s="334" t="s">
        <v>165</v>
      </c>
      <c r="AL13" s="335">
        <v>100</v>
      </c>
      <c r="AM13" s="197">
        <f t="shared" si="2"/>
        <v>4.4327586206896559</v>
      </c>
      <c r="AN13" s="127">
        <v>1</v>
      </c>
      <c r="AO13" s="378">
        <f t="shared" si="3"/>
        <v>443.27586206896558</v>
      </c>
      <c r="AP13" s="379">
        <f t="shared" si="4"/>
        <v>443.27586206896558</v>
      </c>
      <c r="AQ13" s="1172">
        <f>VLOOKUP(AJ13,Marination_Ordering!$A:$J,6,FALSE)</f>
        <v>1</v>
      </c>
      <c r="AR13" s="1172">
        <f>VLOOKUP(AJ13,Marination_Ordering!$A:$J,10,FALSE)</f>
        <v>5</v>
      </c>
      <c r="AS13" s="175">
        <f t="shared" si="7"/>
        <v>443.27586206896558</v>
      </c>
      <c r="AT13" s="1172">
        <f t="shared" si="8"/>
        <v>2.2163793103448279</v>
      </c>
    </row>
    <row r="14" spans="1:46" ht="14.25" customHeight="1" x14ac:dyDescent="0.25">
      <c r="B14" s="212"/>
      <c r="C14" s="332"/>
      <c r="D14" s="212"/>
      <c r="E14" s="333"/>
      <c r="F14" s="136"/>
      <c r="G14" s="137"/>
      <c r="H14" s="138"/>
      <c r="I14" s="92"/>
      <c r="J14" s="137"/>
      <c r="K14" s="131"/>
      <c r="L14" s="131"/>
      <c r="M14" s="137"/>
      <c r="N14" s="137"/>
      <c r="O14" s="100" t="s">
        <v>517</v>
      </c>
      <c r="P14" s="626">
        <v>0.1</v>
      </c>
      <c r="AJ14" s="123" t="s">
        <v>793</v>
      </c>
      <c r="AK14" s="334" t="s">
        <v>14</v>
      </c>
      <c r="AL14" s="335">
        <v>50</v>
      </c>
      <c r="AM14" s="197">
        <f t="shared" si="2"/>
        <v>4.4327586206896559</v>
      </c>
      <c r="AN14" s="127">
        <v>1</v>
      </c>
      <c r="AO14" s="378">
        <f t="shared" si="3"/>
        <v>221.63793103448279</v>
      </c>
      <c r="AP14" s="379">
        <f t="shared" si="4"/>
        <v>221.63793103448279</v>
      </c>
      <c r="AQ14" s="1172">
        <f>VLOOKUP(AJ14,Marination_Ordering!$A:$J,6,FALSE)</f>
        <v>1</v>
      </c>
      <c r="AR14" s="1172">
        <f>VLOOKUP(AJ14,Marination_Ordering!$A:$J,10,FALSE)</f>
        <v>40.74074074074074</v>
      </c>
      <c r="AS14" s="175">
        <f t="shared" si="7"/>
        <v>221.63793103448279</v>
      </c>
      <c r="AT14" s="1172">
        <f t="shared" si="8"/>
        <v>9.0296934865900393</v>
      </c>
    </row>
    <row r="15" spans="1:46" ht="14.25" customHeight="1" x14ac:dyDescent="0.25">
      <c r="C15" s="332"/>
      <c r="D15" s="212"/>
      <c r="E15" s="333"/>
      <c r="F15" s="136"/>
      <c r="G15" s="254"/>
      <c r="H15" s="138"/>
      <c r="I15" s="92"/>
      <c r="J15" s="137"/>
      <c r="K15" s="131"/>
      <c r="L15" s="131"/>
      <c r="M15" s="131"/>
      <c r="N15" s="137"/>
      <c r="O15" s="100" t="s">
        <v>274</v>
      </c>
      <c r="P15" s="414">
        <f>SUM(P11:P14)</f>
        <v>0.4</v>
      </c>
      <c r="AJ15" s="123" t="s">
        <v>171</v>
      </c>
      <c r="AK15" s="334" t="s">
        <v>165</v>
      </c>
      <c r="AL15" s="335">
        <v>400</v>
      </c>
      <c r="AM15" s="197">
        <f t="shared" si="2"/>
        <v>4.4327586206896559</v>
      </c>
      <c r="AN15" s="127">
        <v>1</v>
      </c>
      <c r="AO15" s="378">
        <f t="shared" si="3"/>
        <v>1773.1034482758623</v>
      </c>
      <c r="AP15" s="379">
        <f t="shared" si="4"/>
        <v>1773.1034482758623</v>
      </c>
      <c r="AQ15" s="1172">
        <f>VLOOKUP(AJ15,Marination_Ordering!$A:$J,6,FALSE)</f>
        <v>1</v>
      </c>
      <c r="AR15" s="1172">
        <f>VLOOKUP(AJ15,Marination_Ordering!$A:$J,10,FALSE)</f>
        <v>12.666666666666666</v>
      </c>
      <c r="AS15" s="175">
        <f t="shared" si="7"/>
        <v>1773.1034482758623</v>
      </c>
      <c r="AT15" s="1172">
        <f t="shared" si="8"/>
        <v>22.459310344827589</v>
      </c>
    </row>
    <row r="16" spans="1:46" ht="14.25" customHeight="1" x14ac:dyDescent="0.25">
      <c r="C16" s="332"/>
      <c r="D16" s="212"/>
      <c r="E16" s="333"/>
      <c r="G16" s="254"/>
      <c r="H16" s="138"/>
      <c r="I16" s="92"/>
      <c r="J16" s="137"/>
      <c r="K16" s="131"/>
      <c r="L16" s="131"/>
      <c r="M16" s="131"/>
      <c r="N16" s="137"/>
      <c r="AJ16" s="123" t="s">
        <v>132</v>
      </c>
      <c r="AK16" s="334" t="s">
        <v>14</v>
      </c>
      <c r="AL16" s="335">
        <v>5</v>
      </c>
      <c r="AM16" s="197">
        <f t="shared" si="2"/>
        <v>4.4327586206896559</v>
      </c>
      <c r="AN16" s="127">
        <v>1</v>
      </c>
      <c r="AO16" s="378">
        <f t="shared" si="3"/>
        <v>22.163793103448278</v>
      </c>
      <c r="AP16" s="379">
        <f t="shared" si="4"/>
        <v>22.163793103448278</v>
      </c>
      <c r="AQ16" s="1172">
        <f>VLOOKUP(AJ16,Marination_Ordering!$A:$J,6,FALSE)</f>
        <v>1</v>
      </c>
      <c r="AR16" s="1172">
        <f>VLOOKUP(AJ16,Marination_Ordering!$A:$J,10,FALSE)</f>
        <v>107</v>
      </c>
      <c r="AS16" s="175">
        <f t="shared" si="7"/>
        <v>22.163793103448278</v>
      </c>
      <c r="AT16" s="1172">
        <f t="shared" si="8"/>
        <v>2.3715258620689657</v>
      </c>
    </row>
    <row r="17" spans="2:46" ht="14.25" customHeight="1" x14ac:dyDescent="0.25">
      <c r="C17" s="332"/>
      <c r="D17" s="212"/>
      <c r="E17" s="333"/>
      <c r="G17" s="254"/>
      <c r="H17" s="138"/>
      <c r="I17" s="92"/>
      <c r="J17" s="137"/>
      <c r="K17" s="131"/>
      <c r="L17" s="131"/>
      <c r="M17" s="131"/>
      <c r="AJ17" s="123" t="s">
        <v>168</v>
      </c>
      <c r="AK17" s="334" t="s">
        <v>14</v>
      </c>
      <c r="AL17" s="335">
        <v>200</v>
      </c>
      <c r="AM17" s="197">
        <f t="shared" si="2"/>
        <v>4.4327586206896559</v>
      </c>
      <c r="AN17" s="127">
        <v>1</v>
      </c>
      <c r="AO17" s="378">
        <f t="shared" si="3"/>
        <v>886.55172413793116</v>
      </c>
      <c r="AP17" s="379">
        <f t="shared" si="4"/>
        <v>886.55172413793116</v>
      </c>
      <c r="AQ17" s="1172">
        <f>VLOOKUP(AJ17,Marination_Ordering!$A:$J,6,FALSE)</f>
        <v>1</v>
      </c>
      <c r="AR17" s="1172">
        <f>VLOOKUP(AJ17,Marination_Ordering!$A:$J,10,FALSE)</f>
        <v>6.6959999999999997</v>
      </c>
      <c r="AS17" s="175">
        <f t="shared" si="7"/>
        <v>886.55172413793116</v>
      </c>
      <c r="AT17" s="1172">
        <f t="shared" si="8"/>
        <v>5.9363503448275869</v>
      </c>
    </row>
    <row r="18" spans="2:46" ht="14.25" customHeight="1" x14ac:dyDescent="0.25">
      <c r="C18" s="332"/>
      <c r="D18" s="212"/>
      <c r="E18" s="333"/>
      <c r="G18" s="254"/>
      <c r="H18" s="138"/>
      <c r="I18" s="92"/>
      <c r="J18" s="137"/>
      <c r="K18" s="131"/>
      <c r="L18" s="131"/>
      <c r="M18" s="131"/>
      <c r="AJ18" s="123" t="s">
        <v>62</v>
      </c>
      <c r="AK18" s="334" t="s">
        <v>14</v>
      </c>
      <c r="AL18" s="335">
        <v>10</v>
      </c>
      <c r="AM18" s="197">
        <f t="shared" si="2"/>
        <v>4.4327586206896559</v>
      </c>
      <c r="AN18" s="127">
        <v>1</v>
      </c>
      <c r="AO18" s="378">
        <f t="shared" si="3"/>
        <v>44.327586206896555</v>
      </c>
      <c r="AP18" s="379">
        <f t="shared" si="4"/>
        <v>44.327586206896555</v>
      </c>
      <c r="AQ18" s="1172">
        <f>VLOOKUP(AJ18,Marination_Ordering!$A:$J,6,FALSE)</f>
        <v>0.94</v>
      </c>
      <c r="AR18" s="1172">
        <f>VLOOKUP(AJ18,Marination_Ordering!$A:$J,10,FALSE)</f>
        <v>3.6363636363636367</v>
      </c>
      <c r="AS18" s="175">
        <f t="shared" si="7"/>
        <v>47.157006603081442</v>
      </c>
      <c r="AT18" s="1172">
        <f t="shared" si="8"/>
        <v>0.17148002401120524</v>
      </c>
    </row>
    <row r="19" spans="2:46" ht="14.25" customHeight="1" x14ac:dyDescent="0.3">
      <c r="B19" s="11"/>
      <c r="C19" s="336"/>
      <c r="D19" s="337"/>
      <c r="E19" s="100"/>
      <c r="K19" s="139"/>
      <c r="L19" s="92"/>
      <c r="M19" s="137"/>
      <c r="N19" s="131"/>
      <c r="O19" s="131"/>
      <c r="AJ19" s="123" t="s">
        <v>34</v>
      </c>
      <c r="AK19" s="334" t="s">
        <v>14</v>
      </c>
      <c r="AL19" s="335">
        <v>35</v>
      </c>
      <c r="AM19" s="197">
        <f t="shared" si="2"/>
        <v>4.4327586206896559</v>
      </c>
      <c r="AN19" s="127">
        <v>1</v>
      </c>
      <c r="AO19" s="378">
        <f t="shared" si="3"/>
        <v>155.14655172413796</v>
      </c>
      <c r="AP19" s="379">
        <f t="shared" si="4"/>
        <v>155.14655172413796</v>
      </c>
      <c r="AQ19" s="1172">
        <f>VLOOKUP(AJ19,Marination_Ordering!$A:$J,6,FALSE)</f>
        <v>0.86</v>
      </c>
      <c r="AR19" s="1172">
        <f>VLOOKUP(AJ19,Marination_Ordering!$A:$J,10,FALSE)</f>
        <v>14</v>
      </c>
      <c r="AS19" s="175">
        <f t="shared" si="7"/>
        <v>180.40296712109065</v>
      </c>
      <c r="AT19" s="1172">
        <f t="shared" si="8"/>
        <v>2.5256415396952692</v>
      </c>
    </row>
    <row r="20" spans="2:46" ht="14.25" customHeight="1" x14ac:dyDescent="0.3">
      <c r="B20" s="11"/>
      <c r="C20" s="622"/>
      <c r="D20" s="337"/>
      <c r="E20" s="100"/>
      <c r="K20" s="139"/>
      <c r="L20" s="92"/>
      <c r="M20" s="137"/>
      <c r="N20" s="131"/>
      <c r="O20" s="131"/>
    </row>
    <row r="21" spans="2:46" ht="12.75" customHeight="1" x14ac:dyDescent="0.25">
      <c r="B21" s="100"/>
      <c r="C21" s="623"/>
      <c r="E21" s="100"/>
      <c r="F21" s="100"/>
      <c r="K21" s="139"/>
      <c r="L21" s="92"/>
      <c r="M21" s="137"/>
      <c r="N21" s="131"/>
      <c r="O21" s="131"/>
    </row>
    <row r="22" spans="2:46" ht="12.75" customHeight="1" x14ac:dyDescent="0.25">
      <c r="B22" s="100"/>
      <c r="E22" s="100"/>
      <c r="F22" s="100"/>
      <c r="K22" s="139"/>
      <c r="L22" s="92"/>
      <c r="M22" s="137"/>
      <c r="N22" s="131"/>
      <c r="O22" s="131"/>
    </row>
    <row r="23" spans="2:46" x14ac:dyDescent="0.25">
      <c r="C23" s="623"/>
    </row>
    <row r="24" spans="2:46" x14ac:dyDescent="0.25">
      <c r="Z24" s="1234"/>
    </row>
    <row r="25" spans="2:46" ht="14" customHeight="1" x14ac:dyDescent="0.3">
      <c r="C25"/>
      <c r="R25" s="1430" t="s">
        <v>513</v>
      </c>
      <c r="S25" s="1388"/>
      <c r="T25" s="1388"/>
      <c r="U25" s="1388"/>
      <c r="V25" s="1206"/>
      <c r="W25" s="1206"/>
      <c r="Z25" s="141" t="s">
        <v>264</v>
      </c>
      <c r="AA25" s="142">
        <v>27580</v>
      </c>
      <c r="AB25" s="151" t="s">
        <v>261</v>
      </c>
      <c r="AC25" s="1232">
        <f>((AA25*1.4)*AD30)+(Z30*(AA28/R1))</f>
        <v>1126.5003005514473</v>
      </c>
    </row>
    <row r="26" spans="2:46" ht="14" customHeight="1" x14ac:dyDescent="0.3">
      <c r="C26"/>
      <c r="R26" s="1416" t="s">
        <v>303</v>
      </c>
      <c r="S26" s="1417"/>
      <c r="T26" s="1417"/>
      <c r="U26" s="1417"/>
      <c r="V26" s="1206"/>
      <c r="W26" s="1206"/>
    </row>
    <row r="27" spans="2:46" ht="14" customHeight="1" thickBot="1" x14ac:dyDescent="0.35">
      <c r="C27"/>
      <c r="R27" s="226" t="s">
        <v>266</v>
      </c>
      <c r="S27" s="227" t="s">
        <v>371</v>
      </c>
      <c r="T27" s="227" t="s">
        <v>487</v>
      </c>
      <c r="U27" s="227" t="s">
        <v>269</v>
      </c>
      <c r="V27" s="146" t="s">
        <v>839</v>
      </c>
      <c r="W27" s="146" t="s">
        <v>848</v>
      </c>
      <c r="Y27" s="141" t="s">
        <v>270</v>
      </c>
      <c r="Z27" s="1185" t="s">
        <v>324</v>
      </c>
      <c r="AA27" s="1185" t="s">
        <v>873</v>
      </c>
      <c r="AB27" s="1185" t="s">
        <v>487</v>
      </c>
      <c r="AC27" s="1186" t="s">
        <v>848</v>
      </c>
      <c r="AD27" s="147" t="s">
        <v>274</v>
      </c>
    </row>
    <row r="28" spans="2:46" ht="14" customHeight="1" thickBot="1" x14ac:dyDescent="0.35">
      <c r="C28"/>
      <c r="M28" s="338"/>
      <c r="R28" s="144" t="s">
        <v>275</v>
      </c>
      <c r="S28" s="1290">
        <f>$Z$1</f>
        <v>25210</v>
      </c>
      <c r="T28" s="228">
        <f>S28*$P$15</f>
        <v>10084</v>
      </c>
      <c r="U28" s="228">
        <f>S28+T28</f>
        <v>35294</v>
      </c>
      <c r="V28" s="149">
        <f>SUM(AP5:AP19)</f>
        <v>5053.3448275862074</v>
      </c>
      <c r="W28" s="149">
        <f>H37</f>
        <v>2040</v>
      </c>
      <c r="Y28" s="151"/>
      <c r="Z28" s="1188"/>
      <c r="AA28" s="152">
        <f>AA25</f>
        <v>27580</v>
      </c>
      <c r="AB28" s="152">
        <f>AA25*P15</f>
        <v>11032</v>
      </c>
      <c r="AC28" s="1188"/>
      <c r="AD28" s="154">
        <f>SUM(AA28:AB28)</f>
        <v>38612</v>
      </c>
    </row>
    <row r="29" spans="2:46" ht="14" customHeight="1" thickBot="1" x14ac:dyDescent="0.35">
      <c r="R29" s="144" t="s">
        <v>276</v>
      </c>
      <c r="S29" s="230"/>
      <c r="T29" s="228"/>
      <c r="U29" s="228">
        <f>T29</f>
        <v>0</v>
      </c>
      <c r="V29" s="149"/>
      <c r="W29" s="149"/>
      <c r="Y29" s="151"/>
      <c r="Z29" s="1192"/>
      <c r="AA29" s="156">
        <f>AA28/$AD$28</f>
        <v>0.7142857142857143</v>
      </c>
      <c r="AB29" s="156">
        <f>AB28/$AD$28</f>
        <v>0.2857142857142857</v>
      </c>
      <c r="AC29" s="1192"/>
      <c r="AD29" s="156">
        <f>AD28/$AD$28</f>
        <v>1</v>
      </c>
    </row>
    <row r="30" spans="2:46" ht="14" customHeight="1" thickBot="1" x14ac:dyDescent="0.35">
      <c r="R30" s="144" t="s">
        <v>277</v>
      </c>
      <c r="S30" s="1291">
        <f>$AB$1</f>
        <v>500</v>
      </c>
      <c r="T30" s="228">
        <f>S30*$P$15</f>
        <v>200</v>
      </c>
      <c r="U30" s="228">
        <f>S30+T30</f>
        <v>700</v>
      </c>
      <c r="V30" s="1143"/>
      <c r="W30" s="1143"/>
      <c r="Y30" s="141" t="s">
        <v>278</v>
      </c>
      <c r="Z30" s="1196">
        <f>V35/(S32/R1)</f>
        <v>1.3766350217923539E-3</v>
      </c>
      <c r="AA30" s="157">
        <f>S35/(S32)</f>
        <v>3.4282277465918207E-2</v>
      </c>
      <c r="AB30" s="158">
        <f>T35/T32</f>
        <v>7.5145042865631118E-3</v>
      </c>
      <c r="AC30" s="1199">
        <f>W35/U32</f>
        <v>8.4517010144965696E-4</v>
      </c>
      <c r="AD30" s="1201">
        <f>SUMPRODUCT(AA30:AB30,AA29:AB29)+AC30</f>
        <v>2.7479512373266408E-2</v>
      </c>
    </row>
    <row r="31" spans="2:46" ht="14" customHeight="1" thickBot="1" x14ac:dyDescent="0.35">
      <c r="R31" s="144" t="s">
        <v>279</v>
      </c>
      <c r="S31" s="230"/>
      <c r="T31" s="228"/>
      <c r="U31" s="228"/>
      <c r="V31" s="149"/>
      <c r="W31" s="149"/>
    </row>
    <row r="32" spans="2:46" ht="14" customHeight="1" thickBot="1" x14ac:dyDescent="0.35">
      <c r="R32" s="236" t="s">
        <v>269</v>
      </c>
      <c r="S32" s="228">
        <f>S28+S30</f>
        <v>25710</v>
      </c>
      <c r="T32" s="228">
        <f>SUM(T28:T30)</f>
        <v>10284</v>
      </c>
      <c r="U32" s="228">
        <f>SUM(U28:U30)</f>
        <v>35994</v>
      </c>
      <c r="V32" s="228">
        <f>SUM(V28:V30)</f>
        <v>5053.3448275862074</v>
      </c>
      <c r="W32" s="149">
        <f>SUM(W28:W30)</f>
        <v>2040</v>
      </c>
      <c r="AH32" s="131"/>
      <c r="AI32" s="131"/>
    </row>
    <row r="33" spans="2:23" ht="14" customHeight="1" thickBot="1" x14ac:dyDescent="0.35">
      <c r="R33" s="341"/>
      <c r="S33" s="342"/>
      <c r="T33" s="342"/>
      <c r="U33" s="343"/>
      <c r="V33" s="155"/>
      <c r="W33" s="155"/>
    </row>
    <row r="34" spans="2:23" ht="14" customHeight="1" thickBot="1" x14ac:dyDescent="0.35">
      <c r="R34" s="178" t="s">
        <v>281</v>
      </c>
      <c r="S34" s="344"/>
      <c r="T34" s="345"/>
      <c r="U34" s="344"/>
      <c r="V34" s="155"/>
      <c r="W34" s="155"/>
    </row>
    <row r="35" spans="2:23" ht="12.75" customHeight="1" thickBot="1" x14ac:dyDescent="0.35">
      <c r="B35" s="1394" t="s">
        <v>745</v>
      </c>
      <c r="C35" s="1394"/>
      <c r="D35" s="1394"/>
      <c r="E35" s="1394"/>
      <c r="F35" s="1394"/>
      <c r="G35" s="882"/>
      <c r="H35" s="882"/>
      <c r="I35" s="889"/>
      <c r="J35" s="889"/>
      <c r="K35" s="889"/>
      <c r="L35" s="889"/>
      <c r="R35" s="163" t="s">
        <v>261</v>
      </c>
      <c r="S35" s="1144">
        <f>$L$5</f>
        <v>881.39735364875708</v>
      </c>
      <c r="T35" s="1144">
        <f>SUM(L6:L9)</f>
        <v>77.279162083015038</v>
      </c>
      <c r="U35" s="1144">
        <f>S35+T35+V35+W35</f>
        <v>1050.1204759672846</v>
      </c>
      <c r="V35" s="1144">
        <f>SUM(AT6:AT19)</f>
        <v>61.02290760393349</v>
      </c>
      <c r="W35" s="1144">
        <f>L37</f>
        <v>30.421052631578952</v>
      </c>
    </row>
    <row r="36" spans="2:23" ht="12.75" customHeight="1" x14ac:dyDescent="0.25">
      <c r="B36" s="860" t="s">
        <v>253</v>
      </c>
      <c r="C36" s="860" t="s">
        <v>329</v>
      </c>
      <c r="D36" s="862" t="s">
        <v>671</v>
      </c>
      <c r="E36" s="859" t="s">
        <v>672</v>
      </c>
      <c r="F36" s="862" t="s">
        <v>673</v>
      </c>
      <c r="G36" s="882"/>
      <c r="H36" s="862" t="s">
        <v>673</v>
      </c>
      <c r="I36" s="862" t="s">
        <v>258</v>
      </c>
      <c r="J36" s="862" t="s">
        <v>259</v>
      </c>
      <c r="K36" s="862" t="s">
        <v>260</v>
      </c>
      <c r="L36" s="862" t="s">
        <v>261</v>
      </c>
    </row>
    <row r="37" spans="2:23" ht="12.75" customHeight="1" x14ac:dyDescent="0.25">
      <c r="B37" s="855" t="s">
        <v>28</v>
      </c>
      <c r="C37" s="856" t="s">
        <v>14</v>
      </c>
      <c r="D37" s="857">
        <v>12</v>
      </c>
      <c r="E37" s="855">
        <f>$AD$1</f>
        <v>170</v>
      </c>
      <c r="F37" s="855">
        <f>D37*E37</f>
        <v>2040</v>
      </c>
      <c r="G37" s="881"/>
      <c r="H37" s="855">
        <f>F37</f>
        <v>2040</v>
      </c>
      <c r="I37" s="855">
        <f>VLOOKUP(B37,All_Ingredients!$A$1:$F$151,6,FALSE())</f>
        <v>0.56999999999999995</v>
      </c>
      <c r="J37" s="855">
        <f>VLOOKUP(B37,All_Ingredients!$A$1:$J$151,10,FALSE())</f>
        <v>8.5</v>
      </c>
      <c r="K37" s="855">
        <f>(H37/I37)/1000</f>
        <v>3.5789473684210531</v>
      </c>
      <c r="L37" s="855">
        <f>K37*J37</f>
        <v>30.421052631578952</v>
      </c>
    </row>
    <row r="38" spans="2:23" ht="12.75" customHeight="1" x14ac:dyDescent="0.25">
      <c r="B38" s="100"/>
      <c r="E38" s="100"/>
      <c r="F38" s="100"/>
    </row>
    <row r="39" spans="2:23" ht="12.75" customHeight="1" x14ac:dyDescent="0.25">
      <c r="B39" s="100"/>
      <c r="C39" s="100"/>
      <c r="D39" s="346"/>
      <c r="E39" s="100"/>
      <c r="F39" s="100"/>
      <c r="G39" s="100"/>
      <c r="H39" s="100"/>
      <c r="I39" s="100"/>
      <c r="J39" s="100"/>
    </row>
    <row r="40" spans="2:23" x14ac:dyDescent="0.25">
      <c r="B40" s="100"/>
      <c r="C40" s="100"/>
      <c r="D40" s="100"/>
      <c r="E40" s="100"/>
      <c r="F40" s="100"/>
      <c r="G40" s="100"/>
      <c r="H40" s="100"/>
      <c r="I40" s="100"/>
      <c r="J40" s="100"/>
    </row>
    <row r="41" spans="2:23" ht="17.75" customHeight="1" x14ac:dyDescent="0.25">
      <c r="B41" s="284"/>
    </row>
    <row r="42" spans="2:23" ht="17.75" customHeight="1" x14ac:dyDescent="0.25">
      <c r="B42" s="262"/>
    </row>
    <row r="43" spans="2:23" ht="12.75" customHeight="1" x14ac:dyDescent="0.25">
      <c r="B43" s="347"/>
      <c r="C43" s="348"/>
      <c r="D43" s="347"/>
      <c r="E43" s="347"/>
      <c r="F43" s="347"/>
      <c r="G43" s="347"/>
      <c r="H43" s="347"/>
      <c r="I43" s="347"/>
      <c r="J43" s="347"/>
    </row>
    <row r="44" spans="2:23" ht="14" customHeight="1" x14ac:dyDescent="0.25">
      <c r="B44" s="349"/>
      <c r="C44" s="349"/>
      <c r="D44" s="333"/>
      <c r="E44" s="333"/>
      <c r="F44" s="136"/>
      <c r="G44" s="137"/>
      <c r="H44" s="138"/>
      <c r="I44" s="92"/>
      <c r="J44" s="139"/>
    </row>
    <row r="45" spans="2:23" ht="14" customHeight="1" x14ac:dyDescent="0.25">
      <c r="B45" s="349"/>
      <c r="C45" s="349"/>
      <c r="D45" s="333"/>
      <c r="E45" s="333"/>
      <c r="F45" s="136"/>
      <c r="G45" s="137"/>
      <c r="H45" s="138"/>
      <c r="I45" s="92"/>
      <c r="J45" s="139"/>
    </row>
    <row r="46" spans="2:23" ht="14.25" customHeight="1" x14ac:dyDescent="0.25">
      <c r="B46" s="349"/>
      <c r="C46" s="349"/>
      <c r="D46" s="333"/>
      <c r="E46" s="333"/>
      <c r="F46" s="136"/>
      <c r="G46" s="137"/>
      <c r="H46" s="138"/>
      <c r="I46" s="92"/>
      <c r="J46" s="139"/>
    </row>
    <row r="47" spans="2:23" ht="14.25" customHeight="1" x14ac:dyDescent="0.25">
      <c r="B47" s="349"/>
      <c r="C47" s="349"/>
      <c r="D47" s="333"/>
      <c r="E47" s="333"/>
      <c r="F47" s="136"/>
    </row>
    <row r="48" spans="2:23" ht="14.25" customHeight="1" x14ac:dyDescent="0.25">
      <c r="B48" s="349"/>
      <c r="C48" s="349"/>
      <c r="D48" s="333"/>
      <c r="E48" s="333"/>
      <c r="F48" s="136"/>
      <c r="G48" s="100"/>
      <c r="H48" s="100"/>
      <c r="I48" s="100"/>
      <c r="J48" s="100"/>
    </row>
    <row r="49" spans="1:10" ht="14.25" customHeight="1" x14ac:dyDescent="0.25">
      <c r="B49" s="349"/>
      <c r="C49" s="349"/>
      <c r="D49" s="333"/>
      <c r="E49" s="333"/>
      <c r="F49" s="136"/>
      <c r="G49" s="100"/>
      <c r="H49" s="100"/>
      <c r="I49" s="100"/>
      <c r="J49" s="100"/>
    </row>
    <row r="50" spans="1:10" ht="14.25" customHeight="1" x14ac:dyDescent="0.25">
      <c r="B50" s="349"/>
      <c r="C50" s="349"/>
      <c r="D50" s="333"/>
      <c r="E50" s="333"/>
      <c r="F50" s="136"/>
    </row>
    <row r="51" spans="1:10" ht="14.25" customHeight="1" x14ac:dyDescent="0.3">
      <c r="B51" s="179"/>
      <c r="C51" s="179"/>
      <c r="D51" s="179"/>
      <c r="E51" s="100"/>
      <c r="F51" s="100"/>
    </row>
    <row r="52" spans="1:10" ht="14.25" customHeight="1" x14ac:dyDescent="0.3">
      <c r="B52" s="179"/>
      <c r="C52" s="899"/>
      <c r="D52" s="480"/>
      <c r="E52" s="183"/>
      <c r="F52" s="100"/>
      <c r="G52" s="347"/>
      <c r="H52" s="347"/>
      <c r="I52" s="347"/>
      <c r="J52" s="347"/>
    </row>
    <row r="53" spans="1:10" ht="14.25" customHeight="1" x14ac:dyDescent="0.3">
      <c r="B53" s="11"/>
      <c r="C53" s="336"/>
      <c r="D53" s="481"/>
      <c r="E53" s="100"/>
      <c r="F53" s="100"/>
      <c r="G53" s="137"/>
      <c r="H53" s="138"/>
      <c r="I53" s="92"/>
      <c r="J53" s="139"/>
    </row>
    <row r="54" spans="1:10" ht="14.25" customHeight="1" x14ac:dyDescent="0.3">
      <c r="B54" s="11"/>
      <c r="C54" s="336"/>
      <c r="D54" s="481"/>
      <c r="E54" s="100"/>
      <c r="F54" s="100"/>
      <c r="G54" s="137"/>
      <c r="H54" s="138"/>
      <c r="I54" s="92"/>
      <c r="J54" s="139"/>
    </row>
    <row r="55" spans="1:10" ht="14.25" customHeight="1" x14ac:dyDescent="0.3">
      <c r="B55" s="11"/>
      <c r="C55" s="336"/>
      <c r="D55" s="481"/>
      <c r="E55" s="100"/>
      <c r="F55" s="100"/>
      <c r="G55" s="137"/>
      <c r="H55" s="138"/>
      <c r="I55" s="92"/>
      <c r="J55" s="139"/>
    </row>
    <row r="56" spans="1:10" ht="14.25" customHeight="1" x14ac:dyDescent="0.3">
      <c r="B56" s="11"/>
      <c r="C56" s="336"/>
      <c r="D56" s="337"/>
      <c r="E56" s="100"/>
      <c r="F56" s="100"/>
      <c r="G56" s="137"/>
      <c r="H56" s="138"/>
      <c r="I56" s="92"/>
      <c r="J56" s="139"/>
    </row>
    <row r="57" spans="1:10" ht="17.75" customHeight="1" x14ac:dyDescent="0.25">
      <c r="B57" s="262"/>
    </row>
    <row r="58" spans="1:10" ht="12.75" customHeight="1" x14ac:dyDescent="0.25">
      <c r="B58" s="347"/>
      <c r="C58" s="348"/>
      <c r="D58" s="347"/>
      <c r="E58" s="347"/>
      <c r="F58" s="347"/>
      <c r="G58" s="347"/>
      <c r="H58" s="347"/>
      <c r="I58" s="347"/>
      <c r="J58" s="347"/>
    </row>
    <row r="59" spans="1:10" ht="14.25" customHeight="1" x14ac:dyDescent="0.25">
      <c r="B59" s="349"/>
      <c r="C59" s="349"/>
      <c r="D59" s="349"/>
      <c r="E59" s="333"/>
      <c r="F59" s="136"/>
      <c r="G59" s="137"/>
      <c r="H59" s="138"/>
      <c r="I59" s="92"/>
      <c r="J59" s="139"/>
    </row>
    <row r="60" spans="1:10" ht="14.25" customHeight="1" x14ac:dyDescent="0.25">
      <c r="B60" s="349"/>
      <c r="C60" s="349"/>
      <c r="D60" s="349"/>
      <c r="E60" s="333"/>
      <c r="F60" s="136"/>
      <c r="G60" s="137"/>
      <c r="H60" s="138"/>
      <c r="I60" s="92"/>
      <c r="J60" s="139"/>
    </row>
    <row r="61" spans="1:10" ht="14.25" customHeight="1" x14ac:dyDescent="0.25">
      <c r="B61" s="349"/>
      <c r="C61" s="349"/>
      <c r="D61" s="349"/>
      <c r="E61" s="333"/>
      <c r="F61" s="136"/>
      <c r="G61" s="137"/>
      <c r="H61" s="138"/>
      <c r="I61" s="92"/>
      <c r="J61" s="139"/>
    </row>
    <row r="62" spans="1:10" ht="12.75" customHeight="1" x14ac:dyDescent="0.25">
      <c r="B62" s="262"/>
    </row>
    <row r="63" spans="1:10" ht="18" customHeight="1" x14ac:dyDescent="0.3">
      <c r="B63" s="262"/>
      <c r="C63"/>
      <c r="D63"/>
      <c r="E63"/>
      <c r="F63"/>
      <c r="G63"/>
      <c r="H63"/>
    </row>
    <row r="64" spans="1:10" ht="13" x14ac:dyDescent="0.25">
      <c r="A64" s="371"/>
      <c r="B64" s="347"/>
      <c r="C64" s="348"/>
      <c r="D64" s="347"/>
      <c r="E64" s="347"/>
      <c r="F64" s="347"/>
      <c r="G64" s="347"/>
      <c r="H64" s="347"/>
    </row>
    <row r="65" spans="2:12" ht="14" customHeight="1" x14ac:dyDescent="0.25">
      <c r="B65" s="349"/>
      <c r="C65" s="349"/>
      <c r="D65" s="898"/>
      <c r="E65" s="296"/>
      <c r="F65" s="136"/>
      <c r="G65" s="140"/>
      <c r="H65" s="138"/>
      <c r="I65" s="92"/>
      <c r="J65" s="137"/>
      <c r="K65" s="92"/>
      <c r="L65" s="137"/>
    </row>
    <row r="66" spans="2:12" ht="14.25" customHeight="1" x14ac:dyDescent="0.25">
      <c r="B66" s="349"/>
      <c r="C66" s="349"/>
      <c r="D66" s="349"/>
      <c r="E66" s="483"/>
      <c r="F66" s="136"/>
      <c r="G66" s="137"/>
      <c r="H66" s="138"/>
    </row>
    <row r="67" spans="2:12" ht="14.25" customHeight="1" x14ac:dyDescent="0.25">
      <c r="B67" s="349"/>
      <c r="C67" s="349"/>
      <c r="D67" s="349"/>
      <c r="E67" s="483"/>
      <c r="F67" s="136"/>
      <c r="G67" s="137"/>
      <c r="H67" s="138"/>
    </row>
    <row r="68" spans="2:12" ht="14.25" customHeight="1" x14ac:dyDescent="0.25">
      <c r="B68" s="349"/>
      <c r="C68" s="349"/>
      <c r="D68" s="349"/>
      <c r="E68" s="483"/>
      <c r="F68" s="136"/>
      <c r="G68" s="137"/>
      <c r="H68" s="138"/>
    </row>
    <row r="69" spans="2:12" ht="14.25" customHeight="1" x14ac:dyDescent="0.25">
      <c r="B69" s="349"/>
      <c r="C69" s="349"/>
      <c r="D69" s="349"/>
      <c r="E69" s="483"/>
      <c r="F69" s="136"/>
      <c r="G69" s="137"/>
      <c r="H69" s="138"/>
    </row>
    <row r="70" spans="2:12" ht="14.25" customHeight="1" x14ac:dyDescent="0.25">
      <c r="B70" s="349"/>
      <c r="C70" s="349"/>
      <c r="D70" s="349"/>
      <c r="E70" s="483"/>
      <c r="F70" s="136"/>
      <c r="G70" s="137"/>
      <c r="H70" s="138"/>
    </row>
    <row r="71" spans="2:12" ht="14.25" customHeight="1" x14ac:dyDescent="0.25">
      <c r="B71" s="349"/>
      <c r="C71" s="349"/>
      <c r="D71" s="349"/>
      <c r="E71" s="483"/>
      <c r="F71" s="136"/>
      <c r="G71" s="137"/>
      <c r="H71" s="138"/>
    </row>
    <row r="72" spans="2:12" ht="14.25" customHeight="1" x14ac:dyDescent="0.25">
      <c r="B72" s="349"/>
      <c r="C72" s="349"/>
      <c r="D72" s="349"/>
      <c r="E72" s="483"/>
      <c r="F72" s="136"/>
      <c r="G72" s="137"/>
      <c r="H72" s="138"/>
    </row>
    <row r="73" spans="2:12" ht="14.25" customHeight="1" x14ac:dyDescent="0.25">
      <c r="B73" s="349"/>
      <c r="C73" s="349"/>
      <c r="D73" s="349"/>
      <c r="E73" s="483"/>
      <c r="F73" s="136"/>
      <c r="G73" s="137"/>
      <c r="H73" s="138"/>
    </row>
    <row r="74" spans="2:12" ht="14.25" customHeight="1" x14ac:dyDescent="0.25">
      <c r="B74" s="349"/>
      <c r="C74" s="349"/>
      <c r="D74" s="349"/>
      <c r="E74" s="483"/>
      <c r="F74" s="136"/>
      <c r="G74" s="137"/>
      <c r="H74" s="138"/>
    </row>
    <row r="75" spans="2:12" ht="14.25" customHeight="1" x14ac:dyDescent="0.25">
      <c r="B75" s="349"/>
      <c r="C75" s="349"/>
      <c r="D75" s="349"/>
      <c r="E75" s="483"/>
      <c r="F75" s="136"/>
      <c r="G75" s="137"/>
      <c r="H75" s="138"/>
    </row>
    <row r="76" spans="2:12" ht="20.25" customHeight="1" x14ac:dyDescent="0.4">
      <c r="B76" s="204"/>
      <c r="C76" s="484"/>
      <c r="D76" s="485"/>
      <c r="E76" s="486"/>
      <c r="F76" s="485"/>
      <c r="G76" s="487"/>
    </row>
    <row r="78" spans="2:12" ht="12.75" customHeight="1" x14ac:dyDescent="0.25">
      <c r="E78" s="100"/>
      <c r="F78" s="100"/>
    </row>
    <row r="79" spans="2:12" ht="12.75" customHeight="1" x14ac:dyDescent="0.25">
      <c r="E79" s="100"/>
      <c r="F79" s="100"/>
    </row>
    <row r="80" spans="2:12" ht="12.75" customHeight="1" x14ac:dyDescent="0.25">
      <c r="B80" s="100"/>
      <c r="E80" s="100"/>
      <c r="F80" s="100"/>
    </row>
    <row r="81" spans="2:6" ht="12.75" customHeight="1" x14ac:dyDescent="0.25">
      <c r="B81" s="100"/>
      <c r="E81" s="100"/>
      <c r="F81" s="100"/>
    </row>
    <row r="82" spans="2:6" ht="12.75" customHeight="1" x14ac:dyDescent="0.25">
      <c r="B82" s="100"/>
      <c r="E82" s="100"/>
      <c r="F82" s="100"/>
    </row>
    <row r="83" spans="2:6" ht="12.75" customHeight="1" x14ac:dyDescent="0.25">
      <c r="B83" s="100"/>
      <c r="E83" s="100"/>
      <c r="F83" s="100"/>
    </row>
    <row r="84" spans="2:6" ht="12.75" customHeight="1" x14ac:dyDescent="0.25">
      <c r="B84" s="100"/>
      <c r="E84" s="100"/>
      <c r="F84" s="100"/>
    </row>
    <row r="85" spans="2:6" ht="12.75" customHeight="1" x14ac:dyDescent="0.25">
      <c r="B85" s="100"/>
      <c r="E85" s="100"/>
      <c r="F85" s="100"/>
    </row>
    <row r="86" spans="2:6" ht="12.75" customHeight="1" x14ac:dyDescent="0.25">
      <c r="B86" s="100"/>
      <c r="E86" s="100"/>
      <c r="F86" s="100"/>
    </row>
    <row r="87" spans="2:6" ht="12.75" customHeight="1" x14ac:dyDescent="0.25">
      <c r="B87" s="100"/>
      <c r="E87" s="100"/>
      <c r="F87" s="100"/>
    </row>
    <row r="88" spans="2:6" ht="12.75" customHeight="1" x14ac:dyDescent="0.25">
      <c r="B88" s="100"/>
      <c r="E88" s="100"/>
      <c r="F88" s="100"/>
    </row>
    <row r="89" spans="2:6" ht="12.75" customHeight="1" x14ac:dyDescent="0.25">
      <c r="B89" s="100"/>
      <c r="E89" s="100"/>
      <c r="F89" s="100"/>
    </row>
    <row r="90" spans="2:6" ht="12.75" customHeight="1" x14ac:dyDescent="0.25">
      <c r="B90" s="100"/>
      <c r="E90" s="100"/>
      <c r="F90" s="100"/>
    </row>
    <row r="91" spans="2:6" ht="12.75" customHeight="1" x14ac:dyDescent="0.25">
      <c r="B91" s="100"/>
      <c r="E91" s="100"/>
      <c r="F91" s="100"/>
    </row>
    <row r="92" spans="2:6" ht="12.75" customHeight="1" x14ac:dyDescent="0.25">
      <c r="B92" s="100"/>
      <c r="E92" s="100"/>
      <c r="F92" s="100"/>
    </row>
    <row r="93" spans="2:6" ht="12.75" customHeight="1" x14ac:dyDescent="0.25">
      <c r="B93" s="100"/>
      <c r="E93" s="100"/>
      <c r="F93" s="100"/>
    </row>
    <row r="94" spans="2:6" ht="12.75" customHeight="1" x14ac:dyDescent="0.25">
      <c r="B94" s="100"/>
      <c r="E94" s="100"/>
      <c r="F94" s="100"/>
    </row>
    <row r="95" spans="2:6" ht="12.75" customHeight="1" x14ac:dyDescent="0.25">
      <c r="B95" s="100"/>
      <c r="E95" s="100"/>
      <c r="F95" s="100"/>
    </row>
    <row r="96" spans="2:6" ht="12.75" customHeight="1" x14ac:dyDescent="0.25">
      <c r="B96" s="100"/>
      <c r="E96" s="100"/>
      <c r="F96" s="100"/>
    </row>
    <row r="97" spans="2:6" ht="12.75" customHeight="1" x14ac:dyDescent="0.25">
      <c r="B97" s="100"/>
      <c r="E97" s="100"/>
      <c r="F97" s="100"/>
    </row>
    <row r="98" spans="2:6" ht="12.75" customHeight="1" x14ac:dyDescent="0.25">
      <c r="B98" s="100"/>
      <c r="E98" s="100"/>
      <c r="F98" s="100"/>
    </row>
    <row r="99" spans="2:6" ht="12.75" customHeight="1" x14ac:dyDescent="0.25">
      <c r="B99" s="100"/>
      <c r="E99" s="100"/>
      <c r="F99" s="100"/>
    </row>
    <row r="100" spans="2:6" ht="12.75" customHeight="1" x14ac:dyDescent="0.25">
      <c r="B100" s="100"/>
      <c r="E100" s="100"/>
      <c r="F100" s="100"/>
    </row>
    <row r="101" spans="2:6" ht="12.75" customHeight="1" x14ac:dyDescent="0.25">
      <c r="B101" s="100"/>
      <c r="E101" s="100"/>
      <c r="F101" s="100"/>
    </row>
    <row r="102" spans="2:6" ht="12.75" customHeight="1" x14ac:dyDescent="0.25">
      <c r="B102" s="100"/>
      <c r="E102" s="100"/>
      <c r="F102" s="100"/>
    </row>
    <row r="103" spans="2:6" ht="12.75" customHeight="1" x14ac:dyDescent="0.25">
      <c r="B103" s="100"/>
      <c r="E103" s="100"/>
      <c r="F103" s="100"/>
    </row>
    <row r="104" spans="2:6" ht="12.75" customHeight="1" x14ac:dyDescent="0.25">
      <c r="B104" s="100"/>
      <c r="E104" s="100"/>
      <c r="F104" s="100"/>
    </row>
    <row r="105" spans="2:6" ht="12.75" customHeight="1" x14ac:dyDescent="0.25">
      <c r="B105" s="100"/>
      <c r="E105" s="100"/>
      <c r="F105" s="100"/>
    </row>
    <row r="106" spans="2:6" ht="12.75" customHeight="1" x14ac:dyDescent="0.25">
      <c r="B106" s="100"/>
      <c r="E106" s="100"/>
      <c r="F106" s="100"/>
    </row>
    <row r="107" spans="2:6" ht="12.75" customHeight="1" x14ac:dyDescent="0.25">
      <c r="B107" s="100"/>
      <c r="E107" s="100"/>
      <c r="F107" s="100"/>
    </row>
    <row r="108" spans="2:6" ht="12.75" customHeight="1" x14ac:dyDescent="0.25">
      <c r="B108" s="100"/>
      <c r="E108" s="100"/>
      <c r="F108" s="100"/>
    </row>
    <row r="109" spans="2:6" ht="12.75" customHeight="1" x14ac:dyDescent="0.25">
      <c r="B109" s="100"/>
      <c r="E109" s="100"/>
      <c r="F109" s="100"/>
    </row>
    <row r="110" spans="2:6" ht="12.75" customHeight="1" x14ac:dyDescent="0.25">
      <c r="B110" s="100"/>
      <c r="E110" s="100"/>
      <c r="F110" s="100"/>
    </row>
    <row r="111" spans="2:6" ht="12.75" customHeight="1" x14ac:dyDescent="0.25">
      <c r="B111" s="100"/>
      <c r="E111" s="100"/>
      <c r="F111" s="100"/>
    </row>
    <row r="112" spans="2:6" ht="12.75" customHeight="1" x14ac:dyDescent="0.25">
      <c r="B112" s="100"/>
      <c r="E112" s="100"/>
      <c r="F112" s="100"/>
    </row>
    <row r="113" spans="2:6" ht="12.75" customHeight="1" x14ac:dyDescent="0.25">
      <c r="B113" s="100"/>
      <c r="E113" s="100"/>
      <c r="F113" s="100"/>
    </row>
    <row r="114" spans="2:6" ht="12.75" customHeight="1" x14ac:dyDescent="0.25">
      <c r="B114" s="100"/>
      <c r="E114" s="100"/>
      <c r="F114" s="100"/>
    </row>
    <row r="115" spans="2:6" ht="12.75" customHeight="1" x14ac:dyDescent="0.25">
      <c r="B115" s="100"/>
      <c r="E115" s="100"/>
      <c r="F115" s="100"/>
    </row>
    <row r="116" spans="2:6" ht="12.75" customHeight="1" x14ac:dyDescent="0.25">
      <c r="B116" s="100"/>
      <c r="E116" s="100"/>
      <c r="F116" s="100"/>
    </row>
    <row r="117" spans="2:6" ht="12.75" customHeight="1" x14ac:dyDescent="0.25">
      <c r="B117" s="100"/>
      <c r="E117" s="100"/>
      <c r="F117" s="100"/>
    </row>
    <row r="118" spans="2:6" ht="12.75" customHeight="1" x14ac:dyDescent="0.25">
      <c r="B118" s="100"/>
      <c r="E118" s="100"/>
      <c r="F118" s="100"/>
    </row>
    <row r="119" spans="2:6" ht="12.75" customHeight="1" x14ac:dyDescent="0.25">
      <c r="B119" s="100"/>
      <c r="E119" s="100"/>
      <c r="F119" s="100"/>
    </row>
    <row r="120" spans="2:6" ht="12.75" customHeight="1" x14ac:dyDescent="0.25">
      <c r="B120" s="100"/>
      <c r="E120" s="100"/>
      <c r="F120" s="100"/>
    </row>
    <row r="121" spans="2:6" ht="12.75" customHeight="1" x14ac:dyDescent="0.25">
      <c r="B121" s="100"/>
      <c r="E121" s="100"/>
      <c r="F121" s="100"/>
    </row>
    <row r="122" spans="2:6" ht="12.75" customHeight="1" x14ac:dyDescent="0.25">
      <c r="B122" s="100"/>
      <c r="E122" s="100"/>
      <c r="F122" s="100"/>
    </row>
    <row r="123" spans="2:6" ht="12.75" customHeight="1" x14ac:dyDescent="0.25">
      <c r="B123" s="100"/>
      <c r="E123" s="100"/>
      <c r="F123" s="100"/>
    </row>
    <row r="124" spans="2:6" ht="12.75" customHeight="1" x14ac:dyDescent="0.25">
      <c r="B124" s="100"/>
      <c r="E124" s="100"/>
      <c r="F124" s="100"/>
    </row>
    <row r="125" spans="2:6" ht="12.75" customHeight="1" x14ac:dyDescent="0.25">
      <c r="B125" s="100"/>
      <c r="E125" s="100"/>
      <c r="F125" s="100"/>
    </row>
    <row r="126" spans="2:6" ht="12.75" customHeight="1" x14ac:dyDescent="0.25">
      <c r="B126" s="100"/>
      <c r="E126" s="100"/>
      <c r="F126" s="100"/>
    </row>
    <row r="127" spans="2:6" ht="12.75" customHeight="1" x14ac:dyDescent="0.25">
      <c r="B127" s="100"/>
      <c r="E127" s="100"/>
      <c r="F127" s="100"/>
    </row>
    <row r="128" spans="2:6" ht="12.75" customHeight="1" x14ac:dyDescent="0.25">
      <c r="B128" s="100"/>
      <c r="E128" s="100"/>
      <c r="F128" s="100"/>
    </row>
    <row r="129" spans="2:6" ht="12.75" customHeight="1" x14ac:dyDescent="0.25">
      <c r="B129" s="100"/>
      <c r="E129" s="100"/>
      <c r="F129" s="100"/>
    </row>
    <row r="130" spans="2:6" ht="12.75" customHeight="1" x14ac:dyDescent="0.25">
      <c r="B130" s="100"/>
      <c r="E130" s="100"/>
      <c r="F130" s="100"/>
    </row>
    <row r="131" spans="2:6" ht="12.75" customHeight="1" x14ac:dyDescent="0.25">
      <c r="B131" s="100"/>
      <c r="E131" s="100"/>
      <c r="F131" s="100"/>
    </row>
    <row r="132" spans="2:6" ht="12.75" customHeight="1" x14ac:dyDescent="0.25">
      <c r="B132" s="100"/>
      <c r="E132" s="100"/>
      <c r="F132" s="100"/>
    </row>
    <row r="133" spans="2:6" ht="12.75" customHeight="1" x14ac:dyDescent="0.25">
      <c r="B133" s="100"/>
      <c r="E133" s="100"/>
      <c r="F133" s="100"/>
    </row>
    <row r="134" spans="2:6" ht="12.75" customHeight="1" x14ac:dyDescent="0.25">
      <c r="B134" s="100"/>
      <c r="E134" s="100"/>
      <c r="F134" s="100"/>
    </row>
    <row r="135" spans="2:6" ht="12.75" customHeight="1" x14ac:dyDescent="0.25">
      <c r="B135" s="100"/>
      <c r="E135" s="100"/>
      <c r="F135" s="100"/>
    </row>
    <row r="136" spans="2:6" ht="12.75" customHeight="1" x14ac:dyDescent="0.25">
      <c r="B136" s="100"/>
      <c r="E136" s="100"/>
      <c r="F136" s="100"/>
    </row>
    <row r="137" spans="2:6" ht="12.75" customHeight="1" x14ac:dyDescent="0.25">
      <c r="B137" s="100"/>
      <c r="E137" s="100"/>
      <c r="F137" s="100"/>
    </row>
    <row r="138" spans="2:6" ht="12.75" customHeight="1" x14ac:dyDescent="0.25">
      <c r="B138" s="100"/>
      <c r="E138" s="100"/>
      <c r="F138" s="100"/>
    </row>
    <row r="139" spans="2:6" ht="12.75" customHeight="1" x14ac:dyDescent="0.25">
      <c r="B139" s="100"/>
      <c r="E139" s="100"/>
      <c r="F139" s="100"/>
    </row>
    <row r="140" spans="2:6" ht="12.75" customHeight="1" x14ac:dyDescent="0.25">
      <c r="B140" s="100"/>
      <c r="E140" s="100"/>
      <c r="F140" s="100"/>
    </row>
    <row r="141" spans="2:6" ht="12.75" customHeight="1" x14ac:dyDescent="0.25">
      <c r="B141" s="100"/>
      <c r="E141" s="100"/>
      <c r="F141" s="100"/>
    </row>
    <row r="142" spans="2:6" ht="12.75" customHeight="1" x14ac:dyDescent="0.25">
      <c r="B142" s="100"/>
      <c r="E142" s="100"/>
      <c r="F142" s="100"/>
    </row>
    <row r="143" spans="2:6" ht="12.75" customHeight="1" x14ac:dyDescent="0.25">
      <c r="B143" s="100"/>
      <c r="E143" s="100"/>
      <c r="F143" s="100"/>
    </row>
    <row r="144" spans="2:6" ht="12.75" customHeight="1" x14ac:dyDescent="0.25">
      <c r="B144" s="100"/>
      <c r="E144" s="100"/>
      <c r="F144" s="100"/>
    </row>
    <row r="145" spans="2:6" ht="12.75" customHeight="1" x14ac:dyDescent="0.25">
      <c r="B145" s="100"/>
      <c r="E145" s="100"/>
      <c r="F145" s="100"/>
    </row>
    <row r="146" spans="2:6" ht="12.75" customHeight="1" x14ac:dyDescent="0.25">
      <c r="B146" s="100"/>
      <c r="E146" s="100"/>
      <c r="F146" s="100"/>
    </row>
    <row r="147" spans="2:6" ht="12.75" customHeight="1" x14ac:dyDescent="0.25">
      <c r="B147" s="100"/>
      <c r="E147" s="100"/>
      <c r="F147" s="100"/>
    </row>
    <row r="148" spans="2:6" ht="12.75" customHeight="1" x14ac:dyDescent="0.25">
      <c r="B148" s="100"/>
      <c r="E148" s="100"/>
      <c r="F148" s="100"/>
    </row>
    <row r="149" spans="2:6" ht="12.75" customHeight="1" x14ac:dyDescent="0.25">
      <c r="B149" s="100"/>
      <c r="E149" s="100"/>
      <c r="F149" s="100"/>
    </row>
    <row r="150" spans="2:6" ht="12.75" customHeight="1" x14ac:dyDescent="0.25">
      <c r="B150" s="100"/>
      <c r="E150" s="100"/>
      <c r="F150" s="100"/>
    </row>
    <row r="151" spans="2:6" ht="12.75" customHeight="1" x14ac:dyDescent="0.25">
      <c r="B151" s="100"/>
      <c r="E151" s="100"/>
      <c r="F151" s="100"/>
    </row>
    <row r="152" spans="2:6" ht="12.75" customHeight="1" x14ac:dyDescent="0.25">
      <c r="B152" s="100"/>
      <c r="E152" s="100"/>
      <c r="F152" s="100"/>
    </row>
    <row r="153" spans="2:6" ht="12.75" customHeight="1" x14ac:dyDescent="0.25">
      <c r="B153" s="100"/>
      <c r="E153" s="100"/>
      <c r="F153" s="100"/>
    </row>
    <row r="154" spans="2:6" ht="12.75" customHeight="1" x14ac:dyDescent="0.25">
      <c r="B154" s="100"/>
      <c r="E154" s="100"/>
      <c r="F154" s="100"/>
    </row>
    <row r="155" spans="2:6" ht="12.75" customHeight="1" x14ac:dyDescent="0.25">
      <c r="B155" s="100"/>
      <c r="E155" s="100"/>
      <c r="F155" s="100"/>
    </row>
    <row r="156" spans="2:6" ht="12.75" customHeight="1" x14ac:dyDescent="0.25">
      <c r="B156" s="100"/>
      <c r="E156" s="100"/>
      <c r="F156" s="100"/>
    </row>
    <row r="157" spans="2:6" ht="12.75" customHeight="1" x14ac:dyDescent="0.25">
      <c r="B157" s="100"/>
      <c r="E157" s="100"/>
      <c r="F157" s="100"/>
    </row>
    <row r="158" spans="2:6" ht="12.75" customHeight="1" x14ac:dyDescent="0.25">
      <c r="B158" s="100"/>
      <c r="E158" s="100"/>
      <c r="F158" s="100"/>
    </row>
    <row r="159" spans="2:6" ht="12.75" customHeight="1" x14ac:dyDescent="0.25">
      <c r="B159" s="100"/>
      <c r="E159" s="100"/>
      <c r="F159" s="100"/>
    </row>
    <row r="160" spans="2:6" ht="12.75" customHeight="1" x14ac:dyDescent="0.25">
      <c r="B160" s="100"/>
      <c r="E160" s="100"/>
      <c r="F160" s="100"/>
    </row>
    <row r="161" spans="2:6" ht="12.75" customHeight="1" x14ac:dyDescent="0.25">
      <c r="B161" s="100"/>
      <c r="E161" s="100"/>
      <c r="F161" s="100"/>
    </row>
    <row r="162" spans="2:6" ht="12.75" customHeight="1" x14ac:dyDescent="0.25">
      <c r="B162" s="100"/>
      <c r="E162" s="100"/>
      <c r="F162" s="100"/>
    </row>
    <row r="163" spans="2:6" ht="12.75" customHeight="1" x14ac:dyDescent="0.25">
      <c r="B163" s="100"/>
      <c r="E163" s="100"/>
      <c r="F163" s="100"/>
    </row>
    <row r="164" spans="2:6" ht="12.75" customHeight="1" x14ac:dyDescent="0.25">
      <c r="B164" s="100"/>
      <c r="E164" s="100"/>
      <c r="F164" s="100"/>
    </row>
    <row r="165" spans="2:6" ht="12.75" customHeight="1" x14ac:dyDescent="0.25">
      <c r="B165" s="100"/>
      <c r="E165" s="100"/>
      <c r="F165" s="100"/>
    </row>
    <row r="166" spans="2:6" ht="12.75" customHeight="1" x14ac:dyDescent="0.25">
      <c r="B166" s="100"/>
      <c r="E166" s="100"/>
      <c r="F166" s="100"/>
    </row>
    <row r="167" spans="2:6" ht="12.75" customHeight="1" x14ac:dyDescent="0.25">
      <c r="B167" s="100"/>
      <c r="E167" s="100"/>
      <c r="F167" s="100"/>
    </row>
    <row r="168" spans="2:6" ht="12.75" customHeight="1" x14ac:dyDescent="0.25">
      <c r="B168" s="100"/>
      <c r="E168" s="100"/>
      <c r="F168" s="100"/>
    </row>
    <row r="169" spans="2:6" ht="12.75" customHeight="1" x14ac:dyDescent="0.25">
      <c r="B169" s="100"/>
      <c r="E169" s="100"/>
      <c r="F169" s="100"/>
    </row>
    <row r="170" spans="2:6" ht="12.75" customHeight="1" x14ac:dyDescent="0.25">
      <c r="B170" s="100"/>
      <c r="E170" s="100"/>
      <c r="F170" s="100"/>
    </row>
    <row r="171" spans="2:6" ht="12.75" customHeight="1" x14ac:dyDescent="0.25">
      <c r="B171" s="100"/>
      <c r="E171" s="100"/>
      <c r="F171" s="100"/>
    </row>
    <row r="172" spans="2:6" ht="12.75" customHeight="1" x14ac:dyDescent="0.25">
      <c r="B172" s="100"/>
      <c r="E172" s="100"/>
      <c r="F172" s="100"/>
    </row>
    <row r="173" spans="2:6" ht="12.75" customHeight="1" x14ac:dyDescent="0.25">
      <c r="B173" s="100"/>
      <c r="E173" s="100"/>
      <c r="F173" s="100"/>
    </row>
    <row r="174" spans="2:6" ht="12.75" customHeight="1" x14ac:dyDescent="0.25">
      <c r="B174" s="100"/>
      <c r="E174" s="100"/>
      <c r="F174" s="100"/>
    </row>
    <row r="175" spans="2:6" ht="12.75" customHeight="1" x14ac:dyDescent="0.25">
      <c r="B175" s="100"/>
      <c r="E175" s="100"/>
      <c r="F175" s="100"/>
    </row>
    <row r="176" spans="2:6" ht="12.75" customHeight="1" x14ac:dyDescent="0.25">
      <c r="B176" s="100"/>
      <c r="E176" s="100"/>
      <c r="F176" s="100"/>
    </row>
    <row r="177" spans="2:6" ht="12.75" customHeight="1" x14ac:dyDescent="0.25">
      <c r="B177" s="100"/>
      <c r="E177" s="100"/>
      <c r="F177" s="100"/>
    </row>
    <row r="178" spans="2:6" ht="12.75" customHeight="1" x14ac:dyDescent="0.25">
      <c r="B178" s="100"/>
      <c r="E178" s="100"/>
      <c r="F178" s="100"/>
    </row>
    <row r="179" spans="2:6" ht="12.75" customHeight="1" x14ac:dyDescent="0.25">
      <c r="B179" s="100"/>
      <c r="E179" s="100"/>
      <c r="F179" s="100"/>
    </row>
    <row r="180" spans="2:6" ht="12.75" customHeight="1" x14ac:dyDescent="0.25">
      <c r="B180" s="100"/>
      <c r="E180" s="100"/>
      <c r="F180" s="100"/>
    </row>
    <row r="181" spans="2:6" ht="12.75" customHeight="1" x14ac:dyDescent="0.25">
      <c r="B181" s="100"/>
      <c r="E181" s="100"/>
      <c r="F181" s="100"/>
    </row>
    <row r="182" spans="2:6" ht="12.75" customHeight="1" x14ac:dyDescent="0.25">
      <c r="B182" s="100"/>
      <c r="E182" s="100"/>
      <c r="F182" s="100"/>
    </row>
    <row r="183" spans="2:6" ht="12.75" customHeight="1" x14ac:dyDescent="0.25">
      <c r="B183" s="100"/>
      <c r="E183" s="100"/>
      <c r="F183" s="100"/>
    </row>
    <row r="184" spans="2:6" ht="12.75" customHeight="1" x14ac:dyDescent="0.25">
      <c r="B184" s="100"/>
      <c r="E184" s="100"/>
      <c r="F184" s="100"/>
    </row>
    <row r="185" spans="2:6" ht="12.75" customHeight="1" x14ac:dyDescent="0.25">
      <c r="B185" s="100"/>
      <c r="E185" s="100"/>
      <c r="F185" s="100"/>
    </row>
    <row r="186" spans="2:6" ht="12.75" customHeight="1" x14ac:dyDescent="0.25">
      <c r="B186" s="100"/>
      <c r="E186" s="100"/>
      <c r="F186" s="100"/>
    </row>
    <row r="187" spans="2:6" ht="12.75" customHeight="1" x14ac:dyDescent="0.25">
      <c r="B187" s="100"/>
      <c r="E187" s="100"/>
      <c r="F187" s="100"/>
    </row>
    <row r="188" spans="2:6" ht="12.75" customHeight="1" x14ac:dyDescent="0.25">
      <c r="B188" s="100"/>
      <c r="E188" s="100"/>
      <c r="F188" s="100"/>
    </row>
    <row r="189" spans="2:6" ht="12.75" customHeight="1" x14ac:dyDescent="0.25">
      <c r="B189" s="100"/>
      <c r="E189" s="100"/>
      <c r="F189" s="100"/>
    </row>
    <row r="190" spans="2:6" ht="12.75" customHeight="1" x14ac:dyDescent="0.25">
      <c r="B190" s="100"/>
      <c r="E190" s="100"/>
      <c r="F190" s="100"/>
    </row>
    <row r="191" spans="2:6" ht="12.75" customHeight="1" x14ac:dyDescent="0.25">
      <c r="B191" s="100"/>
      <c r="E191" s="100"/>
      <c r="F191" s="100"/>
    </row>
    <row r="192" spans="2:6" ht="12.75" customHeight="1" x14ac:dyDescent="0.25">
      <c r="B192" s="100"/>
      <c r="E192" s="100"/>
      <c r="F192" s="100"/>
    </row>
    <row r="193" spans="2:6" ht="12.75" customHeight="1" x14ac:dyDescent="0.25">
      <c r="B193" s="100"/>
      <c r="E193" s="100"/>
      <c r="F193" s="100"/>
    </row>
    <row r="194" spans="2:6" ht="12.75" customHeight="1" x14ac:dyDescent="0.25">
      <c r="B194" s="100"/>
      <c r="E194" s="100"/>
      <c r="F194" s="100"/>
    </row>
    <row r="195" spans="2:6" ht="12.75" customHeight="1" x14ac:dyDescent="0.25">
      <c r="B195" s="100"/>
      <c r="E195" s="100"/>
      <c r="F195" s="100"/>
    </row>
    <row r="196" spans="2:6" ht="12.75" customHeight="1" x14ac:dyDescent="0.25">
      <c r="B196" s="100"/>
      <c r="E196" s="100"/>
      <c r="F196" s="100"/>
    </row>
    <row r="197" spans="2:6" ht="12.75" customHeight="1" x14ac:dyDescent="0.25">
      <c r="B197" s="100"/>
      <c r="E197" s="100"/>
      <c r="F197" s="100"/>
    </row>
    <row r="198" spans="2:6" ht="12.75" customHeight="1" x14ac:dyDescent="0.25">
      <c r="B198" s="100"/>
      <c r="E198" s="100"/>
      <c r="F198" s="100"/>
    </row>
    <row r="199" spans="2:6" ht="12.75" customHeight="1" x14ac:dyDescent="0.25">
      <c r="B199" s="100"/>
      <c r="E199" s="100"/>
      <c r="F199" s="100"/>
    </row>
    <row r="200" spans="2:6" ht="12.75" customHeight="1" x14ac:dyDescent="0.25">
      <c r="B200" s="100"/>
      <c r="E200" s="100"/>
      <c r="F200" s="100"/>
    </row>
    <row r="201" spans="2:6" ht="12.75" customHeight="1" x14ac:dyDescent="0.25">
      <c r="B201" s="100"/>
      <c r="E201" s="100"/>
      <c r="F201" s="100"/>
    </row>
    <row r="202" spans="2:6" ht="12.75" customHeight="1" x14ac:dyDescent="0.25">
      <c r="B202" s="100"/>
      <c r="E202" s="100"/>
      <c r="F202" s="100"/>
    </row>
    <row r="203" spans="2:6" ht="12.75" customHeight="1" x14ac:dyDescent="0.25">
      <c r="B203" s="100"/>
      <c r="E203" s="100"/>
      <c r="F203" s="100"/>
    </row>
    <row r="204" spans="2:6" ht="12.75" customHeight="1" x14ac:dyDescent="0.25">
      <c r="B204" s="100"/>
      <c r="E204" s="100"/>
      <c r="F204" s="100"/>
    </row>
    <row r="205" spans="2:6" ht="12.75" customHeight="1" x14ac:dyDescent="0.25">
      <c r="B205" s="100"/>
      <c r="E205" s="100"/>
      <c r="F205" s="100"/>
    </row>
    <row r="206" spans="2:6" ht="12.75" customHeight="1" x14ac:dyDescent="0.25">
      <c r="B206" s="100"/>
      <c r="E206" s="100"/>
      <c r="F206" s="100"/>
    </row>
    <row r="207" spans="2:6" ht="12.75" customHeight="1" x14ac:dyDescent="0.25">
      <c r="B207" s="100"/>
      <c r="E207" s="100"/>
      <c r="F207" s="100"/>
    </row>
    <row r="208" spans="2:6" ht="12.75" customHeight="1" x14ac:dyDescent="0.25">
      <c r="B208" s="100"/>
      <c r="E208" s="100"/>
      <c r="F208" s="100"/>
    </row>
    <row r="209" spans="2:6" ht="12.75" customHeight="1" x14ac:dyDescent="0.25">
      <c r="B209" s="100"/>
      <c r="E209" s="100"/>
      <c r="F209" s="100"/>
    </row>
    <row r="210" spans="2:6" ht="12.75" customHeight="1" x14ac:dyDescent="0.25">
      <c r="B210" s="100"/>
      <c r="E210" s="100"/>
      <c r="F210" s="100"/>
    </row>
    <row r="211" spans="2:6" ht="12.75" customHeight="1" x14ac:dyDescent="0.25">
      <c r="B211" s="100"/>
      <c r="E211" s="100"/>
      <c r="F211" s="100"/>
    </row>
    <row r="212" spans="2:6" ht="12.75" customHeight="1" x14ac:dyDescent="0.25">
      <c r="B212" s="100"/>
      <c r="E212" s="100"/>
      <c r="F212" s="100"/>
    </row>
    <row r="213" spans="2:6" ht="12.75" customHeight="1" x14ac:dyDescent="0.25">
      <c r="B213" s="100"/>
      <c r="E213" s="100"/>
      <c r="F213" s="100"/>
    </row>
    <row r="214" spans="2:6" ht="12.75" customHeight="1" x14ac:dyDescent="0.25">
      <c r="B214" s="100"/>
      <c r="E214" s="100"/>
      <c r="F214" s="100"/>
    </row>
    <row r="215" spans="2:6" ht="12.75" customHeight="1" x14ac:dyDescent="0.25">
      <c r="B215" s="100"/>
      <c r="E215" s="100"/>
      <c r="F215" s="100"/>
    </row>
    <row r="216" spans="2:6" ht="12.75" customHeight="1" x14ac:dyDescent="0.25">
      <c r="B216" s="100"/>
      <c r="E216" s="100"/>
      <c r="F216" s="100"/>
    </row>
    <row r="217" spans="2:6" ht="12.75" customHeight="1" x14ac:dyDescent="0.25">
      <c r="B217" s="100"/>
      <c r="E217" s="100"/>
      <c r="F217" s="100"/>
    </row>
    <row r="218" spans="2:6" ht="12.75" customHeight="1" x14ac:dyDescent="0.25">
      <c r="B218" s="100"/>
      <c r="E218" s="100"/>
      <c r="F218" s="100"/>
    </row>
    <row r="219" spans="2:6" ht="12.75" customHeight="1" x14ac:dyDescent="0.25">
      <c r="B219" s="100"/>
      <c r="E219" s="100"/>
      <c r="F219" s="100"/>
    </row>
    <row r="220" spans="2:6" ht="12.75" customHeight="1" x14ac:dyDescent="0.25">
      <c r="B220" s="100"/>
      <c r="E220" s="100"/>
      <c r="F220" s="100"/>
    </row>
    <row r="221" spans="2:6" ht="12.75" customHeight="1" x14ac:dyDescent="0.25">
      <c r="B221" s="100"/>
      <c r="E221" s="100"/>
      <c r="F221" s="100"/>
    </row>
    <row r="222" spans="2:6" ht="12.75" customHeight="1" x14ac:dyDescent="0.25">
      <c r="B222" s="100"/>
      <c r="E222" s="100"/>
      <c r="F222" s="100"/>
    </row>
    <row r="223" spans="2:6" ht="12.75" customHeight="1" x14ac:dyDescent="0.25">
      <c r="B223" s="100"/>
      <c r="E223" s="100"/>
      <c r="F223" s="100"/>
    </row>
    <row r="224" spans="2:6" ht="12.75" customHeight="1" x14ac:dyDescent="0.25">
      <c r="B224" s="100"/>
      <c r="E224" s="100"/>
      <c r="F224" s="100"/>
    </row>
    <row r="225" spans="2:6" ht="12.75" customHeight="1" x14ac:dyDescent="0.25">
      <c r="B225" s="100"/>
      <c r="E225" s="100"/>
      <c r="F225" s="100"/>
    </row>
    <row r="226" spans="2:6" ht="12.75" customHeight="1" x14ac:dyDescent="0.25">
      <c r="B226" s="100"/>
      <c r="E226" s="100"/>
      <c r="F226" s="100"/>
    </row>
    <row r="227" spans="2:6" ht="12.75" customHeight="1" x14ac:dyDescent="0.25">
      <c r="B227" s="100"/>
      <c r="E227" s="100"/>
      <c r="F227" s="100"/>
    </row>
    <row r="228" spans="2:6" ht="12.75" customHeight="1" x14ac:dyDescent="0.25">
      <c r="B228" s="100"/>
      <c r="E228" s="100"/>
      <c r="F228" s="100"/>
    </row>
    <row r="229" spans="2:6" ht="12.75" customHeight="1" x14ac:dyDescent="0.25">
      <c r="B229" s="100"/>
      <c r="E229" s="100"/>
      <c r="F229" s="100"/>
    </row>
    <row r="230" spans="2:6" ht="12.75" customHeight="1" x14ac:dyDescent="0.25">
      <c r="B230" s="100"/>
      <c r="E230" s="100"/>
      <c r="F230" s="100"/>
    </row>
    <row r="231" spans="2:6" ht="12.75" customHeight="1" x14ac:dyDescent="0.25">
      <c r="B231" s="100"/>
      <c r="E231" s="100"/>
      <c r="F231" s="100"/>
    </row>
    <row r="232" spans="2:6" ht="12.75" customHeight="1" x14ac:dyDescent="0.25">
      <c r="B232" s="100"/>
      <c r="E232" s="100"/>
      <c r="F232" s="100"/>
    </row>
    <row r="233" spans="2:6" ht="12.75" customHeight="1" x14ac:dyDescent="0.25">
      <c r="B233" s="100"/>
      <c r="E233" s="100"/>
      <c r="F233" s="100"/>
    </row>
    <row r="234" spans="2:6" ht="12.75" customHeight="1" x14ac:dyDescent="0.25">
      <c r="B234" s="100"/>
      <c r="E234" s="100"/>
      <c r="F234" s="100"/>
    </row>
    <row r="235" spans="2:6" ht="12.75" customHeight="1" x14ac:dyDescent="0.25">
      <c r="B235" s="100"/>
      <c r="E235" s="100"/>
      <c r="F235" s="100"/>
    </row>
    <row r="236" spans="2:6" ht="12.75" customHeight="1" x14ac:dyDescent="0.25">
      <c r="B236" s="100"/>
      <c r="E236" s="100"/>
      <c r="F236" s="100"/>
    </row>
    <row r="237" spans="2:6" ht="12.75" customHeight="1" x14ac:dyDescent="0.25">
      <c r="B237" s="100"/>
      <c r="E237" s="100"/>
      <c r="F237" s="100"/>
    </row>
    <row r="238" spans="2:6" ht="12.75" customHeight="1" x14ac:dyDescent="0.25">
      <c r="B238" s="100"/>
      <c r="E238" s="100"/>
      <c r="F238" s="100"/>
    </row>
    <row r="239" spans="2:6" ht="12.75" customHeight="1" x14ac:dyDescent="0.25">
      <c r="B239" s="100"/>
      <c r="E239" s="100"/>
      <c r="F239" s="100"/>
    </row>
    <row r="240" spans="2:6" ht="12.75" customHeight="1" x14ac:dyDescent="0.25">
      <c r="B240" s="100"/>
      <c r="E240" s="100"/>
      <c r="F240" s="100"/>
    </row>
    <row r="241" spans="2:6" ht="12.75" customHeight="1" x14ac:dyDescent="0.25">
      <c r="B241" s="100"/>
      <c r="E241" s="100"/>
      <c r="F241" s="100"/>
    </row>
    <row r="242" spans="2:6" ht="12.75" customHeight="1" x14ac:dyDescent="0.25">
      <c r="B242" s="100"/>
      <c r="E242" s="100"/>
      <c r="F242" s="100"/>
    </row>
    <row r="243" spans="2:6" ht="12.75" customHeight="1" x14ac:dyDescent="0.25">
      <c r="B243" s="100"/>
      <c r="E243" s="100"/>
      <c r="F243" s="100"/>
    </row>
    <row r="244" spans="2:6" ht="12.75" customHeight="1" x14ac:dyDescent="0.25">
      <c r="B244" s="100"/>
      <c r="E244" s="100"/>
      <c r="F244" s="100"/>
    </row>
    <row r="245" spans="2:6" ht="12.75" customHeight="1" x14ac:dyDescent="0.25">
      <c r="B245" s="100"/>
      <c r="E245" s="100"/>
      <c r="F245" s="100"/>
    </row>
    <row r="246" spans="2:6" ht="12.75" customHeight="1" x14ac:dyDescent="0.25">
      <c r="B246" s="100"/>
      <c r="E246" s="100"/>
      <c r="F246" s="100"/>
    </row>
    <row r="247" spans="2:6" ht="12.75" customHeight="1" x14ac:dyDescent="0.25">
      <c r="B247" s="100"/>
      <c r="E247" s="100"/>
      <c r="F247" s="100"/>
    </row>
    <row r="248" spans="2:6" ht="12.75" customHeight="1" x14ac:dyDescent="0.25">
      <c r="B248" s="100"/>
      <c r="E248" s="100"/>
      <c r="F248" s="100"/>
    </row>
    <row r="249" spans="2:6" ht="12.75" customHeight="1" x14ac:dyDescent="0.25">
      <c r="B249" s="100"/>
      <c r="E249" s="100"/>
      <c r="F249" s="100"/>
    </row>
    <row r="250" spans="2:6" ht="12.75" customHeight="1" x14ac:dyDescent="0.25">
      <c r="B250" s="100"/>
      <c r="E250" s="100"/>
      <c r="F250" s="100"/>
    </row>
    <row r="251" spans="2:6" ht="12.75" customHeight="1" x14ac:dyDescent="0.25">
      <c r="B251" s="100"/>
      <c r="E251" s="100"/>
      <c r="F251" s="100"/>
    </row>
    <row r="252" spans="2:6" ht="12.75" customHeight="1" x14ac:dyDescent="0.25">
      <c r="B252" s="100"/>
      <c r="E252" s="100"/>
      <c r="F252" s="100"/>
    </row>
    <row r="253" spans="2:6" ht="12.75" customHeight="1" x14ac:dyDescent="0.25">
      <c r="B253" s="100"/>
      <c r="E253" s="100"/>
      <c r="F253" s="100"/>
    </row>
    <row r="254" spans="2:6" ht="12.75" customHeight="1" x14ac:dyDescent="0.25">
      <c r="B254" s="100"/>
      <c r="E254" s="100"/>
      <c r="F254" s="100"/>
    </row>
    <row r="255" spans="2:6" ht="12.75" customHeight="1" x14ac:dyDescent="0.25">
      <c r="B255" s="100"/>
      <c r="E255" s="100"/>
      <c r="F255" s="100"/>
    </row>
    <row r="256" spans="2:6" ht="12.75" customHeight="1" x14ac:dyDescent="0.25">
      <c r="B256" s="100"/>
      <c r="E256" s="100"/>
      <c r="F256" s="100"/>
    </row>
    <row r="257" spans="2:6" ht="12.75" customHeight="1" x14ac:dyDescent="0.25">
      <c r="B257" s="100"/>
      <c r="E257" s="100"/>
      <c r="F257" s="100"/>
    </row>
    <row r="258" spans="2:6" ht="12.75" customHeight="1" x14ac:dyDescent="0.25">
      <c r="B258" s="100"/>
      <c r="E258" s="100"/>
      <c r="F258" s="100"/>
    </row>
    <row r="259" spans="2:6" ht="12.75" customHeight="1" x14ac:dyDescent="0.25">
      <c r="B259" s="100"/>
      <c r="E259" s="100"/>
      <c r="F259" s="100"/>
    </row>
    <row r="260" spans="2:6" ht="12.75" customHeight="1" x14ac:dyDescent="0.25">
      <c r="B260" s="100"/>
      <c r="E260" s="100"/>
      <c r="F260" s="100"/>
    </row>
    <row r="261" spans="2:6" ht="12.75" customHeight="1" x14ac:dyDescent="0.25">
      <c r="B261" s="100"/>
      <c r="E261" s="100"/>
      <c r="F261" s="100"/>
    </row>
    <row r="262" spans="2:6" ht="12.75" customHeight="1" x14ac:dyDescent="0.25">
      <c r="B262" s="100"/>
      <c r="E262" s="100"/>
      <c r="F262" s="100"/>
    </row>
    <row r="263" spans="2:6" ht="12.75" customHeight="1" x14ac:dyDescent="0.25">
      <c r="B263" s="100"/>
      <c r="E263" s="100"/>
      <c r="F263" s="100"/>
    </row>
    <row r="264" spans="2:6" ht="12.75" customHeight="1" x14ac:dyDescent="0.25">
      <c r="B264" s="100"/>
      <c r="E264" s="100"/>
      <c r="F264" s="100"/>
    </row>
    <row r="265" spans="2:6" ht="12.75" customHeight="1" x14ac:dyDescent="0.25">
      <c r="B265" s="100"/>
      <c r="E265" s="100"/>
      <c r="F265" s="100"/>
    </row>
    <row r="266" spans="2:6" ht="12.75" customHeight="1" x14ac:dyDescent="0.25">
      <c r="B266" s="100"/>
      <c r="E266" s="100"/>
      <c r="F266" s="100"/>
    </row>
    <row r="267" spans="2:6" ht="12.75" customHeight="1" x14ac:dyDescent="0.25">
      <c r="B267" s="100"/>
      <c r="E267" s="100"/>
      <c r="F267" s="100"/>
    </row>
    <row r="268" spans="2:6" ht="12.75" customHeight="1" x14ac:dyDescent="0.25">
      <c r="B268" s="100"/>
      <c r="E268" s="100"/>
      <c r="F268" s="100"/>
    </row>
    <row r="269" spans="2:6" ht="12.75" customHeight="1" x14ac:dyDescent="0.25">
      <c r="B269" s="100"/>
      <c r="E269" s="100"/>
      <c r="F269" s="100"/>
    </row>
    <row r="270" spans="2:6" ht="12.75" customHeight="1" x14ac:dyDescent="0.25">
      <c r="B270" s="100"/>
      <c r="E270" s="100"/>
      <c r="F270" s="100"/>
    </row>
    <row r="271" spans="2:6" ht="12.75" customHeight="1" x14ac:dyDescent="0.25">
      <c r="B271" s="100"/>
      <c r="E271" s="100"/>
      <c r="F271" s="100"/>
    </row>
    <row r="272" spans="2:6" ht="12.75" customHeight="1" x14ac:dyDescent="0.25">
      <c r="B272" s="100"/>
      <c r="E272" s="100"/>
      <c r="F272" s="100"/>
    </row>
    <row r="273" spans="2:6" ht="12.75" customHeight="1" x14ac:dyDescent="0.25">
      <c r="B273" s="100"/>
      <c r="E273" s="100"/>
      <c r="F273" s="100"/>
    </row>
    <row r="274" spans="2:6" ht="12.75" customHeight="1" x14ac:dyDescent="0.25">
      <c r="B274" s="100"/>
      <c r="E274" s="100"/>
      <c r="F274" s="100"/>
    </row>
    <row r="275" spans="2:6" ht="12.75" customHeight="1" x14ac:dyDescent="0.25">
      <c r="B275" s="100"/>
      <c r="E275" s="100"/>
      <c r="F275" s="100"/>
    </row>
    <row r="276" spans="2:6" ht="12.75" customHeight="1" x14ac:dyDescent="0.25">
      <c r="B276" s="100"/>
      <c r="E276" s="100"/>
      <c r="F276" s="100"/>
    </row>
    <row r="277" spans="2:6" ht="12.75" customHeight="1" x14ac:dyDescent="0.25">
      <c r="B277" s="100"/>
      <c r="E277" s="100"/>
      <c r="F277" s="100"/>
    </row>
    <row r="278" spans="2:6" ht="12.75" customHeight="1" x14ac:dyDescent="0.25">
      <c r="B278" s="100"/>
      <c r="E278" s="100"/>
      <c r="F278" s="100"/>
    </row>
    <row r="279" spans="2:6" ht="12.75" customHeight="1" x14ac:dyDescent="0.25">
      <c r="B279" s="100"/>
      <c r="E279" s="100"/>
      <c r="F279" s="100"/>
    </row>
    <row r="280" spans="2:6" ht="12.75" customHeight="1" x14ac:dyDescent="0.25">
      <c r="B280" s="100"/>
      <c r="E280" s="100"/>
      <c r="F280" s="100"/>
    </row>
    <row r="281" spans="2:6" ht="12.75" customHeight="1" x14ac:dyDescent="0.25">
      <c r="B281" s="100"/>
      <c r="E281" s="100"/>
      <c r="F281" s="100"/>
    </row>
    <row r="282" spans="2:6" ht="12.75" customHeight="1" x14ac:dyDescent="0.25">
      <c r="B282" s="100"/>
      <c r="E282" s="100"/>
      <c r="F282" s="100"/>
    </row>
    <row r="283" spans="2:6" ht="12.75" customHeight="1" x14ac:dyDescent="0.25">
      <c r="B283" s="100"/>
      <c r="E283" s="100"/>
      <c r="F283" s="100"/>
    </row>
    <row r="284" spans="2:6" ht="12.75" customHeight="1" x14ac:dyDescent="0.25">
      <c r="B284" s="100"/>
      <c r="E284" s="100"/>
      <c r="F284" s="100"/>
    </row>
    <row r="285" spans="2:6" ht="12.75" customHeight="1" x14ac:dyDescent="0.25">
      <c r="B285" s="100"/>
      <c r="E285" s="100"/>
      <c r="F285" s="100"/>
    </row>
    <row r="286" spans="2:6" ht="12.75" customHeight="1" x14ac:dyDescent="0.25">
      <c r="B286" s="100"/>
      <c r="E286" s="100"/>
      <c r="F286" s="100"/>
    </row>
    <row r="287" spans="2:6" ht="12.75" customHeight="1" x14ac:dyDescent="0.25">
      <c r="B287" s="100"/>
      <c r="E287" s="100"/>
      <c r="F287" s="100"/>
    </row>
    <row r="288" spans="2:6" ht="12.75" customHeight="1" x14ac:dyDescent="0.25">
      <c r="B288" s="100"/>
      <c r="E288" s="100"/>
      <c r="F288" s="100"/>
    </row>
    <row r="289" spans="2:6" ht="12.75" customHeight="1" x14ac:dyDescent="0.25">
      <c r="B289" s="100"/>
      <c r="E289" s="100"/>
      <c r="F289" s="100"/>
    </row>
    <row r="290" spans="2:6" ht="12.75" customHeight="1" x14ac:dyDescent="0.25">
      <c r="B290" s="100"/>
      <c r="E290" s="100"/>
      <c r="F290" s="100"/>
    </row>
    <row r="291" spans="2:6" ht="12.75" customHeight="1" x14ac:dyDescent="0.25">
      <c r="B291" s="100"/>
      <c r="E291" s="100"/>
      <c r="F291" s="100"/>
    </row>
    <row r="292" spans="2:6" ht="12.75" customHeight="1" x14ac:dyDescent="0.25">
      <c r="B292" s="100"/>
      <c r="E292" s="100"/>
      <c r="F292" s="100"/>
    </row>
    <row r="293" spans="2:6" ht="12.75" customHeight="1" x14ac:dyDescent="0.25">
      <c r="B293" s="100"/>
      <c r="E293" s="100"/>
      <c r="F293" s="100"/>
    </row>
    <row r="294" spans="2:6" ht="12.75" customHeight="1" x14ac:dyDescent="0.25">
      <c r="B294" s="100"/>
      <c r="E294" s="100"/>
      <c r="F294" s="100"/>
    </row>
    <row r="295" spans="2:6" ht="12.75" customHeight="1" x14ac:dyDescent="0.25">
      <c r="B295" s="100"/>
      <c r="E295" s="100"/>
      <c r="F295" s="100"/>
    </row>
    <row r="296" spans="2:6" ht="12.75" customHeight="1" x14ac:dyDescent="0.25">
      <c r="B296" s="100"/>
      <c r="E296" s="100"/>
      <c r="F296" s="100"/>
    </row>
    <row r="297" spans="2:6" ht="12.75" customHeight="1" x14ac:dyDescent="0.25">
      <c r="B297" s="100"/>
      <c r="E297" s="100"/>
      <c r="F297" s="100"/>
    </row>
    <row r="298" spans="2:6" ht="12.75" customHeight="1" x14ac:dyDescent="0.25">
      <c r="B298" s="100"/>
      <c r="E298" s="100"/>
      <c r="F298" s="100"/>
    </row>
    <row r="299" spans="2:6" ht="12.75" customHeight="1" x14ac:dyDescent="0.25">
      <c r="B299" s="100"/>
      <c r="E299" s="100"/>
      <c r="F299" s="100"/>
    </row>
    <row r="300" spans="2:6" ht="12.75" customHeight="1" x14ac:dyDescent="0.25">
      <c r="B300" s="100"/>
      <c r="E300" s="100"/>
      <c r="F300" s="100"/>
    </row>
    <row r="301" spans="2:6" ht="12.75" customHeight="1" x14ac:dyDescent="0.25">
      <c r="B301" s="100"/>
      <c r="E301" s="100"/>
      <c r="F301" s="100"/>
    </row>
    <row r="302" spans="2:6" ht="12.75" customHeight="1" x14ac:dyDescent="0.25">
      <c r="B302" s="100"/>
      <c r="E302" s="100"/>
      <c r="F302" s="100"/>
    </row>
    <row r="303" spans="2:6" ht="12.75" customHeight="1" x14ac:dyDescent="0.25">
      <c r="B303" s="100"/>
      <c r="E303" s="100"/>
      <c r="F303" s="100"/>
    </row>
    <row r="304" spans="2:6" ht="12.75" customHeight="1" x14ac:dyDescent="0.25">
      <c r="B304" s="100"/>
      <c r="E304" s="100"/>
      <c r="F304" s="100"/>
    </row>
    <row r="305" spans="2:6" ht="12.75" customHeight="1" x14ac:dyDescent="0.25">
      <c r="B305" s="100"/>
      <c r="E305" s="100"/>
      <c r="F305" s="100"/>
    </row>
    <row r="306" spans="2:6" ht="12.75" customHeight="1" x14ac:dyDescent="0.25">
      <c r="B306" s="100"/>
      <c r="E306" s="100"/>
      <c r="F306" s="100"/>
    </row>
    <row r="307" spans="2:6" ht="12.75" customHeight="1" x14ac:dyDescent="0.25">
      <c r="B307" s="100"/>
      <c r="E307" s="100"/>
      <c r="F307" s="100"/>
    </row>
    <row r="308" spans="2:6" ht="12.75" customHeight="1" x14ac:dyDescent="0.25">
      <c r="B308" s="100"/>
      <c r="E308" s="100"/>
      <c r="F308" s="100"/>
    </row>
    <row r="309" spans="2:6" ht="12.75" customHeight="1" x14ac:dyDescent="0.25">
      <c r="B309" s="100"/>
      <c r="E309" s="100"/>
      <c r="F309" s="100"/>
    </row>
    <row r="310" spans="2:6" ht="12.75" customHeight="1" x14ac:dyDescent="0.25">
      <c r="B310" s="100"/>
      <c r="E310" s="100"/>
      <c r="F310" s="100"/>
    </row>
    <row r="311" spans="2:6" ht="12.75" customHeight="1" x14ac:dyDescent="0.25">
      <c r="B311" s="100"/>
      <c r="E311" s="100"/>
      <c r="F311" s="100"/>
    </row>
    <row r="312" spans="2:6" ht="12.75" customHeight="1" x14ac:dyDescent="0.25">
      <c r="B312" s="100"/>
      <c r="E312" s="100"/>
      <c r="F312" s="100"/>
    </row>
    <row r="313" spans="2:6" ht="12.75" customHeight="1" x14ac:dyDescent="0.25">
      <c r="B313" s="100"/>
      <c r="E313" s="100"/>
      <c r="F313" s="100"/>
    </row>
    <row r="314" spans="2:6" ht="12.75" customHeight="1" x14ac:dyDescent="0.25">
      <c r="B314" s="100"/>
      <c r="E314" s="100"/>
      <c r="F314" s="100"/>
    </row>
    <row r="315" spans="2:6" ht="12.75" customHeight="1" x14ac:dyDescent="0.25">
      <c r="B315" s="100"/>
      <c r="E315" s="100"/>
      <c r="F315" s="100"/>
    </row>
    <row r="316" spans="2:6" ht="12.75" customHeight="1" x14ac:dyDescent="0.25">
      <c r="B316" s="100"/>
      <c r="E316" s="100"/>
      <c r="F316" s="100"/>
    </row>
    <row r="317" spans="2:6" ht="12.75" customHeight="1" x14ac:dyDescent="0.25">
      <c r="B317" s="100"/>
      <c r="E317" s="100"/>
      <c r="F317" s="100"/>
    </row>
    <row r="318" spans="2:6" ht="12.75" customHeight="1" x14ac:dyDescent="0.25">
      <c r="B318" s="100"/>
      <c r="E318" s="100"/>
      <c r="F318" s="100"/>
    </row>
    <row r="319" spans="2:6" ht="12.75" customHeight="1" x14ac:dyDescent="0.25">
      <c r="B319" s="100"/>
      <c r="E319" s="100"/>
      <c r="F319" s="100"/>
    </row>
    <row r="320" spans="2:6" ht="12.75" customHeight="1" x14ac:dyDescent="0.25">
      <c r="B320" s="100"/>
      <c r="E320" s="100"/>
      <c r="F320" s="100"/>
    </row>
    <row r="321" spans="2:6" ht="12.75" customHeight="1" x14ac:dyDescent="0.25">
      <c r="B321" s="100"/>
      <c r="E321" s="100"/>
      <c r="F321" s="100"/>
    </row>
    <row r="322" spans="2:6" ht="12.75" customHeight="1" x14ac:dyDescent="0.25">
      <c r="B322" s="100"/>
      <c r="E322" s="100"/>
      <c r="F322" s="100"/>
    </row>
    <row r="323" spans="2:6" ht="12.75" customHeight="1" x14ac:dyDescent="0.25">
      <c r="B323" s="100"/>
      <c r="E323" s="100"/>
      <c r="F323" s="100"/>
    </row>
    <row r="324" spans="2:6" ht="12.75" customHeight="1" x14ac:dyDescent="0.25">
      <c r="B324" s="100"/>
      <c r="E324" s="100"/>
      <c r="F324" s="100"/>
    </row>
    <row r="325" spans="2:6" ht="12.75" customHeight="1" x14ac:dyDescent="0.25">
      <c r="B325" s="100"/>
      <c r="E325" s="100"/>
      <c r="F325" s="100"/>
    </row>
    <row r="326" spans="2:6" ht="12.75" customHeight="1" x14ac:dyDescent="0.25">
      <c r="B326" s="100"/>
      <c r="E326" s="100"/>
      <c r="F326" s="100"/>
    </row>
    <row r="327" spans="2:6" ht="12.75" customHeight="1" x14ac:dyDescent="0.25">
      <c r="B327" s="100"/>
      <c r="E327" s="100"/>
      <c r="F327" s="100"/>
    </row>
    <row r="328" spans="2:6" ht="12.75" customHeight="1" x14ac:dyDescent="0.25">
      <c r="B328" s="100"/>
      <c r="E328" s="100"/>
      <c r="F328" s="100"/>
    </row>
    <row r="329" spans="2:6" ht="12.75" customHeight="1" x14ac:dyDescent="0.25">
      <c r="B329" s="100"/>
      <c r="E329" s="100"/>
      <c r="F329" s="100"/>
    </row>
    <row r="330" spans="2:6" ht="12.75" customHeight="1" x14ac:dyDescent="0.25">
      <c r="B330" s="100"/>
      <c r="E330" s="100"/>
      <c r="F330" s="100"/>
    </row>
    <row r="331" spans="2:6" ht="12.75" customHeight="1" x14ac:dyDescent="0.25">
      <c r="B331" s="100"/>
      <c r="E331" s="100"/>
      <c r="F331" s="100"/>
    </row>
    <row r="332" spans="2:6" ht="12.75" customHeight="1" x14ac:dyDescent="0.25">
      <c r="B332" s="100"/>
      <c r="E332" s="100"/>
      <c r="F332" s="100"/>
    </row>
    <row r="333" spans="2:6" ht="12.75" customHeight="1" x14ac:dyDescent="0.25">
      <c r="B333" s="100"/>
      <c r="E333" s="100"/>
      <c r="F333" s="100"/>
    </row>
    <row r="334" spans="2:6" ht="12.75" customHeight="1" x14ac:dyDescent="0.25">
      <c r="B334" s="100"/>
      <c r="E334" s="100"/>
      <c r="F334" s="100"/>
    </row>
    <row r="335" spans="2:6" ht="12.75" customHeight="1" x14ac:dyDescent="0.25">
      <c r="B335" s="100"/>
      <c r="E335" s="100"/>
      <c r="F335" s="100"/>
    </row>
    <row r="336" spans="2:6" ht="12.75" customHeight="1" x14ac:dyDescent="0.25">
      <c r="B336" s="100"/>
      <c r="E336" s="100"/>
      <c r="F336" s="100"/>
    </row>
    <row r="337" spans="2:6" ht="12.75" customHeight="1" x14ac:dyDescent="0.25">
      <c r="B337" s="100"/>
      <c r="E337" s="100"/>
      <c r="F337" s="100"/>
    </row>
    <row r="338" spans="2:6" ht="12.75" customHeight="1" x14ac:dyDescent="0.25">
      <c r="B338" s="100"/>
      <c r="E338" s="100"/>
      <c r="F338" s="100"/>
    </row>
    <row r="339" spans="2:6" ht="12.75" customHeight="1" x14ac:dyDescent="0.25">
      <c r="B339" s="100"/>
      <c r="E339" s="100"/>
      <c r="F339" s="100"/>
    </row>
    <row r="340" spans="2:6" ht="12.75" customHeight="1" x14ac:dyDescent="0.25">
      <c r="B340" s="100"/>
      <c r="E340" s="100"/>
      <c r="F340" s="100"/>
    </row>
    <row r="341" spans="2:6" ht="12.75" customHeight="1" x14ac:dyDescent="0.25">
      <c r="B341" s="100"/>
      <c r="E341" s="100"/>
      <c r="F341" s="100"/>
    </row>
    <row r="342" spans="2:6" ht="12.75" customHeight="1" x14ac:dyDescent="0.25">
      <c r="B342" s="100"/>
      <c r="E342" s="100"/>
      <c r="F342" s="100"/>
    </row>
    <row r="343" spans="2:6" ht="12.75" customHeight="1" x14ac:dyDescent="0.25">
      <c r="B343" s="100"/>
      <c r="E343" s="100"/>
      <c r="F343" s="100"/>
    </row>
    <row r="344" spans="2:6" ht="12.75" customHeight="1" x14ac:dyDescent="0.25">
      <c r="B344" s="100"/>
      <c r="E344" s="100"/>
      <c r="F344" s="100"/>
    </row>
    <row r="345" spans="2:6" ht="12.75" customHeight="1" x14ac:dyDescent="0.25">
      <c r="B345" s="100"/>
      <c r="E345" s="100"/>
      <c r="F345" s="100"/>
    </row>
    <row r="346" spans="2:6" ht="12.75" customHeight="1" x14ac:dyDescent="0.25">
      <c r="B346" s="100"/>
      <c r="E346" s="100"/>
      <c r="F346" s="100"/>
    </row>
    <row r="347" spans="2:6" ht="12.75" customHeight="1" x14ac:dyDescent="0.25">
      <c r="B347" s="100"/>
      <c r="E347" s="100"/>
      <c r="F347" s="100"/>
    </row>
    <row r="348" spans="2:6" ht="12.75" customHeight="1" x14ac:dyDescent="0.25">
      <c r="B348" s="100"/>
      <c r="E348" s="100"/>
      <c r="F348" s="100"/>
    </row>
    <row r="349" spans="2:6" ht="12.75" customHeight="1" x14ac:dyDescent="0.25">
      <c r="B349" s="100"/>
      <c r="E349" s="100"/>
      <c r="F349" s="100"/>
    </row>
    <row r="350" spans="2:6" ht="12.75" customHeight="1" x14ac:dyDescent="0.25">
      <c r="B350" s="100"/>
      <c r="E350" s="100"/>
      <c r="F350" s="100"/>
    </row>
    <row r="351" spans="2:6" ht="12.75" customHeight="1" x14ac:dyDescent="0.25">
      <c r="B351" s="100"/>
      <c r="E351" s="100"/>
      <c r="F351" s="100"/>
    </row>
    <row r="352" spans="2:6" ht="12.75" customHeight="1" x14ac:dyDescent="0.25">
      <c r="B352" s="100"/>
      <c r="E352" s="100"/>
      <c r="F352" s="100"/>
    </row>
    <row r="353" spans="2:6" ht="12.75" customHeight="1" x14ac:dyDescent="0.25">
      <c r="B353" s="100"/>
      <c r="E353" s="100"/>
      <c r="F353" s="100"/>
    </row>
    <row r="354" spans="2:6" ht="12.75" customHeight="1" x14ac:dyDescent="0.25">
      <c r="B354" s="100"/>
      <c r="E354" s="100"/>
      <c r="F354" s="100"/>
    </row>
    <row r="355" spans="2:6" ht="12.75" customHeight="1" x14ac:dyDescent="0.25">
      <c r="B355" s="100"/>
      <c r="E355" s="100"/>
      <c r="F355" s="100"/>
    </row>
    <row r="356" spans="2:6" ht="12.75" customHeight="1" x14ac:dyDescent="0.25">
      <c r="B356" s="100"/>
      <c r="E356" s="100"/>
      <c r="F356" s="100"/>
    </row>
    <row r="357" spans="2:6" ht="12.75" customHeight="1" x14ac:dyDescent="0.25">
      <c r="B357" s="100"/>
      <c r="E357" s="100"/>
      <c r="F357" s="100"/>
    </row>
    <row r="358" spans="2:6" ht="12.75" customHeight="1" x14ac:dyDescent="0.25">
      <c r="B358" s="100"/>
      <c r="E358" s="100"/>
      <c r="F358" s="100"/>
    </row>
    <row r="359" spans="2:6" ht="12.75" customHeight="1" x14ac:dyDescent="0.25">
      <c r="B359" s="100"/>
      <c r="E359" s="100"/>
      <c r="F359" s="100"/>
    </row>
    <row r="360" spans="2:6" ht="12.75" customHeight="1" x14ac:dyDescent="0.25">
      <c r="B360" s="100"/>
      <c r="E360" s="100"/>
      <c r="F360" s="100"/>
    </row>
    <row r="361" spans="2:6" ht="12.75" customHeight="1" x14ac:dyDescent="0.25">
      <c r="B361" s="100"/>
      <c r="E361" s="100"/>
      <c r="F361" s="100"/>
    </row>
    <row r="362" spans="2:6" ht="12.75" customHeight="1" x14ac:dyDescent="0.25">
      <c r="B362" s="100"/>
      <c r="E362" s="100"/>
      <c r="F362" s="100"/>
    </row>
    <row r="363" spans="2:6" ht="12.75" customHeight="1" x14ac:dyDescent="0.25">
      <c r="B363" s="100"/>
      <c r="E363" s="100"/>
      <c r="F363" s="100"/>
    </row>
    <row r="364" spans="2:6" ht="12.75" customHeight="1" x14ac:dyDescent="0.25">
      <c r="B364" s="100"/>
      <c r="E364" s="100"/>
      <c r="F364" s="100"/>
    </row>
    <row r="365" spans="2:6" ht="12.75" customHeight="1" x14ac:dyDescent="0.25">
      <c r="B365" s="100"/>
      <c r="E365" s="100"/>
      <c r="F365" s="100"/>
    </row>
    <row r="366" spans="2:6" ht="12.75" customHeight="1" x14ac:dyDescent="0.25">
      <c r="B366" s="100"/>
      <c r="E366" s="100"/>
      <c r="F366" s="100"/>
    </row>
    <row r="367" spans="2:6" ht="12.75" customHeight="1" x14ac:dyDescent="0.25">
      <c r="B367" s="100"/>
      <c r="E367" s="100"/>
      <c r="F367" s="100"/>
    </row>
    <row r="368" spans="2:6" ht="12.75" customHeight="1" x14ac:dyDescent="0.25">
      <c r="B368" s="100"/>
      <c r="E368" s="100"/>
      <c r="F368" s="100"/>
    </row>
    <row r="369" spans="2:6" ht="12.75" customHeight="1" x14ac:dyDescent="0.25">
      <c r="B369" s="100"/>
      <c r="E369" s="100"/>
      <c r="F369" s="100"/>
    </row>
    <row r="370" spans="2:6" ht="12.75" customHeight="1" x14ac:dyDescent="0.25">
      <c r="B370" s="100"/>
      <c r="E370" s="100"/>
      <c r="F370" s="100"/>
    </row>
    <row r="371" spans="2:6" ht="12.75" customHeight="1" x14ac:dyDescent="0.25">
      <c r="B371" s="100"/>
      <c r="E371" s="100"/>
      <c r="F371" s="100"/>
    </row>
    <row r="372" spans="2:6" ht="12.75" customHeight="1" x14ac:dyDescent="0.25">
      <c r="B372" s="100"/>
      <c r="E372" s="100"/>
      <c r="F372" s="100"/>
    </row>
    <row r="373" spans="2:6" ht="12.75" customHeight="1" x14ac:dyDescent="0.25">
      <c r="B373" s="100"/>
      <c r="E373" s="100"/>
      <c r="F373" s="100"/>
    </row>
    <row r="374" spans="2:6" ht="12.75" customHeight="1" x14ac:dyDescent="0.25">
      <c r="B374" s="100"/>
      <c r="E374" s="100"/>
      <c r="F374" s="100"/>
    </row>
    <row r="375" spans="2:6" ht="12.75" customHeight="1" x14ac:dyDescent="0.25">
      <c r="B375" s="100"/>
      <c r="E375" s="100"/>
      <c r="F375" s="100"/>
    </row>
    <row r="376" spans="2:6" ht="12.75" customHeight="1" x14ac:dyDescent="0.25">
      <c r="B376" s="100"/>
      <c r="E376" s="100"/>
      <c r="F376" s="100"/>
    </row>
    <row r="377" spans="2:6" ht="12.75" customHeight="1" x14ac:dyDescent="0.25">
      <c r="B377" s="100"/>
      <c r="E377" s="100"/>
      <c r="F377" s="100"/>
    </row>
    <row r="378" spans="2:6" ht="12.75" customHeight="1" x14ac:dyDescent="0.25">
      <c r="B378" s="100"/>
      <c r="E378" s="100"/>
      <c r="F378" s="100"/>
    </row>
    <row r="379" spans="2:6" ht="12.75" customHeight="1" x14ac:dyDescent="0.25">
      <c r="B379" s="100"/>
      <c r="E379" s="100"/>
      <c r="F379" s="100"/>
    </row>
    <row r="380" spans="2:6" ht="12.75" customHeight="1" x14ac:dyDescent="0.25">
      <c r="B380" s="100"/>
      <c r="E380" s="100"/>
      <c r="F380" s="100"/>
    </row>
    <row r="381" spans="2:6" ht="12.75" customHeight="1" x14ac:dyDescent="0.25">
      <c r="B381" s="100"/>
      <c r="E381" s="100"/>
      <c r="F381" s="100"/>
    </row>
    <row r="382" spans="2:6" ht="12.75" customHeight="1" x14ac:dyDescent="0.25">
      <c r="B382" s="100"/>
      <c r="E382" s="100"/>
      <c r="F382" s="100"/>
    </row>
    <row r="383" spans="2:6" ht="12.75" customHeight="1" x14ac:dyDescent="0.25">
      <c r="B383" s="100"/>
      <c r="E383" s="100"/>
      <c r="F383" s="100"/>
    </row>
    <row r="384" spans="2:6" ht="12.75" customHeight="1" x14ac:dyDescent="0.25">
      <c r="B384" s="100"/>
      <c r="E384" s="100"/>
      <c r="F384" s="100"/>
    </row>
    <row r="385" spans="2:6" ht="12.75" customHeight="1" x14ac:dyDescent="0.25">
      <c r="B385" s="100"/>
      <c r="E385" s="100"/>
      <c r="F385" s="100"/>
    </row>
    <row r="386" spans="2:6" ht="12.75" customHeight="1" x14ac:dyDescent="0.25">
      <c r="B386" s="100"/>
      <c r="E386" s="100"/>
      <c r="F386" s="100"/>
    </row>
    <row r="387" spans="2:6" ht="12.75" customHeight="1" x14ac:dyDescent="0.25">
      <c r="B387" s="100"/>
      <c r="E387" s="100"/>
      <c r="F387" s="100"/>
    </row>
    <row r="388" spans="2:6" ht="12.75" customHeight="1" x14ac:dyDescent="0.25">
      <c r="B388" s="100"/>
      <c r="E388" s="100"/>
      <c r="F388" s="100"/>
    </row>
    <row r="389" spans="2:6" ht="12.75" customHeight="1" x14ac:dyDescent="0.25">
      <c r="B389" s="100"/>
      <c r="E389" s="100"/>
      <c r="F389" s="100"/>
    </row>
    <row r="390" spans="2:6" ht="12.75" customHeight="1" x14ac:dyDescent="0.25">
      <c r="B390" s="100"/>
      <c r="E390" s="100"/>
      <c r="F390" s="100"/>
    </row>
    <row r="391" spans="2:6" ht="12.75" customHeight="1" x14ac:dyDescent="0.25">
      <c r="B391" s="100"/>
      <c r="E391" s="100"/>
      <c r="F391" s="100"/>
    </row>
    <row r="392" spans="2:6" ht="12.75" customHeight="1" x14ac:dyDescent="0.25">
      <c r="B392" s="100"/>
      <c r="E392" s="100"/>
      <c r="F392" s="100"/>
    </row>
    <row r="393" spans="2:6" ht="12.75" customHeight="1" x14ac:dyDescent="0.25">
      <c r="B393" s="100"/>
      <c r="E393" s="100"/>
      <c r="F393" s="100"/>
    </row>
    <row r="394" spans="2:6" ht="12.75" customHeight="1" x14ac:dyDescent="0.25">
      <c r="B394" s="100"/>
      <c r="E394" s="100"/>
      <c r="F394" s="100"/>
    </row>
    <row r="395" spans="2:6" ht="12.75" customHeight="1" x14ac:dyDescent="0.25">
      <c r="B395" s="100"/>
      <c r="E395" s="100"/>
      <c r="F395" s="100"/>
    </row>
    <row r="396" spans="2:6" ht="12.75" customHeight="1" x14ac:dyDescent="0.25">
      <c r="B396" s="100"/>
      <c r="E396" s="100"/>
      <c r="F396" s="100"/>
    </row>
    <row r="397" spans="2:6" ht="12.75" customHeight="1" x14ac:dyDescent="0.25">
      <c r="B397" s="100"/>
      <c r="E397" s="100"/>
      <c r="F397" s="100"/>
    </row>
    <row r="398" spans="2:6" ht="12.75" customHeight="1" x14ac:dyDescent="0.25">
      <c r="B398" s="100"/>
      <c r="E398" s="100"/>
      <c r="F398" s="100"/>
    </row>
    <row r="399" spans="2:6" ht="12.75" customHeight="1" x14ac:dyDescent="0.25">
      <c r="B399" s="100"/>
      <c r="E399" s="100"/>
      <c r="F399" s="100"/>
    </row>
    <row r="400" spans="2:6" ht="12.75" customHeight="1" x14ac:dyDescent="0.25">
      <c r="B400" s="100"/>
      <c r="E400" s="100"/>
      <c r="F400" s="100"/>
    </row>
    <row r="401" spans="2:6" ht="12.75" customHeight="1" x14ac:dyDescent="0.25">
      <c r="B401" s="100"/>
      <c r="E401" s="100"/>
      <c r="F401" s="100"/>
    </row>
    <row r="402" spans="2:6" ht="12.75" customHeight="1" x14ac:dyDescent="0.25">
      <c r="B402" s="100"/>
      <c r="E402" s="100"/>
      <c r="F402" s="100"/>
    </row>
    <row r="403" spans="2:6" ht="12.75" customHeight="1" x14ac:dyDescent="0.25">
      <c r="B403" s="100"/>
      <c r="E403" s="100"/>
      <c r="F403" s="100"/>
    </row>
    <row r="404" spans="2:6" ht="12.75" customHeight="1" x14ac:dyDescent="0.25">
      <c r="B404" s="100"/>
      <c r="E404" s="100"/>
      <c r="F404" s="100"/>
    </row>
    <row r="405" spans="2:6" ht="12.75" customHeight="1" x14ac:dyDescent="0.25">
      <c r="B405" s="100"/>
      <c r="E405" s="100"/>
      <c r="F405" s="100"/>
    </row>
    <row r="406" spans="2:6" ht="12.75" customHeight="1" x14ac:dyDescent="0.25">
      <c r="B406" s="100"/>
      <c r="E406" s="100"/>
      <c r="F406" s="100"/>
    </row>
    <row r="407" spans="2:6" ht="12.75" customHeight="1" x14ac:dyDescent="0.25">
      <c r="B407" s="100"/>
      <c r="E407" s="100"/>
      <c r="F407" s="100"/>
    </row>
    <row r="408" spans="2:6" ht="12.75" customHeight="1" x14ac:dyDescent="0.25">
      <c r="B408" s="100"/>
      <c r="E408" s="100"/>
      <c r="F408" s="100"/>
    </row>
    <row r="409" spans="2:6" ht="12.75" customHeight="1" x14ac:dyDescent="0.25">
      <c r="B409" s="100"/>
      <c r="E409" s="100"/>
      <c r="F409" s="100"/>
    </row>
    <row r="410" spans="2:6" ht="12.75" customHeight="1" x14ac:dyDescent="0.25">
      <c r="B410" s="100"/>
      <c r="E410" s="100"/>
      <c r="F410" s="100"/>
    </row>
    <row r="411" spans="2:6" ht="12.75" customHeight="1" x14ac:dyDescent="0.25">
      <c r="B411" s="100"/>
      <c r="E411" s="100"/>
      <c r="F411" s="100"/>
    </row>
    <row r="412" spans="2:6" ht="12.75" customHeight="1" x14ac:dyDescent="0.25">
      <c r="B412" s="100"/>
      <c r="E412" s="100"/>
      <c r="F412" s="100"/>
    </row>
    <row r="413" spans="2:6" ht="12.75" customHeight="1" x14ac:dyDescent="0.25">
      <c r="B413" s="100"/>
      <c r="E413" s="100"/>
      <c r="F413" s="100"/>
    </row>
    <row r="414" spans="2:6" ht="12.75" customHeight="1" x14ac:dyDescent="0.25">
      <c r="B414" s="100"/>
      <c r="E414" s="100"/>
      <c r="F414" s="100"/>
    </row>
    <row r="415" spans="2:6" ht="12.75" customHeight="1" x14ac:dyDescent="0.25">
      <c r="B415" s="100"/>
      <c r="E415" s="100"/>
      <c r="F415" s="100"/>
    </row>
    <row r="416" spans="2:6" ht="12.75" customHeight="1" x14ac:dyDescent="0.25">
      <c r="B416" s="100"/>
      <c r="E416" s="100"/>
      <c r="F416" s="100"/>
    </row>
    <row r="417" spans="2:6" ht="12.75" customHeight="1" x14ac:dyDescent="0.25">
      <c r="B417" s="100"/>
      <c r="E417" s="100"/>
      <c r="F417" s="100"/>
    </row>
    <row r="418" spans="2:6" ht="12.75" customHeight="1" x14ac:dyDescent="0.25">
      <c r="B418" s="100"/>
      <c r="E418" s="100"/>
      <c r="F418" s="100"/>
    </row>
    <row r="419" spans="2:6" ht="12.75" customHeight="1" x14ac:dyDescent="0.25">
      <c r="B419" s="100"/>
      <c r="E419" s="100"/>
      <c r="F419" s="100"/>
    </row>
    <row r="420" spans="2:6" ht="12.75" customHeight="1" x14ac:dyDescent="0.25">
      <c r="B420" s="100"/>
      <c r="E420" s="100"/>
      <c r="F420" s="100"/>
    </row>
    <row r="421" spans="2:6" ht="12.75" customHeight="1" x14ac:dyDescent="0.25">
      <c r="B421" s="100"/>
      <c r="E421" s="100"/>
      <c r="F421" s="100"/>
    </row>
    <row r="422" spans="2:6" ht="12.75" customHeight="1" x14ac:dyDescent="0.25">
      <c r="B422" s="100"/>
      <c r="E422" s="100"/>
      <c r="F422" s="100"/>
    </row>
    <row r="423" spans="2:6" ht="12.75" customHeight="1" x14ac:dyDescent="0.25">
      <c r="B423" s="100"/>
      <c r="E423" s="100"/>
      <c r="F423" s="100"/>
    </row>
    <row r="424" spans="2:6" ht="12.75" customHeight="1" x14ac:dyDescent="0.25">
      <c r="B424" s="100"/>
      <c r="E424" s="100"/>
      <c r="F424" s="100"/>
    </row>
    <row r="425" spans="2:6" ht="12.75" customHeight="1" x14ac:dyDescent="0.25">
      <c r="B425" s="100"/>
      <c r="E425" s="100"/>
      <c r="F425" s="100"/>
    </row>
    <row r="426" spans="2:6" ht="12.75" customHeight="1" x14ac:dyDescent="0.25">
      <c r="B426" s="100"/>
      <c r="E426" s="100"/>
      <c r="F426" s="100"/>
    </row>
    <row r="427" spans="2:6" ht="12.75" customHeight="1" x14ac:dyDescent="0.25">
      <c r="B427" s="100"/>
      <c r="E427" s="100"/>
      <c r="F427" s="100"/>
    </row>
    <row r="428" spans="2:6" ht="12.75" customHeight="1" x14ac:dyDescent="0.25">
      <c r="B428" s="100"/>
      <c r="E428" s="100"/>
      <c r="F428" s="100"/>
    </row>
    <row r="429" spans="2:6" ht="12.75" customHeight="1" x14ac:dyDescent="0.25">
      <c r="B429" s="100"/>
      <c r="E429" s="100"/>
      <c r="F429" s="100"/>
    </row>
    <row r="430" spans="2:6" ht="12.75" customHeight="1" x14ac:dyDescent="0.25">
      <c r="B430" s="100"/>
      <c r="E430" s="100"/>
      <c r="F430" s="100"/>
    </row>
    <row r="431" spans="2:6" ht="12.75" customHeight="1" x14ac:dyDescent="0.25">
      <c r="B431" s="100"/>
      <c r="E431" s="100"/>
      <c r="F431" s="100"/>
    </row>
    <row r="432" spans="2:6" ht="12.75" customHeight="1" x14ac:dyDescent="0.25">
      <c r="B432" s="100"/>
      <c r="E432" s="100"/>
      <c r="F432" s="100"/>
    </row>
    <row r="433" spans="2:6" ht="12.75" customHeight="1" x14ac:dyDescent="0.25">
      <c r="B433" s="100"/>
      <c r="E433" s="100"/>
      <c r="F433" s="100"/>
    </row>
    <row r="434" spans="2:6" ht="12.75" customHeight="1" x14ac:dyDescent="0.25">
      <c r="B434" s="100"/>
      <c r="E434" s="100"/>
      <c r="F434" s="100"/>
    </row>
    <row r="435" spans="2:6" ht="12.75" customHeight="1" x14ac:dyDescent="0.25">
      <c r="B435" s="100"/>
      <c r="E435" s="100"/>
      <c r="F435" s="100"/>
    </row>
    <row r="436" spans="2:6" ht="12.75" customHeight="1" x14ac:dyDescent="0.25">
      <c r="B436" s="100"/>
      <c r="E436" s="100"/>
      <c r="F436" s="100"/>
    </row>
    <row r="437" spans="2:6" ht="12.75" customHeight="1" x14ac:dyDescent="0.25">
      <c r="B437" s="100"/>
      <c r="E437" s="100"/>
      <c r="F437" s="100"/>
    </row>
    <row r="438" spans="2:6" ht="12.75" customHeight="1" x14ac:dyDescent="0.25">
      <c r="B438" s="100"/>
      <c r="E438" s="100"/>
      <c r="F438" s="100"/>
    </row>
    <row r="439" spans="2:6" ht="12.75" customHeight="1" x14ac:dyDescent="0.25">
      <c r="B439" s="100"/>
      <c r="E439" s="100"/>
      <c r="F439" s="100"/>
    </row>
    <row r="440" spans="2:6" ht="12.75" customHeight="1" x14ac:dyDescent="0.25">
      <c r="B440" s="100"/>
      <c r="E440" s="100"/>
      <c r="F440" s="100"/>
    </row>
    <row r="441" spans="2:6" ht="12.75" customHeight="1" x14ac:dyDescent="0.25">
      <c r="B441" s="100"/>
      <c r="E441" s="100"/>
      <c r="F441" s="100"/>
    </row>
    <row r="442" spans="2:6" ht="12.75" customHeight="1" x14ac:dyDescent="0.25">
      <c r="B442" s="100"/>
      <c r="E442" s="100"/>
      <c r="F442" s="100"/>
    </row>
    <row r="443" spans="2:6" ht="12.75" customHeight="1" x14ac:dyDescent="0.25">
      <c r="B443" s="100"/>
      <c r="E443" s="100"/>
      <c r="F443" s="100"/>
    </row>
    <row r="444" spans="2:6" ht="12.75" customHeight="1" x14ac:dyDescent="0.25">
      <c r="B444" s="100"/>
      <c r="E444" s="100"/>
      <c r="F444" s="100"/>
    </row>
    <row r="445" spans="2:6" ht="12.75" customHeight="1" x14ac:dyDescent="0.25">
      <c r="B445" s="100"/>
      <c r="E445" s="100"/>
      <c r="F445" s="100"/>
    </row>
    <row r="446" spans="2:6" ht="12.75" customHeight="1" x14ac:dyDescent="0.25">
      <c r="B446" s="100"/>
      <c r="E446" s="100"/>
      <c r="F446" s="100"/>
    </row>
    <row r="447" spans="2:6" ht="12.75" customHeight="1" x14ac:dyDescent="0.25">
      <c r="B447" s="100"/>
      <c r="E447" s="100"/>
      <c r="F447" s="100"/>
    </row>
    <row r="448" spans="2:6" ht="12.75" customHeight="1" x14ac:dyDescent="0.25">
      <c r="B448" s="100"/>
      <c r="E448" s="100"/>
      <c r="F448" s="100"/>
    </row>
    <row r="449" spans="2:6" ht="12.75" customHeight="1" x14ac:dyDescent="0.25">
      <c r="B449" s="100"/>
      <c r="E449" s="100"/>
      <c r="F449" s="100"/>
    </row>
    <row r="450" spans="2:6" ht="12.75" customHeight="1" x14ac:dyDescent="0.25">
      <c r="B450" s="100"/>
      <c r="E450" s="100"/>
      <c r="F450" s="100"/>
    </row>
    <row r="451" spans="2:6" ht="12.75" customHeight="1" x14ac:dyDescent="0.25">
      <c r="B451" s="100"/>
      <c r="E451" s="100"/>
      <c r="F451" s="100"/>
    </row>
    <row r="452" spans="2:6" ht="12.75" customHeight="1" x14ac:dyDescent="0.25">
      <c r="B452" s="100"/>
      <c r="E452" s="100"/>
      <c r="F452" s="100"/>
    </row>
    <row r="453" spans="2:6" ht="12.75" customHeight="1" x14ac:dyDescent="0.25">
      <c r="B453" s="100"/>
      <c r="E453" s="100"/>
      <c r="F453" s="100"/>
    </row>
    <row r="454" spans="2:6" ht="12.75" customHeight="1" x14ac:dyDescent="0.25">
      <c r="B454" s="100"/>
      <c r="E454" s="100"/>
      <c r="F454" s="100"/>
    </row>
    <row r="455" spans="2:6" ht="12.75" customHeight="1" x14ac:dyDescent="0.25">
      <c r="B455" s="100"/>
      <c r="E455" s="100"/>
      <c r="F455" s="100"/>
    </row>
    <row r="456" spans="2:6" ht="12.75" customHeight="1" x14ac:dyDescent="0.25">
      <c r="B456" s="100"/>
      <c r="E456" s="100"/>
      <c r="F456" s="100"/>
    </row>
    <row r="457" spans="2:6" ht="12.75" customHeight="1" x14ac:dyDescent="0.25">
      <c r="B457" s="100"/>
      <c r="E457" s="100"/>
      <c r="F457" s="100"/>
    </row>
    <row r="458" spans="2:6" ht="12.75" customHeight="1" x14ac:dyDescent="0.25">
      <c r="B458" s="100"/>
      <c r="E458" s="100"/>
      <c r="F458" s="100"/>
    </row>
    <row r="459" spans="2:6" ht="12.75" customHeight="1" x14ac:dyDescent="0.25">
      <c r="B459" s="100"/>
      <c r="E459" s="100"/>
      <c r="F459" s="100"/>
    </row>
    <row r="460" spans="2:6" ht="12.75" customHeight="1" x14ac:dyDescent="0.25">
      <c r="B460" s="100"/>
      <c r="E460" s="100"/>
      <c r="F460" s="100"/>
    </row>
    <row r="461" spans="2:6" ht="12.75" customHeight="1" x14ac:dyDescent="0.25">
      <c r="B461" s="100"/>
      <c r="E461" s="100"/>
      <c r="F461" s="100"/>
    </row>
    <row r="462" spans="2:6" ht="12.75" customHeight="1" x14ac:dyDescent="0.25">
      <c r="B462" s="100"/>
      <c r="E462" s="100"/>
      <c r="F462" s="100"/>
    </row>
    <row r="463" spans="2:6" ht="12.75" customHeight="1" x14ac:dyDescent="0.25">
      <c r="B463" s="100"/>
      <c r="E463" s="100"/>
      <c r="F463" s="100"/>
    </row>
    <row r="464" spans="2:6" ht="12.75" customHeight="1" x14ac:dyDescent="0.25">
      <c r="B464" s="100"/>
      <c r="E464" s="100"/>
      <c r="F464" s="100"/>
    </row>
    <row r="465" spans="2:6" ht="12.75" customHeight="1" x14ac:dyDescent="0.25">
      <c r="B465" s="100"/>
      <c r="E465" s="100"/>
      <c r="F465" s="100"/>
    </row>
    <row r="466" spans="2:6" ht="12.75" customHeight="1" x14ac:dyDescent="0.25">
      <c r="B466" s="100"/>
      <c r="E466" s="100"/>
      <c r="F466" s="100"/>
    </row>
    <row r="467" spans="2:6" ht="12.75" customHeight="1" x14ac:dyDescent="0.25">
      <c r="B467" s="100"/>
      <c r="E467" s="100"/>
      <c r="F467" s="100"/>
    </row>
    <row r="468" spans="2:6" ht="12.75" customHeight="1" x14ac:dyDescent="0.25">
      <c r="B468" s="100"/>
      <c r="E468" s="100"/>
      <c r="F468" s="100"/>
    </row>
    <row r="469" spans="2:6" ht="12.75" customHeight="1" x14ac:dyDescent="0.25">
      <c r="B469" s="100"/>
      <c r="E469" s="100"/>
      <c r="F469" s="100"/>
    </row>
    <row r="470" spans="2:6" ht="12.75" customHeight="1" x14ac:dyDescent="0.25">
      <c r="B470" s="100"/>
      <c r="E470" s="100"/>
      <c r="F470" s="100"/>
    </row>
    <row r="471" spans="2:6" ht="12.75" customHeight="1" x14ac:dyDescent="0.25">
      <c r="B471" s="100"/>
      <c r="E471" s="100"/>
      <c r="F471" s="100"/>
    </row>
    <row r="472" spans="2:6" ht="12.75" customHeight="1" x14ac:dyDescent="0.25">
      <c r="B472" s="100"/>
      <c r="E472" s="100"/>
      <c r="F472" s="100"/>
    </row>
    <row r="473" spans="2:6" ht="12.75" customHeight="1" x14ac:dyDescent="0.25">
      <c r="B473" s="100"/>
      <c r="E473" s="100"/>
      <c r="F473" s="100"/>
    </row>
    <row r="474" spans="2:6" ht="12.75" customHeight="1" x14ac:dyDescent="0.25">
      <c r="B474" s="100"/>
      <c r="E474" s="100"/>
      <c r="F474" s="100"/>
    </row>
    <row r="475" spans="2:6" ht="12.75" customHeight="1" x14ac:dyDescent="0.25">
      <c r="B475" s="100"/>
      <c r="E475" s="100"/>
      <c r="F475" s="100"/>
    </row>
    <row r="476" spans="2:6" ht="12.75" customHeight="1" x14ac:dyDescent="0.25">
      <c r="B476" s="100"/>
      <c r="E476" s="100"/>
      <c r="F476" s="100"/>
    </row>
    <row r="477" spans="2:6" ht="12.75" customHeight="1" x14ac:dyDescent="0.25">
      <c r="B477" s="100"/>
      <c r="E477" s="100"/>
      <c r="F477" s="100"/>
    </row>
    <row r="478" spans="2:6" ht="12.75" customHeight="1" x14ac:dyDescent="0.25">
      <c r="B478" s="100"/>
      <c r="E478" s="100"/>
      <c r="F478" s="100"/>
    </row>
    <row r="479" spans="2:6" ht="12.75" customHeight="1" x14ac:dyDescent="0.25">
      <c r="B479" s="100"/>
      <c r="E479" s="100"/>
      <c r="F479" s="100"/>
    </row>
    <row r="480" spans="2:6" ht="12.75" customHeight="1" x14ac:dyDescent="0.25">
      <c r="B480" s="100"/>
      <c r="E480" s="100"/>
      <c r="F480" s="100"/>
    </row>
    <row r="481" spans="2:6" ht="12.75" customHeight="1" x14ac:dyDescent="0.25">
      <c r="B481" s="100"/>
      <c r="E481" s="100"/>
      <c r="F481" s="100"/>
    </row>
    <row r="482" spans="2:6" ht="12.75" customHeight="1" x14ac:dyDescent="0.25">
      <c r="B482" s="100"/>
      <c r="E482" s="100"/>
      <c r="F482" s="100"/>
    </row>
    <row r="483" spans="2:6" ht="12.75" customHeight="1" x14ac:dyDescent="0.25">
      <c r="B483" s="100"/>
      <c r="E483" s="100"/>
      <c r="F483" s="100"/>
    </row>
    <row r="484" spans="2:6" ht="12.75" customHeight="1" x14ac:dyDescent="0.25">
      <c r="B484" s="100"/>
      <c r="E484" s="100"/>
      <c r="F484" s="100"/>
    </row>
    <row r="485" spans="2:6" ht="12.75" customHeight="1" x14ac:dyDescent="0.25">
      <c r="B485" s="100"/>
      <c r="E485" s="100"/>
      <c r="F485" s="100"/>
    </row>
    <row r="486" spans="2:6" ht="12.75" customHeight="1" x14ac:dyDescent="0.25">
      <c r="B486" s="100"/>
      <c r="E486" s="100"/>
      <c r="F486" s="100"/>
    </row>
    <row r="487" spans="2:6" ht="12.75" customHeight="1" x14ac:dyDescent="0.25">
      <c r="B487" s="100"/>
      <c r="E487" s="100"/>
      <c r="F487" s="100"/>
    </row>
    <row r="488" spans="2:6" ht="12.75" customHeight="1" x14ac:dyDescent="0.25">
      <c r="B488" s="100"/>
      <c r="E488" s="100"/>
      <c r="F488" s="100"/>
    </row>
    <row r="489" spans="2:6" ht="12.75" customHeight="1" x14ac:dyDescent="0.25">
      <c r="B489" s="100"/>
      <c r="E489" s="100"/>
      <c r="F489" s="100"/>
    </row>
    <row r="490" spans="2:6" ht="12.75" customHeight="1" x14ac:dyDescent="0.25">
      <c r="B490" s="100"/>
      <c r="E490" s="100"/>
      <c r="F490" s="100"/>
    </row>
    <row r="491" spans="2:6" ht="12.75" customHeight="1" x14ac:dyDescent="0.25">
      <c r="B491" s="100"/>
      <c r="E491" s="100"/>
      <c r="F491" s="100"/>
    </row>
    <row r="492" spans="2:6" ht="12.75" customHeight="1" x14ac:dyDescent="0.25">
      <c r="B492" s="100"/>
      <c r="E492" s="100"/>
      <c r="F492" s="100"/>
    </row>
    <row r="493" spans="2:6" ht="12.75" customHeight="1" x14ac:dyDescent="0.25">
      <c r="B493" s="100"/>
      <c r="E493" s="100"/>
      <c r="F493" s="100"/>
    </row>
    <row r="494" spans="2:6" ht="12.75" customHeight="1" x14ac:dyDescent="0.25">
      <c r="B494" s="100"/>
      <c r="E494" s="100"/>
      <c r="F494" s="100"/>
    </row>
    <row r="495" spans="2:6" ht="12.75" customHeight="1" x14ac:dyDescent="0.25">
      <c r="B495" s="100"/>
      <c r="E495" s="100"/>
      <c r="F495" s="100"/>
    </row>
    <row r="496" spans="2:6" ht="12.75" customHeight="1" x14ac:dyDescent="0.25">
      <c r="B496" s="100"/>
      <c r="E496" s="100"/>
      <c r="F496" s="100"/>
    </row>
    <row r="497" spans="2:6" ht="12.75" customHeight="1" x14ac:dyDescent="0.25">
      <c r="B497" s="100"/>
      <c r="E497" s="100"/>
      <c r="F497" s="100"/>
    </row>
    <row r="498" spans="2:6" ht="12.75" customHeight="1" x14ac:dyDescent="0.25">
      <c r="B498" s="100"/>
      <c r="E498" s="100"/>
      <c r="F498" s="100"/>
    </row>
    <row r="499" spans="2:6" ht="12.75" customHeight="1" x14ac:dyDescent="0.25">
      <c r="B499" s="100"/>
      <c r="E499" s="100"/>
      <c r="F499" s="100"/>
    </row>
    <row r="500" spans="2:6" ht="12.75" customHeight="1" x14ac:dyDescent="0.25">
      <c r="B500" s="100"/>
      <c r="E500" s="100"/>
      <c r="F500" s="100"/>
    </row>
    <row r="501" spans="2:6" ht="12.75" customHeight="1" x14ac:dyDescent="0.25">
      <c r="B501" s="100"/>
      <c r="E501" s="100"/>
      <c r="F501" s="100"/>
    </row>
    <row r="502" spans="2:6" ht="12.75" customHeight="1" x14ac:dyDescent="0.25">
      <c r="B502" s="100"/>
      <c r="E502" s="100"/>
      <c r="F502" s="100"/>
    </row>
    <row r="503" spans="2:6" ht="12.75" customHeight="1" x14ac:dyDescent="0.25">
      <c r="B503" s="100"/>
      <c r="E503" s="100"/>
      <c r="F503" s="100"/>
    </row>
    <row r="504" spans="2:6" ht="12.75" customHeight="1" x14ac:dyDescent="0.25">
      <c r="B504" s="100"/>
      <c r="E504" s="100"/>
      <c r="F504" s="100"/>
    </row>
    <row r="505" spans="2:6" ht="12.75" customHeight="1" x14ac:dyDescent="0.25">
      <c r="B505" s="100"/>
      <c r="E505" s="100"/>
      <c r="F505" s="100"/>
    </row>
    <row r="506" spans="2:6" ht="12.75" customHeight="1" x14ac:dyDescent="0.25">
      <c r="B506" s="100"/>
      <c r="E506" s="100"/>
      <c r="F506" s="100"/>
    </row>
    <row r="507" spans="2:6" ht="12.75" customHeight="1" x14ac:dyDescent="0.25">
      <c r="B507" s="100"/>
      <c r="E507" s="100"/>
      <c r="F507" s="100"/>
    </row>
    <row r="508" spans="2:6" ht="12.75" customHeight="1" x14ac:dyDescent="0.25">
      <c r="B508" s="100"/>
      <c r="E508" s="100"/>
      <c r="F508" s="100"/>
    </row>
    <row r="509" spans="2:6" ht="12.75" customHeight="1" x14ac:dyDescent="0.25">
      <c r="B509" s="100"/>
      <c r="E509" s="100"/>
      <c r="F509" s="100"/>
    </row>
    <row r="510" spans="2:6" ht="12.75" customHeight="1" x14ac:dyDescent="0.25">
      <c r="B510" s="100"/>
      <c r="E510" s="100"/>
      <c r="F510" s="100"/>
    </row>
    <row r="511" spans="2:6" ht="12.75" customHeight="1" x14ac:dyDescent="0.25">
      <c r="B511" s="100"/>
      <c r="E511" s="100"/>
      <c r="F511" s="100"/>
    </row>
    <row r="512" spans="2:6" ht="12.75" customHeight="1" x14ac:dyDescent="0.25">
      <c r="B512" s="100"/>
      <c r="E512" s="100"/>
      <c r="F512" s="100"/>
    </row>
    <row r="513" spans="2:6" ht="12.75" customHeight="1" x14ac:dyDescent="0.25">
      <c r="B513" s="100"/>
      <c r="E513" s="100"/>
      <c r="F513" s="100"/>
    </row>
    <row r="514" spans="2:6" ht="12.75" customHeight="1" x14ac:dyDescent="0.25">
      <c r="B514" s="100"/>
      <c r="E514" s="100"/>
      <c r="F514" s="100"/>
    </row>
    <row r="515" spans="2:6" ht="12.75" customHeight="1" x14ac:dyDescent="0.25">
      <c r="B515" s="100"/>
      <c r="E515" s="100"/>
      <c r="F515" s="100"/>
    </row>
    <row r="516" spans="2:6" ht="12.75" customHeight="1" x14ac:dyDescent="0.25">
      <c r="B516" s="100"/>
      <c r="E516" s="100"/>
      <c r="F516" s="100"/>
    </row>
    <row r="517" spans="2:6" ht="12.75" customHeight="1" x14ac:dyDescent="0.25">
      <c r="B517" s="100"/>
      <c r="E517" s="100"/>
      <c r="F517" s="100"/>
    </row>
    <row r="518" spans="2:6" ht="12.75" customHeight="1" x14ac:dyDescent="0.25">
      <c r="B518" s="100"/>
      <c r="E518" s="100"/>
      <c r="F518" s="100"/>
    </row>
    <row r="519" spans="2:6" ht="12.75" customHeight="1" x14ac:dyDescent="0.25">
      <c r="B519" s="100"/>
      <c r="E519" s="100"/>
      <c r="F519" s="100"/>
    </row>
    <row r="520" spans="2:6" ht="12.75" customHeight="1" x14ac:dyDescent="0.25">
      <c r="B520" s="100"/>
      <c r="E520" s="100"/>
      <c r="F520" s="100"/>
    </row>
    <row r="521" spans="2:6" ht="12.75" customHeight="1" x14ac:dyDescent="0.25">
      <c r="B521" s="100"/>
      <c r="E521" s="100"/>
      <c r="F521" s="100"/>
    </row>
    <row r="522" spans="2:6" ht="12.75" customHeight="1" x14ac:dyDescent="0.25">
      <c r="B522" s="100"/>
      <c r="E522" s="100"/>
      <c r="F522" s="100"/>
    </row>
    <row r="523" spans="2:6" ht="12.75" customHeight="1" x14ac:dyDescent="0.25">
      <c r="B523" s="100"/>
      <c r="E523" s="100"/>
      <c r="F523" s="100"/>
    </row>
    <row r="524" spans="2:6" ht="12.75" customHeight="1" x14ac:dyDescent="0.25">
      <c r="B524" s="100"/>
      <c r="E524" s="100"/>
      <c r="F524" s="100"/>
    </row>
    <row r="525" spans="2:6" ht="12.75" customHeight="1" x14ac:dyDescent="0.25">
      <c r="B525" s="100"/>
      <c r="E525" s="100"/>
      <c r="F525" s="100"/>
    </row>
    <row r="526" spans="2:6" ht="12.75" customHeight="1" x14ac:dyDescent="0.25">
      <c r="B526" s="100"/>
      <c r="E526" s="100"/>
      <c r="F526" s="100"/>
    </row>
    <row r="527" spans="2:6" ht="12.75" customHeight="1" x14ac:dyDescent="0.25">
      <c r="B527" s="100"/>
      <c r="E527" s="100"/>
      <c r="F527" s="100"/>
    </row>
    <row r="528" spans="2:6" ht="12.75" customHeight="1" x14ac:dyDescent="0.25">
      <c r="B528" s="100"/>
      <c r="E528" s="100"/>
      <c r="F528" s="100"/>
    </row>
    <row r="529" spans="2:6" ht="12.75" customHeight="1" x14ac:dyDescent="0.25">
      <c r="B529" s="100"/>
      <c r="E529" s="100"/>
      <c r="F529" s="100"/>
    </row>
    <row r="530" spans="2:6" ht="12.75" customHeight="1" x14ac:dyDescent="0.25">
      <c r="B530" s="100"/>
      <c r="E530" s="100"/>
      <c r="F530" s="100"/>
    </row>
    <row r="531" spans="2:6" ht="12.75" customHeight="1" x14ac:dyDescent="0.25">
      <c r="B531" s="100"/>
      <c r="E531" s="100"/>
      <c r="F531" s="100"/>
    </row>
    <row r="532" spans="2:6" ht="12.75" customHeight="1" x14ac:dyDescent="0.25">
      <c r="B532" s="100"/>
      <c r="E532" s="100"/>
      <c r="F532" s="100"/>
    </row>
    <row r="533" spans="2:6" ht="12.75" customHeight="1" x14ac:dyDescent="0.25">
      <c r="B533" s="100"/>
      <c r="E533" s="100"/>
      <c r="F533" s="100"/>
    </row>
    <row r="534" spans="2:6" ht="12.75" customHeight="1" x14ac:dyDescent="0.25">
      <c r="B534" s="100"/>
      <c r="E534" s="100"/>
      <c r="F534" s="100"/>
    </row>
    <row r="535" spans="2:6" ht="12.75" customHeight="1" x14ac:dyDescent="0.25">
      <c r="B535" s="100"/>
      <c r="E535" s="100"/>
      <c r="F535" s="100"/>
    </row>
    <row r="536" spans="2:6" ht="12.75" customHeight="1" x14ac:dyDescent="0.25">
      <c r="B536" s="100"/>
      <c r="E536" s="100"/>
      <c r="F536" s="100"/>
    </row>
    <row r="537" spans="2:6" ht="12.75" customHeight="1" x14ac:dyDescent="0.25">
      <c r="B537" s="100"/>
      <c r="E537" s="100"/>
      <c r="F537" s="100"/>
    </row>
    <row r="538" spans="2:6" ht="12.75" customHeight="1" x14ac:dyDescent="0.25">
      <c r="B538" s="100"/>
      <c r="E538" s="100"/>
      <c r="F538" s="100"/>
    </row>
    <row r="539" spans="2:6" ht="12.75" customHeight="1" x14ac:dyDescent="0.25">
      <c r="B539" s="100"/>
      <c r="E539" s="100"/>
      <c r="F539" s="100"/>
    </row>
    <row r="540" spans="2:6" ht="12.75" customHeight="1" x14ac:dyDescent="0.25">
      <c r="B540" s="100"/>
      <c r="E540" s="100"/>
      <c r="F540" s="100"/>
    </row>
    <row r="541" spans="2:6" ht="12.75" customHeight="1" x14ac:dyDescent="0.25">
      <c r="B541" s="100"/>
      <c r="E541" s="100"/>
      <c r="F541" s="100"/>
    </row>
    <row r="542" spans="2:6" ht="12.75" customHeight="1" x14ac:dyDescent="0.25">
      <c r="B542" s="100"/>
      <c r="E542" s="100"/>
      <c r="F542" s="100"/>
    </row>
    <row r="543" spans="2:6" ht="12.75" customHeight="1" x14ac:dyDescent="0.25">
      <c r="B543" s="100"/>
      <c r="E543" s="100"/>
      <c r="F543" s="100"/>
    </row>
    <row r="544" spans="2:6" ht="12.75" customHeight="1" x14ac:dyDescent="0.25">
      <c r="B544" s="100"/>
      <c r="E544" s="100"/>
      <c r="F544" s="100"/>
    </row>
    <row r="545" spans="2:6" ht="12.75" customHeight="1" x14ac:dyDescent="0.25">
      <c r="B545" s="100"/>
      <c r="E545" s="100"/>
      <c r="F545" s="100"/>
    </row>
    <row r="546" spans="2:6" ht="12.75" customHeight="1" x14ac:dyDescent="0.25">
      <c r="B546" s="100"/>
      <c r="E546" s="100"/>
      <c r="F546" s="100"/>
    </row>
    <row r="547" spans="2:6" ht="12.75" customHeight="1" x14ac:dyDescent="0.25">
      <c r="B547" s="100"/>
      <c r="E547" s="100"/>
      <c r="F547" s="100"/>
    </row>
    <row r="548" spans="2:6" ht="12.75" customHeight="1" x14ac:dyDescent="0.25">
      <c r="B548" s="100"/>
      <c r="E548" s="100"/>
      <c r="F548" s="100"/>
    </row>
    <row r="549" spans="2:6" ht="12.75" customHeight="1" x14ac:dyDescent="0.25">
      <c r="B549" s="100"/>
      <c r="E549" s="100"/>
      <c r="F549" s="100"/>
    </row>
    <row r="550" spans="2:6" ht="12.75" customHeight="1" x14ac:dyDescent="0.25">
      <c r="B550" s="100"/>
      <c r="E550" s="100"/>
      <c r="F550" s="100"/>
    </row>
    <row r="551" spans="2:6" ht="12.75" customHeight="1" x14ac:dyDescent="0.25">
      <c r="B551" s="100"/>
      <c r="E551" s="100"/>
      <c r="F551" s="100"/>
    </row>
    <row r="552" spans="2:6" ht="12.75" customHeight="1" x14ac:dyDescent="0.25">
      <c r="B552" s="100"/>
      <c r="E552" s="100"/>
      <c r="F552" s="100"/>
    </row>
    <row r="553" spans="2:6" ht="12.75" customHeight="1" x14ac:dyDescent="0.25">
      <c r="B553" s="100"/>
      <c r="E553" s="100"/>
      <c r="F553" s="100"/>
    </row>
    <row r="554" spans="2:6" ht="12.75" customHeight="1" x14ac:dyDescent="0.25">
      <c r="B554" s="100"/>
      <c r="E554" s="100"/>
      <c r="F554" s="100"/>
    </row>
    <row r="555" spans="2:6" ht="12.75" customHeight="1" x14ac:dyDescent="0.25">
      <c r="B555" s="100"/>
      <c r="E555" s="100"/>
      <c r="F555" s="100"/>
    </row>
    <row r="556" spans="2:6" ht="12.75" customHeight="1" x14ac:dyDescent="0.25">
      <c r="B556" s="100"/>
      <c r="E556" s="100"/>
      <c r="F556" s="100"/>
    </row>
    <row r="557" spans="2:6" ht="12.75" customHeight="1" x14ac:dyDescent="0.25">
      <c r="B557" s="100"/>
      <c r="E557" s="100"/>
      <c r="F557" s="100"/>
    </row>
    <row r="558" spans="2:6" ht="12.75" customHeight="1" x14ac:dyDescent="0.25">
      <c r="B558" s="100"/>
      <c r="E558" s="100"/>
      <c r="F558" s="100"/>
    </row>
    <row r="559" spans="2:6" ht="12.75" customHeight="1" x14ac:dyDescent="0.25">
      <c r="B559" s="100"/>
      <c r="E559" s="100"/>
      <c r="F559" s="100"/>
    </row>
    <row r="560" spans="2:6" ht="12.75" customHeight="1" x14ac:dyDescent="0.25">
      <c r="B560" s="100"/>
      <c r="E560" s="100"/>
      <c r="F560" s="100"/>
    </row>
    <row r="561" spans="2:6" ht="12.75" customHeight="1" x14ac:dyDescent="0.25">
      <c r="B561" s="100"/>
      <c r="E561" s="100"/>
      <c r="F561" s="100"/>
    </row>
    <row r="562" spans="2:6" ht="12.75" customHeight="1" x14ac:dyDescent="0.25">
      <c r="B562" s="100"/>
      <c r="E562" s="100"/>
      <c r="F562" s="100"/>
    </row>
    <row r="563" spans="2:6" ht="12.75" customHeight="1" x14ac:dyDescent="0.25">
      <c r="B563" s="100"/>
      <c r="E563" s="100"/>
      <c r="F563" s="100"/>
    </row>
    <row r="564" spans="2:6" ht="12.75" customHeight="1" x14ac:dyDescent="0.25">
      <c r="B564" s="100"/>
      <c r="E564" s="100"/>
      <c r="F564" s="100"/>
    </row>
    <row r="565" spans="2:6" ht="12.75" customHeight="1" x14ac:dyDescent="0.25">
      <c r="B565" s="100"/>
      <c r="E565" s="100"/>
      <c r="F565" s="100"/>
    </row>
    <row r="566" spans="2:6" ht="12.75" customHeight="1" x14ac:dyDescent="0.25">
      <c r="B566" s="100"/>
      <c r="E566" s="100"/>
      <c r="F566" s="100"/>
    </row>
    <row r="567" spans="2:6" ht="12.75" customHeight="1" x14ac:dyDescent="0.25">
      <c r="B567" s="100"/>
      <c r="E567" s="100"/>
      <c r="F567" s="100"/>
    </row>
    <row r="568" spans="2:6" ht="12.75" customHeight="1" x14ac:dyDescent="0.25">
      <c r="B568" s="100"/>
      <c r="E568" s="100"/>
      <c r="F568" s="100"/>
    </row>
    <row r="569" spans="2:6" ht="12.75" customHeight="1" x14ac:dyDescent="0.25">
      <c r="B569" s="100"/>
      <c r="E569" s="100"/>
      <c r="F569" s="100"/>
    </row>
    <row r="570" spans="2:6" ht="12.75" customHeight="1" x14ac:dyDescent="0.25">
      <c r="B570" s="100"/>
      <c r="E570" s="100"/>
      <c r="F570" s="100"/>
    </row>
    <row r="571" spans="2:6" ht="12.75" customHeight="1" x14ac:dyDescent="0.25">
      <c r="B571" s="100"/>
      <c r="E571" s="100"/>
      <c r="F571" s="100"/>
    </row>
    <row r="572" spans="2:6" ht="12.75" customHeight="1" x14ac:dyDescent="0.25">
      <c r="B572" s="100"/>
      <c r="E572" s="100"/>
      <c r="F572" s="100"/>
    </row>
    <row r="573" spans="2:6" ht="12.75" customHeight="1" x14ac:dyDescent="0.25">
      <c r="B573" s="100"/>
      <c r="E573" s="100"/>
      <c r="F573" s="100"/>
    </row>
    <row r="574" spans="2:6" ht="12.75" customHeight="1" x14ac:dyDescent="0.25">
      <c r="B574" s="100"/>
      <c r="E574" s="100"/>
      <c r="F574" s="100"/>
    </row>
    <row r="575" spans="2:6" ht="12.75" customHeight="1" x14ac:dyDescent="0.25">
      <c r="B575" s="100"/>
      <c r="E575" s="100"/>
      <c r="F575" s="100"/>
    </row>
    <row r="576" spans="2:6" ht="12.75" customHeight="1" x14ac:dyDescent="0.25">
      <c r="B576" s="100"/>
      <c r="E576" s="100"/>
      <c r="F576" s="100"/>
    </row>
    <row r="577" spans="2:6" ht="12.75" customHeight="1" x14ac:dyDescent="0.25">
      <c r="B577" s="100"/>
      <c r="E577" s="100"/>
      <c r="F577" s="100"/>
    </row>
    <row r="578" spans="2:6" ht="12.75" customHeight="1" x14ac:dyDescent="0.25">
      <c r="B578" s="100"/>
      <c r="E578" s="100"/>
      <c r="F578" s="100"/>
    </row>
    <row r="579" spans="2:6" ht="12.75" customHeight="1" x14ac:dyDescent="0.25">
      <c r="B579" s="100"/>
      <c r="E579" s="100"/>
      <c r="F579" s="100"/>
    </row>
    <row r="580" spans="2:6" ht="12.75" customHeight="1" x14ac:dyDescent="0.25">
      <c r="B580" s="100"/>
      <c r="E580" s="100"/>
      <c r="F580" s="100"/>
    </row>
    <row r="581" spans="2:6" ht="12.75" customHeight="1" x14ac:dyDescent="0.25">
      <c r="B581" s="100"/>
      <c r="E581" s="100"/>
      <c r="F581" s="100"/>
    </row>
    <row r="582" spans="2:6" ht="12.75" customHeight="1" x14ac:dyDescent="0.25">
      <c r="B582" s="100"/>
      <c r="E582" s="100"/>
      <c r="F582" s="100"/>
    </row>
    <row r="583" spans="2:6" ht="12.75" customHeight="1" x14ac:dyDescent="0.25">
      <c r="B583" s="100"/>
      <c r="E583" s="100"/>
      <c r="F583" s="100"/>
    </row>
    <row r="584" spans="2:6" ht="12.75" customHeight="1" x14ac:dyDescent="0.25">
      <c r="B584" s="100"/>
      <c r="E584" s="100"/>
      <c r="F584" s="100"/>
    </row>
    <row r="585" spans="2:6" ht="12.75" customHeight="1" x14ac:dyDescent="0.25">
      <c r="B585" s="100"/>
      <c r="E585" s="100"/>
      <c r="F585" s="100"/>
    </row>
    <row r="586" spans="2:6" ht="12.75" customHeight="1" x14ac:dyDescent="0.25">
      <c r="B586" s="100"/>
      <c r="E586" s="100"/>
      <c r="F586" s="100"/>
    </row>
    <row r="587" spans="2:6" ht="12.75" customHeight="1" x14ac:dyDescent="0.25">
      <c r="B587" s="100"/>
      <c r="E587" s="100"/>
      <c r="F587" s="100"/>
    </row>
    <row r="588" spans="2:6" ht="12.75" customHeight="1" x14ac:dyDescent="0.25">
      <c r="B588" s="100"/>
      <c r="E588" s="100"/>
      <c r="F588" s="100"/>
    </row>
    <row r="589" spans="2:6" ht="12.75" customHeight="1" x14ac:dyDescent="0.25">
      <c r="B589" s="100"/>
      <c r="E589" s="100"/>
      <c r="F589" s="100"/>
    </row>
    <row r="590" spans="2:6" ht="12.75" customHeight="1" x14ac:dyDescent="0.25">
      <c r="B590" s="100"/>
      <c r="E590" s="100"/>
      <c r="F590" s="100"/>
    </row>
    <row r="591" spans="2:6" ht="12.75" customHeight="1" x14ac:dyDescent="0.25">
      <c r="B591" s="100"/>
      <c r="E591" s="100"/>
      <c r="F591" s="100"/>
    </row>
    <row r="592" spans="2:6" ht="12.75" customHeight="1" x14ac:dyDescent="0.25">
      <c r="B592" s="100"/>
      <c r="E592" s="100"/>
      <c r="F592" s="100"/>
    </row>
    <row r="593" spans="2:6" ht="12.75" customHeight="1" x14ac:dyDescent="0.25">
      <c r="B593" s="100"/>
      <c r="E593" s="100"/>
      <c r="F593" s="100"/>
    </row>
    <row r="594" spans="2:6" ht="12.75" customHeight="1" x14ac:dyDescent="0.25">
      <c r="B594" s="100"/>
      <c r="E594" s="100"/>
      <c r="F594" s="100"/>
    </row>
    <row r="595" spans="2:6" ht="12.75" customHeight="1" x14ac:dyDescent="0.25">
      <c r="B595" s="100"/>
      <c r="E595" s="100"/>
      <c r="F595" s="100"/>
    </row>
    <row r="596" spans="2:6" ht="12.75" customHeight="1" x14ac:dyDescent="0.25">
      <c r="B596" s="100"/>
      <c r="E596" s="100"/>
      <c r="F596" s="100"/>
    </row>
    <row r="597" spans="2:6" ht="12.75" customHeight="1" x14ac:dyDescent="0.25">
      <c r="B597" s="100"/>
      <c r="E597" s="100"/>
      <c r="F597" s="100"/>
    </row>
    <row r="598" spans="2:6" ht="12.75" customHeight="1" x14ac:dyDescent="0.25">
      <c r="B598" s="100"/>
      <c r="E598" s="100"/>
      <c r="F598" s="100"/>
    </row>
    <row r="599" spans="2:6" ht="12.75" customHeight="1" x14ac:dyDescent="0.25">
      <c r="B599" s="100"/>
      <c r="E599" s="100"/>
      <c r="F599" s="100"/>
    </row>
    <row r="600" spans="2:6" ht="12.75" customHeight="1" x14ac:dyDescent="0.25">
      <c r="B600" s="100"/>
      <c r="E600" s="100"/>
      <c r="F600" s="100"/>
    </row>
    <row r="601" spans="2:6" ht="12.75" customHeight="1" x14ac:dyDescent="0.25">
      <c r="B601" s="100"/>
      <c r="E601" s="100"/>
      <c r="F601" s="100"/>
    </row>
    <row r="602" spans="2:6" ht="12.75" customHeight="1" x14ac:dyDescent="0.25">
      <c r="B602" s="100"/>
      <c r="E602" s="100"/>
      <c r="F602" s="100"/>
    </row>
    <row r="603" spans="2:6" ht="12.75" customHeight="1" x14ac:dyDescent="0.25">
      <c r="B603" s="100"/>
      <c r="E603" s="100"/>
      <c r="F603" s="100"/>
    </row>
    <row r="604" spans="2:6" ht="12.75" customHeight="1" x14ac:dyDescent="0.25">
      <c r="B604" s="100"/>
      <c r="E604" s="100"/>
      <c r="F604" s="100"/>
    </row>
    <row r="605" spans="2:6" ht="12.75" customHeight="1" x14ac:dyDescent="0.25">
      <c r="B605" s="100"/>
      <c r="E605" s="100"/>
      <c r="F605" s="100"/>
    </row>
    <row r="606" spans="2:6" ht="12.75" customHeight="1" x14ac:dyDescent="0.25">
      <c r="B606" s="100"/>
      <c r="E606" s="100"/>
      <c r="F606" s="100"/>
    </row>
    <row r="607" spans="2:6" ht="12.75" customHeight="1" x14ac:dyDescent="0.25">
      <c r="B607" s="100"/>
      <c r="E607" s="100"/>
      <c r="F607" s="100"/>
    </row>
    <row r="608" spans="2:6" ht="12.75" customHeight="1" x14ac:dyDescent="0.25">
      <c r="B608" s="100"/>
      <c r="E608" s="100"/>
      <c r="F608" s="100"/>
    </row>
    <row r="609" spans="2:6" ht="12.75" customHeight="1" x14ac:dyDescent="0.25">
      <c r="B609" s="100"/>
      <c r="E609" s="100"/>
      <c r="F609" s="100"/>
    </row>
    <row r="610" spans="2:6" ht="12.75" customHeight="1" x14ac:dyDescent="0.25">
      <c r="B610" s="100"/>
      <c r="E610" s="100"/>
      <c r="F610" s="100"/>
    </row>
    <row r="611" spans="2:6" ht="12.75" customHeight="1" x14ac:dyDescent="0.25">
      <c r="B611" s="100"/>
      <c r="E611" s="100"/>
      <c r="F611" s="100"/>
    </row>
    <row r="612" spans="2:6" ht="12.75" customHeight="1" x14ac:dyDescent="0.25">
      <c r="B612" s="100"/>
      <c r="E612" s="100"/>
      <c r="F612" s="100"/>
    </row>
    <row r="613" spans="2:6" ht="12.75" customHeight="1" x14ac:dyDescent="0.25">
      <c r="B613" s="100"/>
      <c r="E613" s="100"/>
      <c r="F613" s="100"/>
    </row>
    <row r="614" spans="2:6" ht="12.75" customHeight="1" x14ac:dyDescent="0.25">
      <c r="B614" s="100"/>
      <c r="E614" s="100"/>
      <c r="F614" s="100"/>
    </row>
    <row r="615" spans="2:6" ht="12.75" customHeight="1" x14ac:dyDescent="0.25">
      <c r="B615" s="100"/>
      <c r="E615" s="100"/>
      <c r="F615" s="100"/>
    </row>
    <row r="616" spans="2:6" ht="12.75" customHeight="1" x14ac:dyDescent="0.25">
      <c r="B616" s="100"/>
      <c r="E616" s="100"/>
      <c r="F616" s="100"/>
    </row>
    <row r="617" spans="2:6" ht="12.75" customHeight="1" x14ac:dyDescent="0.25">
      <c r="B617" s="100"/>
      <c r="E617" s="100"/>
      <c r="F617" s="100"/>
    </row>
    <row r="618" spans="2:6" ht="12.75" customHeight="1" x14ac:dyDescent="0.25">
      <c r="B618" s="100"/>
      <c r="E618" s="100"/>
      <c r="F618" s="100"/>
    </row>
    <row r="619" spans="2:6" ht="12.75" customHeight="1" x14ac:dyDescent="0.25">
      <c r="B619" s="100"/>
      <c r="E619" s="100"/>
      <c r="F619" s="100"/>
    </row>
    <row r="620" spans="2:6" ht="12.75" customHeight="1" x14ac:dyDescent="0.25">
      <c r="B620" s="100"/>
      <c r="E620" s="100"/>
      <c r="F620" s="100"/>
    </row>
    <row r="621" spans="2:6" ht="12.75" customHeight="1" x14ac:dyDescent="0.25">
      <c r="B621" s="100"/>
      <c r="E621" s="100"/>
      <c r="F621" s="100"/>
    </row>
    <row r="622" spans="2:6" ht="12.75" customHeight="1" x14ac:dyDescent="0.25">
      <c r="B622" s="100"/>
      <c r="E622" s="100"/>
      <c r="F622" s="100"/>
    </row>
    <row r="623" spans="2:6" ht="12.75" customHeight="1" x14ac:dyDescent="0.25">
      <c r="B623" s="100"/>
      <c r="E623" s="100"/>
      <c r="F623" s="100"/>
    </row>
    <row r="624" spans="2:6" ht="12.75" customHeight="1" x14ac:dyDescent="0.25">
      <c r="B624" s="100"/>
      <c r="E624" s="100"/>
      <c r="F624" s="100"/>
    </row>
    <row r="625" spans="2:6" ht="12.75" customHeight="1" x14ac:dyDescent="0.25">
      <c r="B625" s="100"/>
      <c r="E625" s="100"/>
      <c r="F625" s="100"/>
    </row>
    <row r="626" spans="2:6" ht="12.75" customHeight="1" x14ac:dyDescent="0.25">
      <c r="B626" s="100"/>
      <c r="E626" s="100"/>
      <c r="F626" s="100"/>
    </row>
    <row r="627" spans="2:6" ht="12.75" customHeight="1" x14ac:dyDescent="0.25">
      <c r="B627" s="100"/>
      <c r="E627" s="100"/>
      <c r="F627" s="100"/>
    </row>
    <row r="628" spans="2:6" ht="12.75" customHeight="1" x14ac:dyDescent="0.25">
      <c r="B628" s="100"/>
      <c r="E628" s="100"/>
      <c r="F628" s="100"/>
    </row>
    <row r="629" spans="2:6" ht="12.75" customHeight="1" x14ac:dyDescent="0.25">
      <c r="B629" s="100"/>
      <c r="E629" s="100"/>
      <c r="F629" s="100"/>
    </row>
    <row r="630" spans="2:6" ht="12.75" customHeight="1" x14ac:dyDescent="0.25">
      <c r="B630" s="100"/>
      <c r="E630" s="100"/>
      <c r="F630" s="100"/>
    </row>
    <row r="631" spans="2:6" ht="12.75" customHeight="1" x14ac:dyDescent="0.25">
      <c r="B631" s="100"/>
      <c r="E631" s="100"/>
      <c r="F631" s="100"/>
    </row>
    <row r="632" spans="2:6" ht="12.75" customHeight="1" x14ac:dyDescent="0.25">
      <c r="B632" s="100"/>
      <c r="E632" s="100"/>
      <c r="F632" s="100"/>
    </row>
    <row r="633" spans="2:6" ht="12.75" customHeight="1" x14ac:dyDescent="0.25">
      <c r="B633" s="100"/>
      <c r="E633" s="100"/>
      <c r="F633" s="100"/>
    </row>
    <row r="634" spans="2:6" ht="12.75" customHeight="1" x14ac:dyDescent="0.25">
      <c r="B634" s="100"/>
      <c r="E634" s="100"/>
      <c r="F634" s="100"/>
    </row>
    <row r="635" spans="2:6" ht="12.75" customHeight="1" x14ac:dyDescent="0.25">
      <c r="B635" s="100"/>
      <c r="E635" s="100"/>
      <c r="F635" s="100"/>
    </row>
    <row r="636" spans="2:6" ht="12.75" customHeight="1" x14ac:dyDescent="0.25">
      <c r="B636" s="100"/>
      <c r="E636" s="100"/>
      <c r="F636" s="100"/>
    </row>
    <row r="637" spans="2:6" ht="12.75" customHeight="1" x14ac:dyDescent="0.25">
      <c r="B637" s="100"/>
      <c r="E637" s="100"/>
      <c r="F637" s="100"/>
    </row>
    <row r="638" spans="2:6" ht="12.75" customHeight="1" x14ac:dyDescent="0.25">
      <c r="B638" s="100"/>
      <c r="E638" s="100"/>
      <c r="F638" s="100"/>
    </row>
    <row r="639" spans="2:6" ht="12.75" customHeight="1" x14ac:dyDescent="0.25">
      <c r="B639" s="100"/>
      <c r="E639" s="100"/>
      <c r="F639" s="100"/>
    </row>
    <row r="640" spans="2:6" ht="12.75" customHeight="1" x14ac:dyDescent="0.25">
      <c r="B640" s="100"/>
      <c r="E640" s="100"/>
      <c r="F640" s="100"/>
    </row>
    <row r="641" spans="2:6" ht="12.75" customHeight="1" x14ac:dyDescent="0.25">
      <c r="B641" s="100"/>
      <c r="E641" s="100"/>
      <c r="F641" s="100"/>
    </row>
    <row r="642" spans="2:6" ht="12.75" customHeight="1" x14ac:dyDescent="0.25">
      <c r="B642" s="100"/>
      <c r="E642" s="100"/>
      <c r="F642" s="100"/>
    </row>
    <row r="643" spans="2:6" ht="12.75" customHeight="1" x14ac:dyDescent="0.25">
      <c r="B643" s="100"/>
      <c r="E643" s="100"/>
      <c r="F643" s="100"/>
    </row>
    <row r="644" spans="2:6" ht="12.75" customHeight="1" x14ac:dyDescent="0.25">
      <c r="B644" s="100"/>
      <c r="E644" s="100"/>
      <c r="F644" s="100"/>
    </row>
    <row r="645" spans="2:6" ht="12.75" customHeight="1" x14ac:dyDescent="0.25">
      <c r="B645" s="100"/>
      <c r="E645" s="100"/>
      <c r="F645" s="100"/>
    </row>
    <row r="646" spans="2:6" ht="12.75" customHeight="1" x14ac:dyDescent="0.25">
      <c r="B646" s="100"/>
      <c r="E646" s="100"/>
      <c r="F646" s="100"/>
    </row>
    <row r="647" spans="2:6" ht="12.75" customHeight="1" x14ac:dyDescent="0.25">
      <c r="B647" s="100"/>
      <c r="E647" s="100"/>
      <c r="F647" s="100"/>
    </row>
    <row r="648" spans="2:6" ht="12.75" customHeight="1" x14ac:dyDescent="0.25">
      <c r="B648" s="100"/>
      <c r="E648" s="100"/>
      <c r="F648" s="100"/>
    </row>
    <row r="649" spans="2:6" ht="12.75" customHeight="1" x14ac:dyDescent="0.25">
      <c r="B649" s="100"/>
      <c r="E649" s="100"/>
      <c r="F649" s="100"/>
    </row>
    <row r="650" spans="2:6" ht="12.75" customHeight="1" x14ac:dyDescent="0.25">
      <c r="B650" s="100"/>
      <c r="E650" s="100"/>
      <c r="F650" s="100"/>
    </row>
    <row r="651" spans="2:6" ht="12.75" customHeight="1" x14ac:dyDescent="0.25">
      <c r="B651" s="100"/>
      <c r="E651" s="100"/>
      <c r="F651" s="100"/>
    </row>
    <row r="652" spans="2:6" ht="12.75" customHeight="1" x14ac:dyDescent="0.25">
      <c r="B652" s="100"/>
      <c r="E652" s="100"/>
      <c r="F652" s="100"/>
    </row>
    <row r="653" spans="2:6" ht="12.75" customHeight="1" x14ac:dyDescent="0.25">
      <c r="B653" s="100"/>
      <c r="E653" s="100"/>
      <c r="F653" s="100"/>
    </row>
    <row r="654" spans="2:6" ht="12.75" customHeight="1" x14ac:dyDescent="0.25">
      <c r="B654" s="100"/>
      <c r="E654" s="100"/>
      <c r="F654" s="100"/>
    </row>
    <row r="655" spans="2:6" ht="12.75" customHeight="1" x14ac:dyDescent="0.25">
      <c r="B655" s="100"/>
      <c r="E655" s="100"/>
      <c r="F655" s="100"/>
    </row>
    <row r="656" spans="2:6" ht="12.75" customHeight="1" x14ac:dyDescent="0.25">
      <c r="B656" s="100"/>
      <c r="E656" s="100"/>
      <c r="F656" s="100"/>
    </row>
    <row r="657" spans="2:6" ht="12.75" customHeight="1" x14ac:dyDescent="0.25">
      <c r="B657" s="100"/>
      <c r="E657" s="100"/>
      <c r="F657" s="100"/>
    </row>
    <row r="658" spans="2:6" ht="12.75" customHeight="1" x14ac:dyDescent="0.25">
      <c r="B658" s="100"/>
      <c r="E658" s="100"/>
      <c r="F658" s="100"/>
    </row>
    <row r="659" spans="2:6" ht="12.75" customHeight="1" x14ac:dyDescent="0.25">
      <c r="B659" s="100"/>
      <c r="E659" s="100"/>
      <c r="F659" s="100"/>
    </row>
    <row r="660" spans="2:6" ht="12.75" customHeight="1" x14ac:dyDescent="0.25">
      <c r="B660" s="100"/>
      <c r="E660" s="100"/>
      <c r="F660" s="100"/>
    </row>
    <row r="661" spans="2:6" ht="12.75" customHeight="1" x14ac:dyDescent="0.25">
      <c r="B661" s="100"/>
      <c r="E661" s="100"/>
      <c r="F661" s="100"/>
    </row>
    <row r="662" spans="2:6" ht="12.75" customHeight="1" x14ac:dyDescent="0.25">
      <c r="B662" s="100"/>
      <c r="E662" s="100"/>
      <c r="F662" s="100"/>
    </row>
    <row r="663" spans="2:6" ht="12.75" customHeight="1" x14ac:dyDescent="0.25">
      <c r="B663" s="100"/>
      <c r="E663" s="100"/>
      <c r="F663" s="100"/>
    </row>
    <row r="664" spans="2:6" ht="12.75" customHeight="1" x14ac:dyDescent="0.25">
      <c r="B664" s="100"/>
      <c r="E664" s="100"/>
      <c r="F664" s="100"/>
    </row>
    <row r="665" spans="2:6" ht="12.75" customHeight="1" x14ac:dyDescent="0.25">
      <c r="B665" s="100"/>
      <c r="E665" s="100"/>
      <c r="F665" s="100"/>
    </row>
    <row r="666" spans="2:6" ht="12.75" customHeight="1" x14ac:dyDescent="0.25">
      <c r="B666" s="100"/>
      <c r="E666" s="100"/>
      <c r="F666" s="100"/>
    </row>
    <row r="667" spans="2:6" ht="12.75" customHeight="1" x14ac:dyDescent="0.25">
      <c r="B667" s="100"/>
      <c r="E667" s="100"/>
      <c r="F667" s="100"/>
    </row>
    <row r="668" spans="2:6" ht="12.75" customHeight="1" x14ac:dyDescent="0.25">
      <c r="B668" s="100"/>
      <c r="E668" s="100"/>
      <c r="F668" s="100"/>
    </row>
    <row r="669" spans="2:6" ht="12.75" customHeight="1" x14ac:dyDescent="0.25">
      <c r="B669" s="100"/>
      <c r="E669" s="100"/>
      <c r="F669" s="100"/>
    </row>
    <row r="670" spans="2:6" ht="12.75" customHeight="1" x14ac:dyDescent="0.25">
      <c r="B670" s="100"/>
      <c r="E670" s="100"/>
      <c r="F670" s="100"/>
    </row>
    <row r="671" spans="2:6" ht="12.75" customHeight="1" x14ac:dyDescent="0.25">
      <c r="B671" s="100"/>
      <c r="E671" s="100"/>
      <c r="F671" s="100"/>
    </row>
    <row r="672" spans="2:6" ht="12.75" customHeight="1" x14ac:dyDescent="0.25">
      <c r="B672" s="100"/>
      <c r="E672" s="100"/>
      <c r="F672" s="100"/>
    </row>
    <row r="673" spans="2:6" ht="12.75" customHeight="1" x14ac:dyDescent="0.25">
      <c r="B673" s="100"/>
      <c r="E673" s="100"/>
      <c r="F673" s="100"/>
    </row>
    <row r="674" spans="2:6" ht="12.75" customHeight="1" x14ac:dyDescent="0.25">
      <c r="B674" s="100"/>
      <c r="E674" s="100"/>
      <c r="F674" s="100"/>
    </row>
    <row r="675" spans="2:6" ht="12.75" customHeight="1" x14ac:dyDescent="0.25">
      <c r="B675" s="100"/>
      <c r="E675" s="100"/>
      <c r="F675" s="100"/>
    </row>
    <row r="676" spans="2:6" ht="12.75" customHeight="1" x14ac:dyDescent="0.25">
      <c r="B676" s="100"/>
      <c r="E676" s="100"/>
      <c r="F676" s="100"/>
    </row>
    <row r="677" spans="2:6" ht="12.75" customHeight="1" x14ac:dyDescent="0.25">
      <c r="B677" s="100"/>
      <c r="E677" s="100"/>
      <c r="F677" s="100"/>
    </row>
    <row r="678" spans="2:6" ht="12.75" customHeight="1" x14ac:dyDescent="0.25">
      <c r="B678" s="100"/>
      <c r="E678" s="100"/>
      <c r="F678" s="100"/>
    </row>
    <row r="679" spans="2:6" ht="12.75" customHeight="1" x14ac:dyDescent="0.25">
      <c r="B679" s="100"/>
      <c r="E679" s="100"/>
      <c r="F679" s="100"/>
    </row>
    <row r="680" spans="2:6" ht="12.75" customHeight="1" x14ac:dyDescent="0.25">
      <c r="B680" s="100"/>
      <c r="E680" s="100"/>
      <c r="F680" s="100"/>
    </row>
    <row r="681" spans="2:6" ht="12.75" customHeight="1" x14ac:dyDescent="0.25">
      <c r="B681" s="100"/>
      <c r="E681" s="100"/>
      <c r="F681" s="100"/>
    </row>
    <row r="682" spans="2:6" ht="12.75" customHeight="1" x14ac:dyDescent="0.25">
      <c r="B682" s="100"/>
      <c r="E682" s="100"/>
      <c r="F682" s="100"/>
    </row>
    <row r="683" spans="2:6" ht="12.75" customHeight="1" x14ac:dyDescent="0.25">
      <c r="B683" s="100"/>
      <c r="E683" s="100"/>
      <c r="F683" s="100"/>
    </row>
    <row r="684" spans="2:6" ht="12.75" customHeight="1" x14ac:dyDescent="0.25">
      <c r="B684" s="100"/>
      <c r="E684" s="100"/>
      <c r="F684" s="100"/>
    </row>
    <row r="685" spans="2:6" ht="12.75" customHeight="1" x14ac:dyDescent="0.25">
      <c r="B685" s="100"/>
      <c r="E685" s="100"/>
      <c r="F685" s="100"/>
    </row>
    <row r="686" spans="2:6" ht="12.75" customHeight="1" x14ac:dyDescent="0.25">
      <c r="B686" s="100"/>
      <c r="E686" s="100"/>
      <c r="F686" s="100"/>
    </row>
    <row r="687" spans="2:6" ht="12.75" customHeight="1" x14ac:dyDescent="0.25">
      <c r="B687" s="100"/>
      <c r="E687" s="100"/>
      <c r="F687" s="100"/>
    </row>
    <row r="688" spans="2:6" ht="12.75" customHeight="1" x14ac:dyDescent="0.25">
      <c r="B688" s="100"/>
      <c r="E688" s="100"/>
      <c r="F688" s="100"/>
    </row>
    <row r="689" spans="2:6" ht="12.75" customHeight="1" x14ac:dyDescent="0.25">
      <c r="B689" s="100"/>
      <c r="E689" s="100"/>
      <c r="F689" s="100"/>
    </row>
    <row r="690" spans="2:6" ht="12.75" customHeight="1" x14ac:dyDescent="0.25">
      <c r="B690" s="100"/>
      <c r="E690" s="100"/>
      <c r="F690" s="100"/>
    </row>
    <row r="691" spans="2:6" ht="12.75" customHeight="1" x14ac:dyDescent="0.25">
      <c r="B691" s="100"/>
      <c r="E691" s="100"/>
      <c r="F691" s="100"/>
    </row>
    <row r="692" spans="2:6" ht="12.75" customHeight="1" x14ac:dyDescent="0.25">
      <c r="B692" s="100"/>
      <c r="E692" s="100"/>
      <c r="F692" s="100"/>
    </row>
    <row r="693" spans="2:6" ht="12.75" customHeight="1" x14ac:dyDescent="0.25">
      <c r="B693" s="100"/>
      <c r="E693" s="100"/>
      <c r="F693" s="100"/>
    </row>
    <row r="694" spans="2:6" ht="12.75" customHeight="1" x14ac:dyDescent="0.25">
      <c r="B694" s="100"/>
      <c r="E694" s="100"/>
      <c r="F694" s="100"/>
    </row>
    <row r="695" spans="2:6" ht="12.75" customHeight="1" x14ac:dyDescent="0.25">
      <c r="B695" s="100"/>
      <c r="E695" s="100"/>
      <c r="F695" s="100"/>
    </row>
    <row r="696" spans="2:6" ht="12.75" customHeight="1" x14ac:dyDescent="0.25">
      <c r="B696" s="100"/>
      <c r="E696" s="100"/>
      <c r="F696" s="100"/>
    </row>
    <row r="697" spans="2:6" ht="12.75" customHeight="1" x14ac:dyDescent="0.25">
      <c r="B697" s="100"/>
      <c r="E697" s="100"/>
      <c r="F697" s="100"/>
    </row>
    <row r="698" spans="2:6" ht="12.75" customHeight="1" x14ac:dyDescent="0.25">
      <c r="B698" s="100"/>
      <c r="E698" s="100"/>
      <c r="F698" s="100"/>
    </row>
    <row r="699" spans="2:6" ht="12.75" customHeight="1" x14ac:dyDescent="0.25">
      <c r="B699" s="100"/>
      <c r="E699" s="100"/>
      <c r="F699" s="100"/>
    </row>
    <row r="700" spans="2:6" ht="12.75" customHeight="1" x14ac:dyDescent="0.25">
      <c r="B700" s="100"/>
      <c r="E700" s="100"/>
      <c r="F700" s="100"/>
    </row>
    <row r="701" spans="2:6" ht="12.75" customHeight="1" x14ac:dyDescent="0.25">
      <c r="B701" s="100"/>
      <c r="E701" s="100"/>
      <c r="F701" s="100"/>
    </row>
    <row r="702" spans="2:6" ht="12.75" customHeight="1" x14ac:dyDescent="0.25">
      <c r="B702" s="100"/>
      <c r="E702" s="100"/>
      <c r="F702" s="100"/>
    </row>
    <row r="703" spans="2:6" ht="12.75" customHeight="1" x14ac:dyDescent="0.25">
      <c r="B703" s="100"/>
      <c r="E703" s="100"/>
      <c r="F703" s="100"/>
    </row>
    <row r="704" spans="2:6" ht="12.75" customHeight="1" x14ac:dyDescent="0.25">
      <c r="B704" s="100"/>
      <c r="E704" s="100"/>
      <c r="F704" s="100"/>
    </row>
    <row r="705" spans="2:6" ht="12.75" customHeight="1" x14ac:dyDescent="0.25">
      <c r="B705" s="100"/>
      <c r="E705" s="100"/>
      <c r="F705" s="100"/>
    </row>
    <row r="706" spans="2:6" ht="12.75" customHeight="1" x14ac:dyDescent="0.25">
      <c r="B706" s="100"/>
      <c r="E706" s="100"/>
      <c r="F706" s="100"/>
    </row>
    <row r="707" spans="2:6" ht="12.75" customHeight="1" x14ac:dyDescent="0.25">
      <c r="B707" s="100"/>
      <c r="E707" s="100"/>
      <c r="F707" s="100"/>
    </row>
    <row r="708" spans="2:6" ht="12.75" customHeight="1" x14ac:dyDescent="0.25">
      <c r="B708" s="100"/>
      <c r="E708" s="100"/>
      <c r="F708" s="100"/>
    </row>
    <row r="709" spans="2:6" ht="12.75" customHeight="1" x14ac:dyDescent="0.25">
      <c r="B709" s="100"/>
      <c r="E709" s="100"/>
      <c r="F709" s="100"/>
    </row>
    <row r="710" spans="2:6" ht="12.75" customHeight="1" x14ac:dyDescent="0.25">
      <c r="B710" s="100"/>
      <c r="E710" s="100"/>
      <c r="F710" s="100"/>
    </row>
    <row r="711" spans="2:6" ht="12.75" customHeight="1" x14ac:dyDescent="0.25">
      <c r="B711" s="100"/>
      <c r="E711" s="100"/>
      <c r="F711" s="100"/>
    </row>
    <row r="712" spans="2:6" ht="12.75" customHeight="1" x14ac:dyDescent="0.25">
      <c r="B712" s="100"/>
      <c r="E712" s="100"/>
      <c r="F712" s="100"/>
    </row>
    <row r="713" spans="2:6" ht="12.75" customHeight="1" x14ac:dyDescent="0.25">
      <c r="B713" s="100"/>
      <c r="E713" s="100"/>
      <c r="F713" s="100"/>
    </row>
    <row r="714" spans="2:6" ht="12.75" customHeight="1" x14ac:dyDescent="0.25">
      <c r="B714" s="100"/>
      <c r="E714" s="100"/>
      <c r="F714" s="100"/>
    </row>
    <row r="715" spans="2:6" ht="12.75" customHeight="1" x14ac:dyDescent="0.25">
      <c r="B715" s="100"/>
      <c r="E715" s="100"/>
      <c r="F715" s="100"/>
    </row>
    <row r="716" spans="2:6" ht="12.75" customHeight="1" x14ac:dyDescent="0.25">
      <c r="B716" s="100"/>
      <c r="E716" s="100"/>
      <c r="F716" s="100"/>
    </row>
    <row r="717" spans="2:6" ht="12.75" customHeight="1" x14ac:dyDescent="0.25">
      <c r="B717" s="100"/>
      <c r="E717" s="100"/>
      <c r="F717" s="100"/>
    </row>
    <row r="718" spans="2:6" ht="12.75" customHeight="1" x14ac:dyDescent="0.25">
      <c r="B718" s="100"/>
      <c r="E718" s="100"/>
      <c r="F718" s="100"/>
    </row>
    <row r="719" spans="2:6" ht="12.75" customHeight="1" x14ac:dyDescent="0.25">
      <c r="B719" s="100"/>
      <c r="E719" s="100"/>
      <c r="F719" s="100"/>
    </row>
    <row r="720" spans="2:6" ht="12.75" customHeight="1" x14ac:dyDescent="0.25">
      <c r="B720" s="100"/>
      <c r="E720" s="100"/>
      <c r="F720" s="100"/>
    </row>
    <row r="721" spans="2:6" ht="12.75" customHeight="1" x14ac:dyDescent="0.25">
      <c r="B721" s="100"/>
      <c r="E721" s="100"/>
      <c r="F721" s="100"/>
    </row>
    <row r="722" spans="2:6" ht="12.75" customHeight="1" x14ac:dyDescent="0.25">
      <c r="B722" s="100"/>
      <c r="E722" s="100"/>
      <c r="F722" s="100"/>
    </row>
    <row r="723" spans="2:6" ht="12.75" customHeight="1" x14ac:dyDescent="0.25">
      <c r="B723" s="100"/>
      <c r="E723" s="100"/>
      <c r="F723" s="100"/>
    </row>
    <row r="724" spans="2:6" ht="12.75" customHeight="1" x14ac:dyDescent="0.25">
      <c r="B724" s="100"/>
      <c r="E724" s="100"/>
      <c r="F724" s="100"/>
    </row>
    <row r="725" spans="2:6" ht="12.75" customHeight="1" x14ac:dyDescent="0.25">
      <c r="B725" s="100"/>
      <c r="E725" s="100"/>
      <c r="F725" s="100"/>
    </row>
    <row r="726" spans="2:6" ht="12.75" customHeight="1" x14ac:dyDescent="0.25">
      <c r="B726" s="100"/>
      <c r="E726" s="100"/>
      <c r="F726" s="100"/>
    </row>
    <row r="727" spans="2:6" ht="12.75" customHeight="1" x14ac:dyDescent="0.25">
      <c r="B727" s="100"/>
      <c r="E727" s="100"/>
      <c r="F727" s="100"/>
    </row>
    <row r="728" spans="2:6" ht="12.75" customHeight="1" x14ac:dyDescent="0.25">
      <c r="B728" s="100"/>
      <c r="E728" s="100"/>
      <c r="F728" s="100"/>
    </row>
    <row r="729" spans="2:6" ht="12.75" customHeight="1" x14ac:dyDescent="0.25">
      <c r="B729" s="100"/>
      <c r="E729" s="100"/>
      <c r="F729" s="100"/>
    </row>
    <row r="730" spans="2:6" ht="12.75" customHeight="1" x14ac:dyDescent="0.25">
      <c r="B730" s="100"/>
      <c r="E730" s="100"/>
      <c r="F730" s="100"/>
    </row>
    <row r="731" spans="2:6" ht="12.75" customHeight="1" x14ac:dyDescent="0.25">
      <c r="B731" s="100"/>
      <c r="E731" s="100"/>
      <c r="F731" s="100"/>
    </row>
    <row r="732" spans="2:6" ht="12.75" customHeight="1" x14ac:dyDescent="0.25">
      <c r="B732" s="100"/>
      <c r="E732" s="100"/>
      <c r="F732" s="100"/>
    </row>
    <row r="733" spans="2:6" ht="12.75" customHeight="1" x14ac:dyDescent="0.25">
      <c r="B733" s="100"/>
      <c r="E733" s="100"/>
      <c r="F733" s="100"/>
    </row>
    <row r="734" spans="2:6" ht="12.75" customHeight="1" x14ac:dyDescent="0.25">
      <c r="B734" s="100"/>
      <c r="E734" s="100"/>
      <c r="F734" s="100"/>
    </row>
    <row r="735" spans="2:6" ht="12.75" customHeight="1" x14ac:dyDescent="0.25">
      <c r="B735" s="100"/>
      <c r="E735" s="100"/>
      <c r="F735" s="100"/>
    </row>
    <row r="736" spans="2:6" ht="12.75" customHeight="1" x14ac:dyDescent="0.25">
      <c r="B736" s="100"/>
      <c r="E736" s="100"/>
      <c r="F736" s="100"/>
    </row>
    <row r="737" spans="2:6" ht="12.75" customHeight="1" x14ac:dyDescent="0.25">
      <c r="B737" s="100"/>
      <c r="E737" s="100"/>
      <c r="F737" s="100"/>
    </row>
    <row r="738" spans="2:6" ht="12.75" customHeight="1" x14ac:dyDescent="0.25">
      <c r="B738" s="100"/>
      <c r="E738" s="100"/>
      <c r="F738" s="100"/>
    </row>
    <row r="739" spans="2:6" ht="12.75" customHeight="1" x14ac:dyDescent="0.25">
      <c r="B739" s="100"/>
      <c r="E739" s="100"/>
      <c r="F739" s="100"/>
    </row>
    <row r="740" spans="2:6" ht="12.75" customHeight="1" x14ac:dyDescent="0.25">
      <c r="B740" s="100"/>
      <c r="E740" s="100"/>
      <c r="F740" s="100"/>
    </row>
    <row r="741" spans="2:6" ht="12.75" customHeight="1" x14ac:dyDescent="0.25">
      <c r="B741" s="100"/>
      <c r="E741" s="100"/>
      <c r="F741" s="100"/>
    </row>
    <row r="742" spans="2:6" ht="12.75" customHeight="1" x14ac:dyDescent="0.25">
      <c r="B742" s="100"/>
      <c r="E742" s="100"/>
      <c r="F742" s="100"/>
    </row>
    <row r="743" spans="2:6" ht="12.75" customHeight="1" x14ac:dyDescent="0.25">
      <c r="B743" s="100"/>
      <c r="E743" s="100"/>
      <c r="F743" s="100"/>
    </row>
    <row r="744" spans="2:6" ht="12.75" customHeight="1" x14ac:dyDescent="0.25">
      <c r="B744" s="100"/>
      <c r="E744" s="100"/>
      <c r="F744" s="100"/>
    </row>
    <row r="745" spans="2:6" ht="12.75" customHeight="1" x14ac:dyDescent="0.25">
      <c r="B745" s="100"/>
      <c r="E745" s="100"/>
      <c r="F745" s="100"/>
    </row>
    <row r="746" spans="2:6" ht="12.75" customHeight="1" x14ac:dyDescent="0.25">
      <c r="B746" s="100"/>
      <c r="E746" s="100"/>
      <c r="F746" s="100"/>
    </row>
    <row r="747" spans="2:6" ht="12.75" customHeight="1" x14ac:dyDescent="0.25">
      <c r="B747" s="100"/>
      <c r="E747" s="100"/>
      <c r="F747" s="100"/>
    </row>
    <row r="748" spans="2:6" ht="12.75" customHeight="1" x14ac:dyDescent="0.25">
      <c r="B748" s="100"/>
      <c r="E748" s="100"/>
      <c r="F748" s="100"/>
    </row>
    <row r="749" spans="2:6" ht="12.75" customHeight="1" x14ac:dyDescent="0.25">
      <c r="B749" s="100"/>
      <c r="E749" s="100"/>
      <c r="F749" s="100"/>
    </row>
    <row r="750" spans="2:6" ht="12.75" customHeight="1" x14ac:dyDescent="0.25">
      <c r="B750" s="100"/>
      <c r="E750" s="100"/>
      <c r="F750" s="100"/>
    </row>
    <row r="751" spans="2:6" ht="12.75" customHeight="1" x14ac:dyDescent="0.25">
      <c r="B751" s="100"/>
      <c r="E751" s="100"/>
      <c r="F751" s="100"/>
    </row>
    <row r="752" spans="2:6" ht="12.75" customHeight="1" x14ac:dyDescent="0.25">
      <c r="B752" s="100"/>
      <c r="E752" s="100"/>
      <c r="F752" s="100"/>
    </row>
    <row r="753" spans="2:6" ht="12.75" customHeight="1" x14ac:dyDescent="0.25">
      <c r="B753" s="100"/>
      <c r="E753" s="100"/>
      <c r="F753" s="100"/>
    </row>
    <row r="754" spans="2:6" ht="12.75" customHeight="1" x14ac:dyDescent="0.25">
      <c r="B754" s="100"/>
      <c r="E754" s="100"/>
      <c r="F754" s="100"/>
    </row>
    <row r="755" spans="2:6" ht="12.75" customHeight="1" x14ac:dyDescent="0.25">
      <c r="B755" s="100"/>
      <c r="E755" s="100"/>
      <c r="F755" s="100"/>
    </row>
    <row r="756" spans="2:6" ht="12.75" customHeight="1" x14ac:dyDescent="0.25">
      <c r="B756" s="100"/>
      <c r="E756" s="100"/>
      <c r="F756" s="100"/>
    </row>
    <row r="757" spans="2:6" ht="12.75" customHeight="1" x14ac:dyDescent="0.25">
      <c r="B757" s="100"/>
      <c r="E757" s="100"/>
      <c r="F757" s="100"/>
    </row>
    <row r="758" spans="2:6" ht="12.75" customHeight="1" x14ac:dyDescent="0.25">
      <c r="B758" s="100"/>
      <c r="E758" s="100"/>
      <c r="F758" s="100"/>
    </row>
    <row r="759" spans="2:6" ht="12.75" customHeight="1" x14ac:dyDescent="0.25">
      <c r="B759" s="100"/>
      <c r="E759" s="100"/>
      <c r="F759" s="100"/>
    </row>
    <row r="760" spans="2:6" ht="12.75" customHeight="1" x14ac:dyDescent="0.25">
      <c r="B760" s="100"/>
      <c r="E760" s="100"/>
      <c r="F760" s="100"/>
    </row>
    <row r="761" spans="2:6" ht="12.75" customHeight="1" x14ac:dyDescent="0.25">
      <c r="B761" s="100"/>
      <c r="E761" s="100"/>
      <c r="F761" s="100"/>
    </row>
    <row r="762" spans="2:6" ht="12.75" customHeight="1" x14ac:dyDescent="0.25">
      <c r="B762" s="100"/>
      <c r="E762" s="100"/>
      <c r="F762" s="100"/>
    </row>
    <row r="763" spans="2:6" ht="12.75" customHeight="1" x14ac:dyDescent="0.25">
      <c r="B763" s="100"/>
      <c r="E763" s="100"/>
      <c r="F763" s="100"/>
    </row>
    <row r="764" spans="2:6" ht="12.75" customHeight="1" x14ac:dyDescent="0.25">
      <c r="B764" s="100"/>
      <c r="E764" s="100"/>
      <c r="F764" s="100"/>
    </row>
    <row r="765" spans="2:6" ht="12.75" customHeight="1" x14ac:dyDescent="0.25">
      <c r="B765" s="100"/>
      <c r="E765" s="100"/>
      <c r="F765" s="100"/>
    </row>
    <row r="766" spans="2:6" ht="12.75" customHeight="1" x14ac:dyDescent="0.25">
      <c r="B766" s="100"/>
      <c r="E766" s="100"/>
      <c r="F766" s="100"/>
    </row>
    <row r="767" spans="2:6" ht="12.75" customHeight="1" x14ac:dyDescent="0.25">
      <c r="B767" s="100"/>
      <c r="E767" s="100"/>
      <c r="F767" s="100"/>
    </row>
    <row r="768" spans="2:6" ht="12.75" customHeight="1" x14ac:dyDescent="0.25">
      <c r="B768" s="100"/>
      <c r="E768" s="100"/>
      <c r="F768" s="100"/>
    </row>
    <row r="769" spans="2:6" ht="12.75" customHeight="1" x14ac:dyDescent="0.25">
      <c r="B769" s="100"/>
      <c r="E769" s="100"/>
      <c r="F769" s="100"/>
    </row>
    <row r="770" spans="2:6" ht="12.75" customHeight="1" x14ac:dyDescent="0.25">
      <c r="B770" s="100"/>
      <c r="E770" s="100"/>
      <c r="F770" s="100"/>
    </row>
    <row r="771" spans="2:6" ht="12.75" customHeight="1" x14ac:dyDescent="0.25">
      <c r="B771" s="100"/>
      <c r="E771" s="100"/>
      <c r="F771" s="100"/>
    </row>
    <row r="772" spans="2:6" ht="12.75" customHeight="1" x14ac:dyDescent="0.25">
      <c r="B772" s="100"/>
      <c r="E772" s="100"/>
      <c r="F772" s="100"/>
    </row>
    <row r="773" spans="2:6" ht="12.75" customHeight="1" x14ac:dyDescent="0.25">
      <c r="B773" s="100"/>
      <c r="E773" s="100"/>
      <c r="F773" s="100"/>
    </row>
    <row r="774" spans="2:6" ht="12.75" customHeight="1" x14ac:dyDescent="0.25">
      <c r="B774" s="100"/>
      <c r="E774" s="100"/>
      <c r="F774" s="100"/>
    </row>
    <row r="775" spans="2:6" ht="12.75" customHeight="1" x14ac:dyDescent="0.25">
      <c r="B775" s="100"/>
      <c r="E775" s="100"/>
      <c r="F775" s="100"/>
    </row>
    <row r="776" spans="2:6" ht="12.75" customHeight="1" x14ac:dyDescent="0.25">
      <c r="B776" s="100"/>
      <c r="E776" s="100"/>
      <c r="F776" s="100"/>
    </row>
    <row r="777" spans="2:6" ht="12.75" customHeight="1" x14ac:dyDescent="0.25">
      <c r="B777" s="100"/>
      <c r="E777" s="100"/>
      <c r="F777" s="100"/>
    </row>
    <row r="778" spans="2:6" ht="12.75" customHeight="1" x14ac:dyDescent="0.25">
      <c r="B778" s="100"/>
      <c r="E778" s="100"/>
      <c r="F778" s="100"/>
    </row>
    <row r="779" spans="2:6" ht="12.75" customHeight="1" x14ac:dyDescent="0.25">
      <c r="B779" s="100"/>
      <c r="E779" s="100"/>
      <c r="F779" s="100"/>
    </row>
    <row r="780" spans="2:6" ht="12.75" customHeight="1" x14ac:dyDescent="0.25">
      <c r="B780" s="100"/>
      <c r="E780" s="100"/>
      <c r="F780" s="100"/>
    </row>
    <row r="781" spans="2:6" ht="12.75" customHeight="1" x14ac:dyDescent="0.25">
      <c r="B781" s="100"/>
      <c r="E781" s="100"/>
      <c r="F781" s="100"/>
    </row>
    <row r="782" spans="2:6" ht="12.75" customHeight="1" x14ac:dyDescent="0.25">
      <c r="B782" s="100"/>
      <c r="E782" s="100"/>
      <c r="F782" s="100"/>
    </row>
    <row r="783" spans="2:6" ht="12.75" customHeight="1" x14ac:dyDescent="0.25">
      <c r="B783" s="100"/>
      <c r="E783" s="100"/>
      <c r="F783" s="100"/>
    </row>
    <row r="784" spans="2:6" ht="12.75" customHeight="1" x14ac:dyDescent="0.25">
      <c r="B784" s="100"/>
      <c r="E784" s="100"/>
      <c r="F784" s="100"/>
    </row>
    <row r="785" spans="2:6" ht="12.75" customHeight="1" x14ac:dyDescent="0.25">
      <c r="B785" s="100"/>
      <c r="E785" s="100"/>
      <c r="F785" s="100"/>
    </row>
    <row r="786" spans="2:6" ht="12.75" customHeight="1" x14ac:dyDescent="0.25">
      <c r="B786" s="100"/>
      <c r="E786" s="100"/>
      <c r="F786" s="100"/>
    </row>
    <row r="787" spans="2:6" ht="12.75" customHeight="1" x14ac:dyDescent="0.25">
      <c r="B787" s="100"/>
      <c r="E787" s="100"/>
      <c r="F787" s="100"/>
    </row>
    <row r="788" spans="2:6" ht="12.75" customHeight="1" x14ac:dyDescent="0.25">
      <c r="B788" s="100"/>
      <c r="E788" s="100"/>
      <c r="F788" s="100"/>
    </row>
    <row r="789" spans="2:6" ht="12.75" customHeight="1" x14ac:dyDescent="0.25">
      <c r="B789" s="100"/>
      <c r="E789" s="100"/>
      <c r="F789" s="100"/>
    </row>
    <row r="790" spans="2:6" ht="12.75" customHeight="1" x14ac:dyDescent="0.25">
      <c r="B790" s="100"/>
      <c r="E790" s="100"/>
      <c r="F790" s="100"/>
    </row>
    <row r="791" spans="2:6" ht="12.75" customHeight="1" x14ac:dyDescent="0.25">
      <c r="B791" s="100"/>
      <c r="E791" s="100"/>
      <c r="F791" s="100"/>
    </row>
    <row r="792" spans="2:6" ht="12.75" customHeight="1" x14ac:dyDescent="0.25">
      <c r="B792" s="100"/>
      <c r="E792" s="100"/>
      <c r="F792" s="100"/>
    </row>
    <row r="793" spans="2:6" ht="12.75" customHeight="1" x14ac:dyDescent="0.25">
      <c r="B793" s="100"/>
      <c r="E793" s="100"/>
      <c r="F793" s="100"/>
    </row>
    <row r="794" spans="2:6" ht="12.75" customHeight="1" x14ac:dyDescent="0.25">
      <c r="B794" s="100"/>
      <c r="E794" s="100"/>
      <c r="F794" s="100"/>
    </row>
    <row r="795" spans="2:6" ht="12.75" customHeight="1" x14ac:dyDescent="0.25">
      <c r="B795" s="100"/>
      <c r="E795" s="100"/>
      <c r="F795" s="100"/>
    </row>
    <row r="796" spans="2:6" ht="12.75" customHeight="1" x14ac:dyDescent="0.25">
      <c r="B796" s="100"/>
      <c r="E796" s="100"/>
      <c r="F796" s="100"/>
    </row>
    <row r="797" spans="2:6" ht="12.75" customHeight="1" x14ac:dyDescent="0.25">
      <c r="B797" s="100"/>
      <c r="E797" s="100"/>
      <c r="F797" s="100"/>
    </row>
    <row r="798" spans="2:6" ht="12.75" customHeight="1" x14ac:dyDescent="0.25">
      <c r="B798" s="100"/>
      <c r="E798" s="100"/>
      <c r="F798" s="100"/>
    </row>
    <row r="799" spans="2:6" ht="12.75" customHeight="1" x14ac:dyDescent="0.25">
      <c r="B799" s="100"/>
      <c r="E799" s="100"/>
      <c r="F799" s="100"/>
    </row>
    <row r="800" spans="2:6" ht="12.75" customHeight="1" x14ac:dyDescent="0.25">
      <c r="B800" s="100"/>
      <c r="E800" s="100"/>
      <c r="F800" s="100"/>
    </row>
    <row r="801" spans="2:6" ht="12.75" customHeight="1" x14ac:dyDescent="0.25">
      <c r="B801" s="100"/>
      <c r="E801" s="100"/>
      <c r="F801" s="100"/>
    </row>
    <row r="802" spans="2:6" ht="12.75" customHeight="1" x14ac:dyDescent="0.25">
      <c r="B802" s="100"/>
      <c r="E802" s="100"/>
      <c r="F802" s="100"/>
    </row>
    <row r="803" spans="2:6" ht="12.75" customHeight="1" x14ac:dyDescent="0.25">
      <c r="B803" s="100"/>
      <c r="E803" s="100"/>
      <c r="F803" s="100"/>
    </row>
    <row r="804" spans="2:6" ht="12.75" customHeight="1" x14ac:dyDescent="0.25">
      <c r="B804" s="100"/>
      <c r="E804" s="100"/>
      <c r="F804" s="100"/>
    </row>
    <row r="805" spans="2:6" ht="12.75" customHeight="1" x14ac:dyDescent="0.25">
      <c r="B805" s="100"/>
      <c r="E805" s="100"/>
      <c r="F805" s="100"/>
    </row>
    <row r="806" spans="2:6" ht="12.75" customHeight="1" x14ac:dyDescent="0.25">
      <c r="B806" s="100"/>
      <c r="E806" s="100"/>
      <c r="F806" s="100"/>
    </row>
    <row r="807" spans="2:6" ht="12.75" customHeight="1" x14ac:dyDescent="0.25">
      <c r="B807" s="100"/>
      <c r="E807" s="100"/>
      <c r="F807" s="100"/>
    </row>
    <row r="808" spans="2:6" ht="12.75" customHeight="1" x14ac:dyDescent="0.25">
      <c r="B808" s="100"/>
      <c r="E808" s="100"/>
      <c r="F808" s="100"/>
    </row>
    <row r="809" spans="2:6" ht="12.75" customHeight="1" x14ac:dyDescent="0.25">
      <c r="B809" s="100"/>
      <c r="E809" s="100"/>
      <c r="F809" s="100"/>
    </row>
    <row r="810" spans="2:6" ht="12.75" customHeight="1" x14ac:dyDescent="0.25">
      <c r="B810" s="100"/>
      <c r="E810" s="100"/>
      <c r="F810" s="100"/>
    </row>
    <row r="811" spans="2:6" ht="12.75" customHeight="1" x14ac:dyDescent="0.25">
      <c r="B811" s="100"/>
      <c r="E811" s="100"/>
      <c r="F811" s="100"/>
    </row>
    <row r="812" spans="2:6" ht="12.75" customHeight="1" x14ac:dyDescent="0.25">
      <c r="B812" s="100"/>
      <c r="E812" s="100"/>
      <c r="F812" s="100"/>
    </row>
    <row r="813" spans="2:6" ht="12.75" customHeight="1" x14ac:dyDescent="0.25">
      <c r="B813" s="100"/>
      <c r="E813" s="100"/>
      <c r="F813" s="100"/>
    </row>
    <row r="814" spans="2:6" ht="12.75" customHeight="1" x14ac:dyDescent="0.25">
      <c r="B814" s="100"/>
      <c r="E814" s="100"/>
      <c r="F814" s="100"/>
    </row>
    <row r="815" spans="2:6" ht="12.75" customHeight="1" x14ac:dyDescent="0.25">
      <c r="B815" s="100"/>
      <c r="E815" s="100"/>
      <c r="F815" s="100"/>
    </row>
    <row r="816" spans="2:6" ht="12.75" customHeight="1" x14ac:dyDescent="0.25">
      <c r="B816" s="100"/>
      <c r="E816" s="100"/>
      <c r="F816" s="100"/>
    </row>
    <row r="817" spans="2:6" ht="12.75" customHeight="1" x14ac:dyDescent="0.25">
      <c r="B817" s="100"/>
      <c r="E817" s="100"/>
      <c r="F817" s="100"/>
    </row>
    <row r="818" spans="2:6" ht="12.75" customHeight="1" x14ac:dyDescent="0.25">
      <c r="B818" s="100"/>
      <c r="E818" s="100"/>
      <c r="F818" s="100"/>
    </row>
    <row r="819" spans="2:6" ht="12.75" customHeight="1" x14ac:dyDescent="0.25">
      <c r="B819" s="100"/>
      <c r="E819" s="100"/>
      <c r="F819" s="100"/>
    </row>
    <row r="820" spans="2:6" ht="12.75" customHeight="1" x14ac:dyDescent="0.25">
      <c r="B820" s="100"/>
      <c r="E820" s="100"/>
      <c r="F820" s="100"/>
    </row>
    <row r="821" spans="2:6" ht="12.75" customHeight="1" x14ac:dyDescent="0.25">
      <c r="B821" s="100"/>
      <c r="E821" s="100"/>
      <c r="F821" s="100"/>
    </row>
    <row r="822" spans="2:6" ht="12.75" customHeight="1" x14ac:dyDescent="0.25">
      <c r="B822" s="100"/>
      <c r="E822" s="100"/>
      <c r="F822" s="100"/>
    </row>
    <row r="823" spans="2:6" ht="12.75" customHeight="1" x14ac:dyDescent="0.25">
      <c r="B823" s="100"/>
      <c r="E823" s="100"/>
      <c r="F823" s="100"/>
    </row>
    <row r="824" spans="2:6" ht="12.75" customHeight="1" x14ac:dyDescent="0.25">
      <c r="B824" s="100"/>
      <c r="E824" s="100"/>
      <c r="F824" s="100"/>
    </row>
    <row r="825" spans="2:6" ht="12.75" customHeight="1" x14ac:dyDescent="0.25">
      <c r="B825" s="100"/>
      <c r="E825" s="100"/>
      <c r="F825" s="100"/>
    </row>
    <row r="826" spans="2:6" ht="12.75" customHeight="1" x14ac:dyDescent="0.25">
      <c r="B826" s="100"/>
      <c r="E826" s="100"/>
      <c r="F826" s="100"/>
    </row>
    <row r="827" spans="2:6" ht="12.75" customHeight="1" x14ac:dyDescent="0.25">
      <c r="B827" s="100"/>
      <c r="E827" s="100"/>
      <c r="F827" s="100"/>
    </row>
    <row r="828" spans="2:6" ht="12.75" customHeight="1" x14ac:dyDescent="0.25">
      <c r="B828" s="100"/>
      <c r="E828" s="100"/>
      <c r="F828" s="100"/>
    </row>
    <row r="829" spans="2:6" ht="12.75" customHeight="1" x14ac:dyDescent="0.25">
      <c r="B829" s="100"/>
      <c r="E829" s="100"/>
      <c r="F829" s="100"/>
    </row>
    <row r="830" spans="2:6" ht="12.75" customHeight="1" x14ac:dyDescent="0.25">
      <c r="B830" s="100"/>
      <c r="E830" s="100"/>
      <c r="F830" s="100"/>
    </row>
    <row r="831" spans="2:6" ht="12.75" customHeight="1" x14ac:dyDescent="0.25">
      <c r="B831" s="100"/>
      <c r="E831" s="100"/>
      <c r="F831" s="100"/>
    </row>
    <row r="832" spans="2:6" ht="12.75" customHeight="1" x14ac:dyDescent="0.25">
      <c r="B832" s="100"/>
      <c r="E832" s="100"/>
      <c r="F832" s="100"/>
    </row>
    <row r="833" spans="2:6" ht="12.75" customHeight="1" x14ac:dyDescent="0.25">
      <c r="B833" s="100"/>
      <c r="E833" s="100"/>
      <c r="F833" s="100"/>
    </row>
    <row r="834" spans="2:6" ht="12.75" customHeight="1" x14ac:dyDescent="0.25">
      <c r="B834" s="100"/>
      <c r="E834" s="100"/>
      <c r="F834" s="100"/>
    </row>
    <row r="835" spans="2:6" ht="12.75" customHeight="1" x14ac:dyDescent="0.25">
      <c r="B835" s="100"/>
      <c r="E835" s="100"/>
      <c r="F835" s="100"/>
    </row>
    <row r="836" spans="2:6" ht="12.75" customHeight="1" x14ac:dyDescent="0.25">
      <c r="B836" s="100"/>
      <c r="E836" s="100"/>
      <c r="F836" s="100"/>
    </row>
    <row r="837" spans="2:6" ht="12.75" customHeight="1" x14ac:dyDescent="0.25">
      <c r="B837" s="100"/>
      <c r="E837" s="100"/>
      <c r="F837" s="100"/>
    </row>
    <row r="838" spans="2:6" ht="12.75" customHeight="1" x14ac:dyDescent="0.25">
      <c r="B838" s="100"/>
      <c r="E838" s="100"/>
      <c r="F838" s="100"/>
    </row>
    <row r="839" spans="2:6" ht="12.75" customHeight="1" x14ac:dyDescent="0.25">
      <c r="B839" s="100"/>
      <c r="E839" s="100"/>
      <c r="F839" s="100"/>
    </row>
    <row r="840" spans="2:6" ht="12.75" customHeight="1" x14ac:dyDescent="0.25">
      <c r="B840" s="100"/>
      <c r="E840" s="100"/>
      <c r="F840" s="100"/>
    </row>
    <row r="841" spans="2:6" ht="12.75" customHeight="1" x14ac:dyDescent="0.25">
      <c r="B841" s="100"/>
      <c r="E841" s="100"/>
      <c r="F841" s="100"/>
    </row>
    <row r="842" spans="2:6" ht="12.75" customHeight="1" x14ac:dyDescent="0.25">
      <c r="B842" s="100"/>
      <c r="E842" s="100"/>
      <c r="F842" s="100"/>
    </row>
    <row r="843" spans="2:6" ht="12.75" customHeight="1" x14ac:dyDescent="0.25">
      <c r="B843" s="100"/>
      <c r="E843" s="100"/>
      <c r="F843" s="100"/>
    </row>
    <row r="844" spans="2:6" ht="12.75" customHeight="1" x14ac:dyDescent="0.25">
      <c r="B844" s="100"/>
      <c r="E844" s="100"/>
      <c r="F844" s="100"/>
    </row>
    <row r="845" spans="2:6" ht="12.75" customHeight="1" x14ac:dyDescent="0.25">
      <c r="B845" s="100"/>
      <c r="E845" s="100"/>
      <c r="F845" s="100"/>
    </row>
    <row r="846" spans="2:6" ht="12.75" customHeight="1" x14ac:dyDescent="0.25">
      <c r="B846" s="100"/>
      <c r="E846" s="100"/>
      <c r="F846" s="100"/>
    </row>
    <row r="847" spans="2:6" ht="12.75" customHeight="1" x14ac:dyDescent="0.25">
      <c r="B847" s="100"/>
      <c r="E847" s="100"/>
      <c r="F847" s="100"/>
    </row>
    <row r="848" spans="2:6" ht="12.75" customHeight="1" x14ac:dyDescent="0.25">
      <c r="B848" s="100"/>
      <c r="E848" s="100"/>
      <c r="F848" s="100"/>
    </row>
    <row r="849" spans="2:6" ht="12.75" customHeight="1" x14ac:dyDescent="0.25">
      <c r="B849" s="100"/>
      <c r="E849" s="100"/>
      <c r="F849" s="100"/>
    </row>
    <row r="850" spans="2:6" ht="12.75" customHeight="1" x14ac:dyDescent="0.25">
      <c r="B850" s="100"/>
      <c r="E850" s="100"/>
      <c r="F850" s="100"/>
    </row>
    <row r="851" spans="2:6" ht="12.75" customHeight="1" x14ac:dyDescent="0.25">
      <c r="B851" s="100"/>
      <c r="E851" s="100"/>
      <c r="F851" s="100"/>
    </row>
    <row r="852" spans="2:6" ht="12.75" customHeight="1" x14ac:dyDescent="0.25">
      <c r="B852" s="100"/>
      <c r="E852" s="100"/>
      <c r="F852" s="100"/>
    </row>
    <row r="853" spans="2:6" ht="12.75" customHeight="1" x14ac:dyDescent="0.25">
      <c r="B853" s="100"/>
      <c r="E853" s="100"/>
      <c r="F853" s="100"/>
    </row>
    <row r="854" spans="2:6" ht="12.75" customHeight="1" x14ac:dyDescent="0.25">
      <c r="B854" s="100"/>
      <c r="E854" s="100"/>
      <c r="F854" s="100"/>
    </row>
    <row r="855" spans="2:6" ht="12.75" customHeight="1" x14ac:dyDescent="0.25">
      <c r="B855" s="100"/>
      <c r="E855" s="100"/>
      <c r="F855" s="100"/>
    </row>
    <row r="856" spans="2:6" ht="12.75" customHeight="1" x14ac:dyDescent="0.25">
      <c r="B856" s="100"/>
      <c r="E856" s="100"/>
      <c r="F856" s="100"/>
    </row>
    <row r="857" spans="2:6" ht="12.75" customHeight="1" x14ac:dyDescent="0.25">
      <c r="B857" s="100"/>
      <c r="E857" s="100"/>
      <c r="F857" s="100"/>
    </row>
    <row r="858" spans="2:6" ht="12.75" customHeight="1" x14ac:dyDescent="0.25">
      <c r="B858" s="100"/>
      <c r="E858" s="100"/>
      <c r="F858" s="100"/>
    </row>
    <row r="859" spans="2:6" ht="12.75" customHeight="1" x14ac:dyDescent="0.25">
      <c r="B859" s="100"/>
      <c r="E859" s="100"/>
      <c r="F859" s="100"/>
    </row>
    <row r="860" spans="2:6" ht="12.75" customHeight="1" x14ac:dyDescent="0.25">
      <c r="B860" s="100"/>
      <c r="E860" s="100"/>
      <c r="F860" s="100"/>
    </row>
    <row r="861" spans="2:6" ht="12.75" customHeight="1" x14ac:dyDescent="0.25">
      <c r="B861" s="100"/>
      <c r="E861" s="100"/>
      <c r="F861" s="100"/>
    </row>
    <row r="862" spans="2:6" ht="12.75" customHeight="1" x14ac:dyDescent="0.25">
      <c r="B862" s="100"/>
      <c r="E862" s="100"/>
      <c r="F862" s="100"/>
    </row>
    <row r="863" spans="2:6" ht="12.75" customHeight="1" x14ac:dyDescent="0.25">
      <c r="B863" s="100"/>
      <c r="E863" s="100"/>
      <c r="F863" s="100"/>
    </row>
    <row r="864" spans="2:6" ht="12.75" customHeight="1" x14ac:dyDescent="0.25">
      <c r="B864" s="100"/>
      <c r="E864" s="100"/>
      <c r="F864" s="100"/>
    </row>
    <row r="865" spans="2:6" ht="12.75" customHeight="1" x14ac:dyDescent="0.25">
      <c r="B865" s="100"/>
      <c r="E865" s="100"/>
      <c r="F865" s="100"/>
    </row>
    <row r="866" spans="2:6" ht="12.75" customHeight="1" x14ac:dyDescent="0.25">
      <c r="B866" s="100"/>
      <c r="E866" s="100"/>
      <c r="F866" s="100"/>
    </row>
    <row r="867" spans="2:6" ht="12.75" customHeight="1" x14ac:dyDescent="0.25">
      <c r="B867" s="100"/>
      <c r="E867" s="100"/>
      <c r="F867" s="100"/>
    </row>
    <row r="868" spans="2:6" ht="12.75" customHeight="1" x14ac:dyDescent="0.25">
      <c r="B868" s="100"/>
      <c r="E868" s="100"/>
      <c r="F868" s="100"/>
    </row>
    <row r="869" spans="2:6" ht="12.75" customHeight="1" x14ac:dyDescent="0.25">
      <c r="B869" s="100"/>
      <c r="E869" s="100"/>
      <c r="F869" s="100"/>
    </row>
    <row r="870" spans="2:6" ht="12.75" customHeight="1" x14ac:dyDescent="0.25">
      <c r="B870" s="100"/>
      <c r="E870" s="100"/>
      <c r="F870" s="100"/>
    </row>
    <row r="871" spans="2:6" ht="12.75" customHeight="1" x14ac:dyDescent="0.25">
      <c r="B871" s="100"/>
      <c r="E871" s="100"/>
      <c r="F871" s="100"/>
    </row>
    <row r="872" spans="2:6" ht="12.75" customHeight="1" x14ac:dyDescent="0.25">
      <c r="B872" s="100"/>
      <c r="E872" s="100"/>
      <c r="F872" s="100"/>
    </row>
    <row r="873" spans="2:6" ht="12.75" customHeight="1" x14ac:dyDescent="0.25">
      <c r="B873" s="100"/>
      <c r="E873" s="100"/>
      <c r="F873" s="100"/>
    </row>
    <row r="874" spans="2:6" ht="12.75" customHeight="1" x14ac:dyDescent="0.25">
      <c r="B874" s="100"/>
      <c r="E874" s="100"/>
      <c r="F874" s="100"/>
    </row>
    <row r="875" spans="2:6" ht="12.75" customHeight="1" x14ac:dyDescent="0.25">
      <c r="B875" s="100"/>
      <c r="E875" s="100"/>
      <c r="F875" s="100"/>
    </row>
    <row r="876" spans="2:6" ht="12.75" customHeight="1" x14ac:dyDescent="0.25">
      <c r="B876" s="100"/>
      <c r="E876" s="100"/>
      <c r="F876" s="100"/>
    </row>
    <row r="877" spans="2:6" ht="12.75" customHeight="1" x14ac:dyDescent="0.25">
      <c r="B877" s="100"/>
      <c r="E877" s="100"/>
      <c r="F877" s="100"/>
    </row>
    <row r="878" spans="2:6" ht="12.75" customHeight="1" x14ac:dyDescent="0.25">
      <c r="B878" s="100"/>
      <c r="E878" s="100"/>
      <c r="F878" s="100"/>
    </row>
    <row r="879" spans="2:6" ht="12.75" customHeight="1" x14ac:dyDescent="0.25">
      <c r="B879" s="100"/>
      <c r="E879" s="100"/>
      <c r="F879" s="100"/>
    </row>
    <row r="880" spans="2:6" ht="12.75" customHeight="1" x14ac:dyDescent="0.25">
      <c r="B880" s="100"/>
      <c r="E880" s="100"/>
      <c r="F880" s="100"/>
    </row>
    <row r="881" spans="2:6" ht="12.75" customHeight="1" x14ac:dyDescent="0.25">
      <c r="B881" s="100"/>
      <c r="E881" s="100"/>
      <c r="F881" s="100"/>
    </row>
    <row r="882" spans="2:6" ht="12.75" customHeight="1" x14ac:dyDescent="0.25">
      <c r="B882" s="100"/>
      <c r="E882" s="100"/>
      <c r="F882" s="100"/>
    </row>
    <row r="883" spans="2:6" ht="12.75" customHeight="1" x14ac:dyDescent="0.25">
      <c r="B883" s="100"/>
      <c r="E883" s="100"/>
      <c r="F883" s="100"/>
    </row>
    <row r="884" spans="2:6" ht="12.75" customHeight="1" x14ac:dyDescent="0.25">
      <c r="B884" s="100"/>
      <c r="E884" s="100"/>
      <c r="F884" s="100"/>
    </row>
    <row r="885" spans="2:6" ht="12.75" customHeight="1" x14ac:dyDescent="0.25">
      <c r="B885" s="100"/>
      <c r="E885" s="100"/>
      <c r="F885" s="100"/>
    </row>
    <row r="886" spans="2:6" ht="12.75" customHeight="1" x14ac:dyDescent="0.25">
      <c r="B886" s="100"/>
      <c r="E886" s="100"/>
      <c r="F886" s="100"/>
    </row>
    <row r="887" spans="2:6" ht="12.75" customHeight="1" x14ac:dyDescent="0.25">
      <c r="B887" s="100"/>
      <c r="E887" s="100"/>
      <c r="F887" s="100"/>
    </row>
    <row r="888" spans="2:6" ht="12.75" customHeight="1" x14ac:dyDescent="0.25">
      <c r="B888" s="100"/>
      <c r="E888" s="100"/>
      <c r="F888" s="100"/>
    </row>
    <row r="889" spans="2:6" ht="12.75" customHeight="1" x14ac:dyDescent="0.25">
      <c r="B889" s="100"/>
      <c r="E889" s="100"/>
      <c r="F889" s="100"/>
    </row>
    <row r="890" spans="2:6" ht="12.75" customHeight="1" x14ac:dyDescent="0.25">
      <c r="B890" s="100"/>
      <c r="E890" s="100"/>
      <c r="F890" s="100"/>
    </row>
    <row r="891" spans="2:6" ht="12.75" customHeight="1" x14ac:dyDescent="0.25">
      <c r="B891" s="100"/>
      <c r="E891" s="100"/>
      <c r="F891" s="100"/>
    </row>
    <row r="892" spans="2:6" ht="12.75" customHeight="1" x14ac:dyDescent="0.25">
      <c r="B892" s="100"/>
      <c r="E892" s="100"/>
      <c r="F892" s="100"/>
    </row>
    <row r="893" spans="2:6" ht="12.75" customHeight="1" x14ac:dyDescent="0.25">
      <c r="B893" s="100"/>
      <c r="E893" s="100"/>
      <c r="F893" s="100"/>
    </row>
    <row r="894" spans="2:6" ht="12.75" customHeight="1" x14ac:dyDescent="0.25">
      <c r="B894" s="100"/>
      <c r="E894" s="100"/>
      <c r="F894" s="100"/>
    </row>
    <row r="895" spans="2:6" ht="12.75" customHeight="1" x14ac:dyDescent="0.25">
      <c r="B895" s="100"/>
      <c r="E895" s="100"/>
      <c r="F895" s="100"/>
    </row>
    <row r="896" spans="2:6" ht="12.75" customHeight="1" x14ac:dyDescent="0.25">
      <c r="B896" s="100"/>
      <c r="E896" s="100"/>
      <c r="F896" s="100"/>
    </row>
    <row r="897" spans="2:6" ht="12.75" customHeight="1" x14ac:dyDescent="0.25">
      <c r="B897" s="100"/>
      <c r="E897" s="100"/>
      <c r="F897" s="100"/>
    </row>
    <row r="898" spans="2:6" ht="12.75" customHeight="1" x14ac:dyDescent="0.25">
      <c r="B898" s="100"/>
      <c r="E898" s="100"/>
      <c r="F898" s="100"/>
    </row>
    <row r="899" spans="2:6" ht="12.75" customHeight="1" x14ac:dyDescent="0.25">
      <c r="B899" s="100"/>
      <c r="E899" s="100"/>
      <c r="F899" s="100"/>
    </row>
    <row r="900" spans="2:6" ht="12.75" customHeight="1" x14ac:dyDescent="0.25">
      <c r="B900" s="100"/>
      <c r="E900" s="100"/>
      <c r="F900" s="100"/>
    </row>
    <row r="901" spans="2:6" ht="12.75" customHeight="1" x14ac:dyDescent="0.25">
      <c r="B901" s="100"/>
      <c r="E901" s="100"/>
      <c r="F901" s="100"/>
    </row>
    <row r="902" spans="2:6" ht="12.75" customHeight="1" x14ac:dyDescent="0.25">
      <c r="B902" s="100"/>
      <c r="E902" s="100"/>
      <c r="F902" s="100"/>
    </row>
    <row r="903" spans="2:6" ht="12.75" customHeight="1" x14ac:dyDescent="0.25">
      <c r="B903" s="100"/>
      <c r="E903" s="100"/>
      <c r="F903" s="100"/>
    </row>
    <row r="904" spans="2:6" ht="12.75" customHeight="1" x14ac:dyDescent="0.25">
      <c r="B904" s="100"/>
      <c r="E904" s="100"/>
      <c r="F904" s="100"/>
    </row>
    <row r="905" spans="2:6" ht="12.75" customHeight="1" x14ac:dyDescent="0.25">
      <c r="B905" s="100"/>
      <c r="E905" s="100"/>
      <c r="F905" s="100"/>
    </row>
    <row r="906" spans="2:6" ht="12.75" customHeight="1" x14ac:dyDescent="0.25">
      <c r="B906" s="100"/>
      <c r="E906" s="100"/>
      <c r="F906" s="100"/>
    </row>
    <row r="907" spans="2:6" ht="12.75" customHeight="1" x14ac:dyDescent="0.25">
      <c r="B907" s="100"/>
      <c r="E907" s="100"/>
      <c r="F907" s="100"/>
    </row>
    <row r="908" spans="2:6" ht="12.75" customHeight="1" x14ac:dyDescent="0.25">
      <c r="B908" s="100"/>
      <c r="E908" s="100"/>
      <c r="F908" s="100"/>
    </row>
    <row r="909" spans="2:6" ht="12.75" customHeight="1" x14ac:dyDescent="0.25">
      <c r="B909" s="100"/>
      <c r="E909" s="100"/>
      <c r="F909" s="100"/>
    </row>
    <row r="910" spans="2:6" ht="12.75" customHeight="1" x14ac:dyDescent="0.25">
      <c r="B910" s="100"/>
      <c r="E910" s="100"/>
      <c r="F910" s="100"/>
    </row>
    <row r="911" spans="2:6" ht="12.75" customHeight="1" x14ac:dyDescent="0.25">
      <c r="B911" s="100"/>
      <c r="E911" s="100"/>
      <c r="F911" s="100"/>
    </row>
    <row r="912" spans="2:6" ht="12.75" customHeight="1" x14ac:dyDescent="0.25">
      <c r="B912" s="100"/>
      <c r="E912" s="100"/>
      <c r="F912" s="100"/>
    </row>
    <row r="913" spans="2:6" ht="12.75" customHeight="1" x14ac:dyDescent="0.25">
      <c r="B913" s="100"/>
      <c r="E913" s="100"/>
      <c r="F913" s="100"/>
    </row>
    <row r="914" spans="2:6" ht="12.75" customHeight="1" x14ac:dyDescent="0.25">
      <c r="B914" s="100"/>
      <c r="E914" s="100"/>
      <c r="F914" s="100"/>
    </row>
    <row r="915" spans="2:6" ht="12.75" customHeight="1" x14ac:dyDescent="0.25">
      <c r="B915" s="100"/>
      <c r="E915" s="100"/>
      <c r="F915" s="100"/>
    </row>
    <row r="916" spans="2:6" ht="12.75" customHeight="1" x14ac:dyDescent="0.25">
      <c r="B916" s="100"/>
      <c r="E916" s="100"/>
      <c r="F916" s="100"/>
    </row>
    <row r="917" spans="2:6" ht="12.75" customHeight="1" x14ac:dyDescent="0.25">
      <c r="B917" s="100"/>
      <c r="E917" s="100"/>
      <c r="F917" s="100"/>
    </row>
    <row r="918" spans="2:6" ht="12.75" customHeight="1" x14ac:dyDescent="0.25">
      <c r="B918" s="100"/>
      <c r="E918" s="100"/>
      <c r="F918" s="100"/>
    </row>
    <row r="919" spans="2:6" ht="12.75" customHeight="1" x14ac:dyDescent="0.25">
      <c r="B919" s="100"/>
      <c r="E919" s="100"/>
      <c r="F919" s="100"/>
    </row>
    <row r="920" spans="2:6" ht="12.75" customHeight="1" x14ac:dyDescent="0.25">
      <c r="B920" s="100"/>
      <c r="E920" s="100"/>
      <c r="F920" s="100"/>
    </row>
    <row r="921" spans="2:6" ht="12.75" customHeight="1" x14ac:dyDescent="0.25">
      <c r="B921" s="100"/>
      <c r="E921" s="100"/>
      <c r="F921" s="100"/>
    </row>
    <row r="922" spans="2:6" ht="12.75" customHeight="1" x14ac:dyDescent="0.25">
      <c r="B922" s="100"/>
      <c r="E922" s="100"/>
      <c r="F922" s="100"/>
    </row>
    <row r="923" spans="2:6" ht="12.75" customHeight="1" x14ac:dyDescent="0.25">
      <c r="B923" s="100"/>
      <c r="E923" s="100"/>
      <c r="F923" s="100"/>
    </row>
    <row r="924" spans="2:6" ht="12.75" customHeight="1" x14ac:dyDescent="0.25">
      <c r="B924" s="100"/>
      <c r="E924" s="100"/>
      <c r="F924" s="100"/>
    </row>
    <row r="925" spans="2:6" ht="12.75" customHeight="1" x14ac:dyDescent="0.25">
      <c r="B925" s="100"/>
      <c r="E925" s="100"/>
      <c r="F925" s="100"/>
    </row>
    <row r="926" spans="2:6" ht="12.75" customHeight="1" x14ac:dyDescent="0.25">
      <c r="B926" s="100"/>
      <c r="E926" s="100"/>
      <c r="F926" s="100"/>
    </row>
    <row r="927" spans="2:6" ht="12.75" customHeight="1" x14ac:dyDescent="0.25">
      <c r="B927" s="100"/>
      <c r="E927" s="100"/>
      <c r="F927" s="100"/>
    </row>
    <row r="928" spans="2:6" ht="12.75" customHeight="1" x14ac:dyDescent="0.25">
      <c r="B928" s="100"/>
      <c r="E928" s="100"/>
      <c r="F928" s="100"/>
    </row>
    <row r="929" spans="2:6" ht="12.75" customHeight="1" x14ac:dyDescent="0.25">
      <c r="B929" s="100"/>
      <c r="E929" s="100"/>
      <c r="F929" s="100"/>
    </row>
    <row r="930" spans="2:6" ht="12.75" customHeight="1" x14ac:dyDescent="0.25">
      <c r="B930" s="100"/>
      <c r="E930" s="100"/>
      <c r="F930" s="100"/>
    </row>
    <row r="931" spans="2:6" ht="12.75" customHeight="1" x14ac:dyDescent="0.25">
      <c r="B931" s="100"/>
      <c r="E931" s="100"/>
      <c r="F931" s="100"/>
    </row>
    <row r="932" spans="2:6" ht="12.75" customHeight="1" x14ac:dyDescent="0.25">
      <c r="B932" s="100"/>
      <c r="E932" s="100"/>
      <c r="F932" s="100"/>
    </row>
    <row r="933" spans="2:6" ht="12.75" customHeight="1" x14ac:dyDescent="0.25">
      <c r="B933" s="100"/>
      <c r="E933" s="100"/>
      <c r="F933" s="100"/>
    </row>
    <row r="934" spans="2:6" ht="12.75" customHeight="1" x14ac:dyDescent="0.25">
      <c r="B934" s="100"/>
      <c r="E934" s="100"/>
      <c r="F934" s="100"/>
    </row>
    <row r="935" spans="2:6" ht="12.75" customHeight="1" x14ac:dyDescent="0.25">
      <c r="B935" s="100"/>
      <c r="E935" s="100"/>
      <c r="F935" s="100"/>
    </row>
    <row r="936" spans="2:6" ht="12.75" customHeight="1" x14ac:dyDescent="0.25">
      <c r="B936" s="100"/>
      <c r="E936" s="100"/>
      <c r="F936" s="100"/>
    </row>
    <row r="937" spans="2:6" ht="12.75" customHeight="1" x14ac:dyDescent="0.25">
      <c r="B937" s="100"/>
      <c r="E937" s="100"/>
      <c r="F937" s="100"/>
    </row>
    <row r="938" spans="2:6" ht="12.75" customHeight="1" x14ac:dyDescent="0.25">
      <c r="B938" s="100"/>
      <c r="E938" s="100"/>
      <c r="F938" s="100"/>
    </row>
    <row r="939" spans="2:6" ht="12.75" customHeight="1" x14ac:dyDescent="0.25">
      <c r="B939" s="100"/>
      <c r="E939" s="100"/>
      <c r="F939" s="100"/>
    </row>
    <row r="940" spans="2:6" ht="12.75" customHeight="1" x14ac:dyDescent="0.25">
      <c r="B940" s="100"/>
      <c r="E940" s="100"/>
      <c r="F940" s="100"/>
    </row>
    <row r="941" spans="2:6" ht="12.75" customHeight="1" x14ac:dyDescent="0.25">
      <c r="B941" s="100"/>
      <c r="E941" s="100"/>
      <c r="F941" s="100"/>
    </row>
    <row r="942" spans="2:6" ht="12.75" customHeight="1" x14ac:dyDescent="0.25">
      <c r="B942" s="100"/>
      <c r="E942" s="100"/>
      <c r="F942" s="100"/>
    </row>
    <row r="943" spans="2:6" ht="12.75" customHeight="1" x14ac:dyDescent="0.25">
      <c r="B943" s="100"/>
      <c r="E943" s="100"/>
      <c r="F943" s="100"/>
    </row>
    <row r="944" spans="2:6" ht="12.75" customHeight="1" x14ac:dyDescent="0.25">
      <c r="B944" s="100"/>
      <c r="E944" s="100"/>
      <c r="F944" s="100"/>
    </row>
    <row r="945" spans="2:6" ht="12.75" customHeight="1" x14ac:dyDescent="0.25">
      <c r="B945" s="100"/>
      <c r="E945" s="100"/>
      <c r="F945" s="100"/>
    </row>
    <row r="946" spans="2:6" ht="12.75" customHeight="1" x14ac:dyDescent="0.25">
      <c r="B946" s="100"/>
      <c r="E946" s="100"/>
      <c r="F946" s="100"/>
    </row>
    <row r="947" spans="2:6" ht="12.75" customHeight="1" x14ac:dyDescent="0.25">
      <c r="B947" s="100"/>
      <c r="E947" s="100"/>
      <c r="F947" s="100"/>
    </row>
    <row r="948" spans="2:6" ht="12.75" customHeight="1" x14ac:dyDescent="0.25">
      <c r="B948" s="100"/>
      <c r="E948" s="100"/>
      <c r="F948" s="100"/>
    </row>
    <row r="949" spans="2:6" ht="12.75" customHeight="1" x14ac:dyDescent="0.25">
      <c r="B949" s="100"/>
      <c r="E949" s="100"/>
      <c r="F949" s="100"/>
    </row>
    <row r="950" spans="2:6" ht="12.75" customHeight="1" x14ac:dyDescent="0.25">
      <c r="B950" s="100"/>
      <c r="E950" s="100"/>
      <c r="F950" s="100"/>
    </row>
    <row r="951" spans="2:6" ht="12.75" customHeight="1" x14ac:dyDescent="0.25">
      <c r="B951" s="100"/>
      <c r="E951" s="100"/>
      <c r="F951" s="100"/>
    </row>
    <row r="952" spans="2:6" ht="12.75" customHeight="1" x14ac:dyDescent="0.25">
      <c r="B952" s="100"/>
      <c r="E952" s="100"/>
      <c r="F952" s="100"/>
    </row>
    <row r="953" spans="2:6" ht="12.75" customHeight="1" x14ac:dyDescent="0.25">
      <c r="B953" s="100"/>
      <c r="E953" s="100"/>
      <c r="F953" s="100"/>
    </row>
    <row r="954" spans="2:6" ht="12.75" customHeight="1" x14ac:dyDescent="0.25">
      <c r="B954" s="100"/>
      <c r="E954" s="100"/>
      <c r="F954" s="100"/>
    </row>
    <row r="955" spans="2:6" ht="12.75" customHeight="1" x14ac:dyDescent="0.25">
      <c r="B955" s="100"/>
      <c r="E955" s="100"/>
      <c r="F955" s="100"/>
    </row>
    <row r="956" spans="2:6" ht="12.75" customHeight="1" x14ac:dyDescent="0.25">
      <c r="B956" s="100"/>
      <c r="E956" s="100"/>
      <c r="F956" s="100"/>
    </row>
    <row r="957" spans="2:6" ht="12.75" customHeight="1" x14ac:dyDescent="0.25">
      <c r="B957" s="100"/>
      <c r="E957" s="100"/>
      <c r="F957" s="100"/>
    </row>
    <row r="958" spans="2:6" ht="12.75" customHeight="1" x14ac:dyDescent="0.25">
      <c r="B958" s="100"/>
      <c r="E958" s="100"/>
      <c r="F958" s="100"/>
    </row>
    <row r="959" spans="2:6" ht="12.75" customHeight="1" x14ac:dyDescent="0.25">
      <c r="B959" s="100"/>
      <c r="E959" s="100"/>
      <c r="F959" s="100"/>
    </row>
    <row r="960" spans="2:6" ht="12.75" customHeight="1" x14ac:dyDescent="0.25">
      <c r="B960" s="100"/>
      <c r="E960" s="100"/>
      <c r="F960" s="100"/>
    </row>
    <row r="961" spans="2:6" ht="12.75" customHeight="1" x14ac:dyDescent="0.25">
      <c r="B961" s="100"/>
      <c r="E961" s="100"/>
      <c r="F961" s="100"/>
    </row>
    <row r="962" spans="2:6" ht="12.75" customHeight="1" x14ac:dyDescent="0.25">
      <c r="B962" s="100"/>
      <c r="E962" s="100"/>
      <c r="F962" s="100"/>
    </row>
    <row r="963" spans="2:6" ht="12.75" customHeight="1" x14ac:dyDescent="0.25">
      <c r="B963" s="100"/>
      <c r="E963" s="100"/>
      <c r="F963" s="100"/>
    </row>
    <row r="964" spans="2:6" ht="12.75" customHeight="1" x14ac:dyDescent="0.25">
      <c r="B964" s="100"/>
      <c r="E964" s="100"/>
      <c r="F964" s="100"/>
    </row>
    <row r="965" spans="2:6" ht="12.75" customHeight="1" x14ac:dyDescent="0.25">
      <c r="B965" s="100"/>
      <c r="E965" s="100"/>
      <c r="F965" s="100"/>
    </row>
    <row r="966" spans="2:6" ht="12.75" customHeight="1" x14ac:dyDescent="0.25">
      <c r="B966" s="100"/>
      <c r="E966" s="100"/>
      <c r="F966" s="100"/>
    </row>
    <row r="967" spans="2:6" ht="12.75" customHeight="1" x14ac:dyDescent="0.25">
      <c r="B967" s="100"/>
      <c r="E967" s="100"/>
      <c r="F967" s="100"/>
    </row>
    <row r="968" spans="2:6" ht="12.75" customHeight="1" x14ac:dyDescent="0.25">
      <c r="B968" s="100"/>
      <c r="E968" s="100"/>
      <c r="F968" s="100"/>
    </row>
    <row r="969" spans="2:6" ht="12.75" customHeight="1" x14ac:dyDescent="0.25">
      <c r="B969" s="100"/>
      <c r="E969" s="100"/>
      <c r="F969" s="100"/>
    </row>
    <row r="970" spans="2:6" ht="12.75" customHeight="1" x14ac:dyDescent="0.25">
      <c r="B970" s="100"/>
      <c r="E970" s="100"/>
      <c r="F970" s="100"/>
    </row>
    <row r="971" spans="2:6" ht="12.75" customHeight="1" x14ac:dyDescent="0.25">
      <c r="B971" s="100"/>
      <c r="E971" s="100"/>
      <c r="F971" s="100"/>
    </row>
    <row r="972" spans="2:6" ht="12.75" customHeight="1" x14ac:dyDescent="0.25">
      <c r="B972" s="100"/>
      <c r="E972" s="100"/>
      <c r="F972" s="100"/>
    </row>
    <row r="973" spans="2:6" ht="12.75" customHeight="1" x14ac:dyDescent="0.25">
      <c r="B973" s="100"/>
      <c r="E973" s="100"/>
      <c r="F973" s="100"/>
    </row>
  </sheetData>
  <mergeCells count="5">
    <mergeCell ref="AL2:AM2"/>
    <mergeCell ref="R25:U25"/>
    <mergeCell ref="R26:U26"/>
    <mergeCell ref="B2:H3"/>
    <mergeCell ref="B35:F35"/>
  </mergeCells>
  <printOptions horizontalCentered="1"/>
  <pageMargins left="0.4" right="0.4" top="1" bottom="0.5" header="0.3" footer="0.511811023622047"/>
  <pageSetup paperSize="9" scale="42" orientation="landscape" r:id="rId1"/>
  <legacyDrawing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rgb="FFA6A6A6"/>
    <pageSetUpPr fitToPage="1"/>
  </sheetPr>
  <dimension ref="A1:AG138"/>
  <sheetViews>
    <sheetView topLeftCell="N1" zoomScale="70" zoomScaleNormal="70" workbookViewId="0">
      <selection activeCell="Z24" sqref="Z24"/>
    </sheetView>
  </sheetViews>
  <sheetFormatPr defaultColWidth="12.5" defaultRowHeight="14" x14ac:dyDescent="0.3"/>
  <cols>
    <col min="1" max="1" width="16.33203125" style="1" customWidth="1"/>
    <col min="2" max="2" width="36.75" customWidth="1"/>
    <col min="3" max="3" width="16.9140625" customWidth="1"/>
    <col min="4" max="4" width="19" customWidth="1"/>
    <col min="5" max="5" width="16.1640625" customWidth="1"/>
    <col min="6" max="6" width="23.08203125" customWidth="1"/>
    <col min="7" max="7" width="25.1640625" customWidth="1"/>
    <col min="8" max="8" width="25.5" customWidth="1"/>
    <col min="9" max="9" width="18" customWidth="1"/>
    <col min="12" max="12" width="8.33203125" customWidth="1"/>
    <col min="13" max="16" width="5.4140625" customWidth="1"/>
    <col min="18" max="18" width="32" customWidth="1"/>
    <col min="23" max="23" width="8.6640625" customWidth="1"/>
    <col min="24" max="24" width="31.6640625" customWidth="1"/>
    <col min="28" max="29" width="12.5" style="767"/>
  </cols>
  <sheetData>
    <row r="1" spans="1:33" ht="24" customHeight="1" x14ac:dyDescent="0.3">
      <c r="A1" s="80" t="s">
        <v>243</v>
      </c>
      <c r="B1" s="81">
        <v>1000</v>
      </c>
      <c r="C1" s="89" t="s">
        <v>325</v>
      </c>
      <c r="D1" s="90">
        <f>$S$30/J1</f>
        <v>36158.730158730155</v>
      </c>
      <c r="E1" s="91" t="s">
        <v>248</v>
      </c>
      <c r="F1" s="92" t="s">
        <v>326</v>
      </c>
      <c r="G1" s="91" t="s">
        <v>327</v>
      </c>
      <c r="H1" s="305">
        <f>H52</f>
        <v>22.779999999999998</v>
      </c>
      <c r="I1" s="93" t="s">
        <v>250</v>
      </c>
      <c r="J1" s="306">
        <v>0.63</v>
      </c>
      <c r="K1" s="100"/>
      <c r="Y1" s="91" t="s">
        <v>479</v>
      </c>
      <c r="Z1" s="847">
        <v>22280</v>
      </c>
      <c r="AA1" s="91" t="s">
        <v>600</v>
      </c>
      <c r="AB1" s="847">
        <v>500</v>
      </c>
      <c r="AC1" s="91" t="s">
        <v>587</v>
      </c>
      <c r="AD1" s="847">
        <v>151</v>
      </c>
    </row>
    <row r="2" spans="1:33" ht="12.75" customHeight="1" x14ac:dyDescent="0.3">
      <c r="A2" s="265"/>
      <c r="B2" s="1387" t="s">
        <v>443</v>
      </c>
      <c r="C2" s="1422"/>
      <c r="D2" s="1422"/>
      <c r="E2" s="1422"/>
      <c r="F2" s="1422"/>
      <c r="G2" s="1422"/>
      <c r="H2" s="1422"/>
      <c r="I2" s="1422"/>
      <c r="J2" s="1422"/>
      <c r="K2" s="1422"/>
      <c r="L2" s="293"/>
      <c r="M2" s="100"/>
      <c r="N2" s="100"/>
      <c r="AE2" s="1396"/>
      <c r="AF2" s="1422"/>
      <c r="AG2" s="1422"/>
    </row>
    <row r="3" spans="1:33" ht="12.75" customHeight="1" x14ac:dyDescent="0.3">
      <c r="A3" s="265"/>
      <c r="B3" s="1388"/>
      <c r="C3" s="1388"/>
      <c r="D3" s="1388"/>
      <c r="E3" s="1388"/>
      <c r="F3" s="1388"/>
      <c r="G3" s="1388"/>
      <c r="H3" s="1388"/>
      <c r="I3" s="1388"/>
      <c r="J3" s="1388"/>
      <c r="K3" s="1388"/>
      <c r="L3" s="293"/>
      <c r="M3" s="100"/>
      <c r="N3" s="100"/>
      <c r="AE3" s="1422"/>
      <c r="AF3" s="1422"/>
      <c r="AG3" s="1422"/>
    </row>
    <row r="4" spans="1:33" ht="46.5" customHeight="1" x14ac:dyDescent="0.3">
      <c r="A4" s="91" t="s">
        <v>1</v>
      </c>
      <c r="B4" s="91" t="s">
        <v>253</v>
      </c>
      <c r="C4" s="307" t="s">
        <v>329</v>
      </c>
      <c r="D4" s="91" t="s">
        <v>330</v>
      </c>
      <c r="E4" s="108" t="s">
        <v>331</v>
      </c>
      <c r="F4" s="108" t="s">
        <v>332</v>
      </c>
      <c r="G4" s="308" t="s">
        <v>333</v>
      </c>
      <c r="H4" s="109" t="s">
        <v>334</v>
      </c>
      <c r="I4" s="91" t="s">
        <v>258</v>
      </c>
      <c r="J4" s="91" t="s">
        <v>259</v>
      </c>
      <c r="K4" s="91" t="s">
        <v>260</v>
      </c>
      <c r="L4" s="91" t="s">
        <v>261</v>
      </c>
    </row>
    <row r="5" spans="1:33" ht="14.25" customHeight="1" x14ac:dyDescent="0.3">
      <c r="A5" s="158" t="s">
        <v>230</v>
      </c>
      <c r="B5" s="494" t="s">
        <v>229</v>
      </c>
      <c r="C5" s="124" t="s">
        <v>14</v>
      </c>
      <c r="D5" s="116">
        <f>I51/H51</f>
        <v>1587.3015873015872</v>
      </c>
      <c r="E5" s="116">
        <f>I52/D5</f>
        <v>22.779999999999998</v>
      </c>
      <c r="F5" s="127">
        <v>1</v>
      </c>
      <c r="G5" s="119">
        <f t="shared" ref="G5:G17" si="0">D5*E5</f>
        <v>36158.730158730155</v>
      </c>
      <c r="H5" s="120">
        <f>D1</f>
        <v>36158.730158730155</v>
      </c>
      <c r="I5" s="81">
        <f>VLOOKUP(B5,All_Ingredients!$A$1:$F$151,6,FALSE())</f>
        <v>0.86</v>
      </c>
      <c r="J5" s="119">
        <f>VLOOKUP(B5,All_Ingredients!$A$1:$J$151,10,FALSE())</f>
        <v>17.100000000000001</v>
      </c>
      <c r="K5" s="122">
        <f t="shared" ref="K5" si="1">(H5/I5)/1000</f>
        <v>42.045035068290879</v>
      </c>
      <c r="L5" s="122">
        <f t="shared" ref="L5" si="2">K5*J5</f>
        <v>718.97009966777409</v>
      </c>
    </row>
    <row r="6" spans="1:33" ht="14.25" customHeight="1" x14ac:dyDescent="0.3">
      <c r="A6" s="270" t="s">
        <v>97</v>
      </c>
      <c r="B6" s="22" t="s">
        <v>141</v>
      </c>
      <c r="C6" s="124" t="s">
        <v>14</v>
      </c>
      <c r="D6" s="125">
        <v>35</v>
      </c>
      <c r="E6" s="116">
        <f t="shared" ref="E6:E17" si="3">$H$52</f>
        <v>22.779999999999998</v>
      </c>
      <c r="F6" s="127">
        <v>0.5</v>
      </c>
      <c r="G6" s="119">
        <f t="shared" si="0"/>
        <v>797.3</v>
      </c>
      <c r="H6" s="120">
        <f t="shared" ref="H6:H17" si="4">G6*F6</f>
        <v>398.65</v>
      </c>
      <c r="I6" s="81">
        <f>VLOOKUP(B6,All_Ingredients!$A$1:$F$151,6,FALSE())</f>
        <v>1</v>
      </c>
      <c r="J6" s="119">
        <f>VLOOKUP(B6,All_Ingredients!$A$1:$J$151,10,FALSE())</f>
        <v>43.75</v>
      </c>
      <c r="K6" s="122">
        <f t="shared" ref="K6:K17" si="5">(H6/I6)/1000</f>
        <v>0.39865</v>
      </c>
      <c r="L6" s="122">
        <f t="shared" ref="L6:L17" si="6">K6*J6</f>
        <v>17.4409375</v>
      </c>
    </row>
    <row r="7" spans="1:33" ht="14.25" customHeight="1" x14ac:dyDescent="0.3">
      <c r="A7" s="270" t="s">
        <v>97</v>
      </c>
      <c r="B7" s="22" t="s">
        <v>108</v>
      </c>
      <c r="C7" s="124" t="s">
        <v>14</v>
      </c>
      <c r="D7" s="125">
        <v>20</v>
      </c>
      <c r="E7" s="116">
        <f t="shared" si="3"/>
        <v>22.779999999999998</v>
      </c>
      <c r="F7" s="127">
        <v>0.7</v>
      </c>
      <c r="G7" s="119">
        <f t="shared" si="0"/>
        <v>455.59999999999997</v>
      </c>
      <c r="H7" s="120">
        <f t="shared" si="4"/>
        <v>318.91999999999996</v>
      </c>
      <c r="I7" s="81">
        <f>VLOOKUP(B7,All_Ingredients!$A$1:$F$151,6,FALSE())</f>
        <v>1</v>
      </c>
      <c r="J7" s="119">
        <f>VLOOKUP(B7,All_Ingredients!$A$1:$J$151,10,FALSE())</f>
        <v>15</v>
      </c>
      <c r="K7" s="122">
        <f t="shared" si="5"/>
        <v>0.31891999999999998</v>
      </c>
      <c r="L7" s="122">
        <f t="shared" si="6"/>
        <v>4.7837999999999994</v>
      </c>
    </row>
    <row r="8" spans="1:33" ht="14.25" customHeight="1" x14ac:dyDescent="0.3">
      <c r="A8" s="270" t="s">
        <v>97</v>
      </c>
      <c r="B8" s="294" t="s">
        <v>144</v>
      </c>
      <c r="C8" s="124" t="s">
        <v>14</v>
      </c>
      <c r="D8" s="125">
        <v>20</v>
      </c>
      <c r="E8" s="116">
        <f t="shared" si="3"/>
        <v>22.779999999999998</v>
      </c>
      <c r="F8" s="127">
        <v>0.75</v>
      </c>
      <c r="G8" s="119">
        <f t="shared" si="0"/>
        <v>455.59999999999997</v>
      </c>
      <c r="H8" s="120">
        <f t="shared" si="4"/>
        <v>341.7</v>
      </c>
      <c r="I8" s="81">
        <f>VLOOKUP(B8,All_Ingredients!$A$1:$F$151,6,FALSE())</f>
        <v>1</v>
      </c>
      <c r="J8" s="119">
        <f>VLOOKUP(B8,All_Ingredients!$A$1:$J$151,10,FALSE())</f>
        <v>15.277777777777779</v>
      </c>
      <c r="K8" s="122">
        <f t="shared" si="5"/>
        <v>0.3417</v>
      </c>
      <c r="L8" s="122">
        <f t="shared" si="6"/>
        <v>5.2204166666666669</v>
      </c>
    </row>
    <row r="9" spans="1:33" ht="14.25" customHeight="1" x14ac:dyDescent="0.3">
      <c r="A9" s="270" t="s">
        <v>97</v>
      </c>
      <c r="B9" s="22" t="s">
        <v>110</v>
      </c>
      <c r="C9" s="124" t="s">
        <v>14</v>
      </c>
      <c r="D9" s="125">
        <v>20</v>
      </c>
      <c r="E9" s="116">
        <f t="shared" si="3"/>
        <v>22.779999999999998</v>
      </c>
      <c r="F9" s="127">
        <v>0.7</v>
      </c>
      <c r="G9" s="119">
        <f t="shared" si="0"/>
        <v>455.59999999999997</v>
      </c>
      <c r="H9" s="120">
        <f t="shared" si="4"/>
        <v>318.91999999999996</v>
      </c>
      <c r="I9" s="81">
        <f>VLOOKUP(B9,All_Ingredients!$A$1:$F$151,6,FALSE())</f>
        <v>1</v>
      </c>
      <c r="J9" s="119">
        <f>VLOOKUP(B9,All_Ingredients!$A$1:$J$151,10,FALSE())</f>
        <v>8</v>
      </c>
      <c r="K9" s="122">
        <f t="shared" si="5"/>
        <v>0.31891999999999998</v>
      </c>
      <c r="L9" s="122">
        <f t="shared" si="6"/>
        <v>2.5513599999999999</v>
      </c>
    </row>
    <row r="10" spans="1:33" ht="14.25" customHeight="1" x14ac:dyDescent="0.3">
      <c r="A10" s="270" t="s">
        <v>196</v>
      </c>
      <c r="B10" s="294" t="s">
        <v>761</v>
      </c>
      <c r="C10" s="124" t="s">
        <v>14</v>
      </c>
      <c r="D10" s="125">
        <v>70</v>
      </c>
      <c r="E10" s="116">
        <f t="shared" si="3"/>
        <v>22.779999999999998</v>
      </c>
      <c r="F10" s="127">
        <v>0.6</v>
      </c>
      <c r="G10" s="119">
        <f t="shared" si="0"/>
        <v>1594.6</v>
      </c>
      <c r="H10" s="120">
        <f t="shared" si="4"/>
        <v>956.75999999999988</v>
      </c>
      <c r="I10" s="81">
        <f>VLOOKUP(B10,All_Ingredients!$A$1:$F$151,6,FALSE())</f>
        <v>1</v>
      </c>
      <c r="J10" s="119">
        <f>VLOOKUP(B10,All_Ingredients!$A$1:$J$151,10,FALSE())</f>
        <v>8.1520833333333336</v>
      </c>
      <c r="K10" s="122">
        <f t="shared" si="5"/>
        <v>0.95675999999999983</v>
      </c>
      <c r="L10" s="122">
        <f t="shared" si="6"/>
        <v>7.7995872499999992</v>
      </c>
    </row>
    <row r="11" spans="1:33" ht="14.25" customHeight="1" x14ac:dyDescent="0.3">
      <c r="A11" s="270" t="s">
        <v>13</v>
      </c>
      <c r="B11" s="22" t="s">
        <v>17</v>
      </c>
      <c r="C11" s="124" t="s">
        <v>14</v>
      </c>
      <c r="D11" s="125">
        <v>100</v>
      </c>
      <c r="E11" s="116">
        <f t="shared" si="3"/>
        <v>22.779999999999998</v>
      </c>
      <c r="F11" s="127">
        <v>1</v>
      </c>
      <c r="G11" s="119">
        <f t="shared" si="0"/>
        <v>2277.9999999999995</v>
      </c>
      <c r="H11" s="120">
        <f t="shared" si="4"/>
        <v>2277.9999999999995</v>
      </c>
      <c r="I11" s="81">
        <f>VLOOKUP(B11,All_Ingredients!$A$1:$F$151,6,FALSE())</f>
        <v>0.98</v>
      </c>
      <c r="J11" s="119">
        <f>VLOOKUP(B11,All_Ingredients!$A$1:$J$151,10,FALSE())</f>
        <v>3.5</v>
      </c>
      <c r="K11" s="122">
        <f t="shared" si="5"/>
        <v>2.3244897959183666</v>
      </c>
      <c r="L11" s="122">
        <f t="shared" si="6"/>
        <v>8.1357142857142826</v>
      </c>
    </row>
    <row r="12" spans="1:33" ht="14.25" customHeight="1" x14ac:dyDescent="0.3">
      <c r="A12" s="270" t="s">
        <v>97</v>
      </c>
      <c r="B12" s="22" t="s">
        <v>96</v>
      </c>
      <c r="C12" s="124" t="s">
        <v>14</v>
      </c>
      <c r="D12" s="125">
        <v>10</v>
      </c>
      <c r="E12" s="116">
        <f t="shared" si="3"/>
        <v>22.779999999999998</v>
      </c>
      <c r="F12" s="127">
        <v>0.75</v>
      </c>
      <c r="G12" s="119">
        <f t="shared" si="0"/>
        <v>227.79999999999998</v>
      </c>
      <c r="H12" s="120">
        <f t="shared" si="4"/>
        <v>170.85</v>
      </c>
      <c r="I12" s="81">
        <f>VLOOKUP(B12,All_Ingredients!$A$1:$F$151,6,FALSE())</f>
        <v>1</v>
      </c>
      <c r="J12" s="119">
        <f>VLOOKUP(B12,All_Ingredients!$A$1:$J$151,10,FALSE())</f>
        <v>0.74</v>
      </c>
      <c r="K12" s="122">
        <f t="shared" si="5"/>
        <v>0.17085</v>
      </c>
      <c r="L12" s="122">
        <f t="shared" si="6"/>
        <v>0.12642900000000001</v>
      </c>
    </row>
    <row r="13" spans="1:33" ht="14.25" customHeight="1" x14ac:dyDescent="0.3">
      <c r="A13" s="270" t="s">
        <v>13</v>
      </c>
      <c r="B13" s="22" t="s">
        <v>792</v>
      </c>
      <c r="C13" s="124" t="s">
        <v>14</v>
      </c>
      <c r="D13" s="125">
        <v>10</v>
      </c>
      <c r="E13" s="116">
        <f t="shared" si="3"/>
        <v>22.779999999999998</v>
      </c>
      <c r="F13" s="127">
        <v>0.5</v>
      </c>
      <c r="G13" s="119">
        <f t="shared" si="0"/>
        <v>227.79999999999998</v>
      </c>
      <c r="H13" s="120">
        <f t="shared" si="4"/>
        <v>113.89999999999999</v>
      </c>
      <c r="I13" s="81">
        <f>VLOOKUP(B13,All_Ingredients!$A$1:$F$151,6,FALSE())</f>
        <v>1</v>
      </c>
      <c r="J13" s="119">
        <f>VLOOKUP(B13,All_Ingredients!$A$1:$J$151,10,FALSE())</f>
        <v>10.5</v>
      </c>
      <c r="K13" s="122">
        <f t="shared" si="5"/>
        <v>0.11389999999999999</v>
      </c>
      <c r="L13" s="122">
        <f t="shared" si="6"/>
        <v>1.1959499999999998</v>
      </c>
    </row>
    <row r="14" spans="1:33" ht="14.25" customHeight="1" x14ac:dyDescent="0.3">
      <c r="A14" s="270" t="s">
        <v>63</v>
      </c>
      <c r="B14" s="22" t="s">
        <v>62</v>
      </c>
      <c r="C14" s="124" t="s">
        <v>14</v>
      </c>
      <c r="D14" s="125">
        <v>15</v>
      </c>
      <c r="E14" s="116">
        <f t="shared" si="3"/>
        <v>22.779999999999998</v>
      </c>
      <c r="F14" s="274">
        <v>0.6</v>
      </c>
      <c r="G14" s="119">
        <f t="shared" si="0"/>
        <v>341.7</v>
      </c>
      <c r="H14" s="120">
        <f t="shared" si="4"/>
        <v>205.01999999999998</v>
      </c>
      <c r="I14" s="81">
        <f>VLOOKUP(B14,All_Ingredients!$A$1:$F$151,6,FALSE())</f>
        <v>0.94</v>
      </c>
      <c r="J14" s="119">
        <f>VLOOKUP(B14,All_Ingredients!$A$1:$J$151,10,FALSE())</f>
        <v>3.6363636363636367</v>
      </c>
      <c r="K14" s="122">
        <f t="shared" si="5"/>
        <v>0.2181063829787234</v>
      </c>
      <c r="L14" s="122">
        <f t="shared" si="6"/>
        <v>0.79311411992263059</v>
      </c>
    </row>
    <row r="15" spans="1:33" ht="15" customHeight="1" x14ac:dyDescent="0.3">
      <c r="A15" s="270" t="s">
        <v>13</v>
      </c>
      <c r="B15" s="22" t="s">
        <v>32</v>
      </c>
      <c r="C15" s="124" t="s">
        <v>14</v>
      </c>
      <c r="D15" s="125">
        <v>50</v>
      </c>
      <c r="E15" s="116">
        <f t="shared" si="3"/>
        <v>22.779999999999998</v>
      </c>
      <c r="F15" s="127">
        <v>1</v>
      </c>
      <c r="G15" s="119">
        <f t="shared" si="0"/>
        <v>1138.9999999999998</v>
      </c>
      <c r="H15" s="120">
        <f t="shared" si="4"/>
        <v>1138.9999999999998</v>
      </c>
      <c r="I15" s="81">
        <f>VLOOKUP(B15,All_Ingredients!$A$1:$F$151,6,FALSE())</f>
        <v>0.96</v>
      </c>
      <c r="J15" s="119">
        <f>VLOOKUP(B15,All_Ingredients!$A$1:$J$151,10,FALSE())</f>
        <v>4</v>
      </c>
      <c r="K15" s="122">
        <f t="shared" si="5"/>
        <v>1.1864583333333329</v>
      </c>
      <c r="L15" s="122">
        <f t="shared" si="6"/>
        <v>4.7458333333333318</v>
      </c>
    </row>
    <row r="16" spans="1:33" ht="14.25" customHeight="1" x14ac:dyDescent="0.3">
      <c r="A16" s="270" t="s">
        <v>57</v>
      </c>
      <c r="B16" s="22" t="s">
        <v>56</v>
      </c>
      <c r="C16" s="124" t="s">
        <v>14</v>
      </c>
      <c r="D16" s="125">
        <v>30</v>
      </c>
      <c r="E16" s="116">
        <f t="shared" si="3"/>
        <v>22.779999999999998</v>
      </c>
      <c r="F16" s="127">
        <v>0.25</v>
      </c>
      <c r="G16" s="119">
        <f t="shared" si="0"/>
        <v>683.4</v>
      </c>
      <c r="H16" s="120">
        <f t="shared" si="4"/>
        <v>170.85</v>
      </c>
      <c r="I16" s="81">
        <f>VLOOKUP(B16,All_Ingredients!$A$1:$F$151,6,FALSE())</f>
        <v>0.87</v>
      </c>
      <c r="J16" s="119">
        <f>VLOOKUP(B16,All_Ingredients!$A$1:$J$151,10,FALSE())</f>
        <v>7</v>
      </c>
      <c r="K16" s="122">
        <f t="shared" si="5"/>
        <v>0.19637931034482758</v>
      </c>
      <c r="L16" s="122">
        <f t="shared" si="6"/>
        <v>1.3746551724137932</v>
      </c>
    </row>
    <row r="17" spans="1:29" ht="14.25" customHeight="1" x14ac:dyDescent="0.3">
      <c r="A17" s="270" t="s">
        <v>210</v>
      </c>
      <c r="B17" s="294" t="s">
        <v>209</v>
      </c>
      <c r="C17" s="124" t="s">
        <v>14</v>
      </c>
      <c r="D17" s="125">
        <v>350</v>
      </c>
      <c r="E17" s="116">
        <f t="shared" si="3"/>
        <v>22.779999999999998</v>
      </c>
      <c r="F17" s="127">
        <v>1</v>
      </c>
      <c r="G17" s="119">
        <f t="shared" si="0"/>
        <v>7972.9999999999991</v>
      </c>
      <c r="H17" s="120">
        <f t="shared" si="4"/>
        <v>7972.9999999999991</v>
      </c>
      <c r="I17" s="81">
        <f>VLOOKUP(B17,All_Ingredients!$A$1:$F$151,6,FALSE())</f>
        <v>1</v>
      </c>
      <c r="J17" s="119">
        <f>VLOOKUP(B17,All_Ingredients!$A$1:$J$151,10,FALSE())</f>
        <v>0</v>
      </c>
      <c r="K17" s="122">
        <f t="shared" si="5"/>
        <v>7.972999999999999</v>
      </c>
      <c r="L17" s="122">
        <f t="shared" si="6"/>
        <v>0</v>
      </c>
    </row>
    <row r="18" spans="1:29" ht="14.25" customHeight="1" x14ac:dyDescent="0.3">
      <c r="A18" s="100"/>
      <c r="B18" s="100"/>
      <c r="C18" s="100"/>
      <c r="D18" s="100"/>
      <c r="E18" s="100"/>
      <c r="F18" s="100"/>
      <c r="L18" s="209"/>
    </row>
    <row r="19" spans="1:29" ht="14.25" customHeight="1" x14ac:dyDescent="0.3">
      <c r="A19" s="100"/>
      <c r="B19" s="100"/>
      <c r="C19" s="100"/>
      <c r="D19" s="100"/>
      <c r="E19" s="100"/>
      <c r="F19" s="100"/>
      <c r="L19" s="209"/>
    </row>
    <row r="20" spans="1:29" ht="14.25" customHeight="1" x14ac:dyDescent="0.3">
      <c r="A20" s="100"/>
      <c r="B20" s="100"/>
      <c r="C20" s="100"/>
      <c r="D20" s="100"/>
      <c r="E20" s="100"/>
      <c r="F20" s="100"/>
      <c r="L20" s="209"/>
    </row>
    <row r="21" spans="1:29" ht="14.25" customHeight="1" x14ac:dyDescent="0.3">
      <c r="A21" s="100"/>
      <c r="F21" s="100"/>
      <c r="L21" s="209"/>
    </row>
    <row r="22" spans="1:29" ht="14.25" customHeight="1" x14ac:dyDescent="0.3">
      <c r="A22" s="100"/>
      <c r="F22" s="100"/>
      <c r="L22" s="209"/>
    </row>
    <row r="23" spans="1:29" ht="14.25" customHeight="1" x14ac:dyDescent="0.3">
      <c r="A23" s="100"/>
      <c r="F23" s="100"/>
    </row>
    <row r="24" spans="1:29" ht="14.25" customHeight="1" x14ac:dyDescent="0.3">
      <c r="A24" s="100"/>
      <c r="F24" s="100"/>
      <c r="Z24" s="1294"/>
    </row>
    <row r="25" spans="1:29" ht="15.75" customHeight="1" x14ac:dyDescent="0.35">
      <c r="A25" s="100"/>
      <c r="F25" s="100"/>
      <c r="R25" s="1487" t="str">
        <f>B2</f>
        <v>Chicken Makloba - مقلوبة دجاج</v>
      </c>
      <c r="S25" s="1476"/>
      <c r="T25" s="1476"/>
      <c r="U25" s="1218"/>
      <c r="Z25" s="141" t="s">
        <v>264</v>
      </c>
      <c r="AA25" s="142">
        <v>23480</v>
      </c>
      <c r="AB25" s="141" t="s">
        <v>261</v>
      </c>
      <c r="AC25" s="143">
        <f>AC30*AA25</f>
        <v>796.89542675425662</v>
      </c>
    </row>
    <row r="26" spans="1:29" ht="14.25" customHeight="1" x14ac:dyDescent="0.3">
      <c r="A26" s="100"/>
      <c r="F26" s="100"/>
      <c r="R26" s="1409" t="s">
        <v>336</v>
      </c>
      <c r="S26" s="1481"/>
      <c r="T26" s="1481"/>
      <c r="U26" s="1218"/>
      <c r="AB26" s="14"/>
      <c r="AC26" s="14"/>
    </row>
    <row r="27" spans="1:29" ht="14.25" customHeight="1" thickBot="1" x14ac:dyDescent="0.35">
      <c r="F27" s="100"/>
      <c r="R27" s="145" t="s">
        <v>266</v>
      </c>
      <c r="S27" s="146" t="s">
        <v>267</v>
      </c>
      <c r="T27" s="146" t="s">
        <v>269</v>
      </c>
      <c r="U27" s="146" t="s">
        <v>848</v>
      </c>
      <c r="Z27" s="141" t="s">
        <v>270</v>
      </c>
      <c r="AA27" s="147" t="s">
        <v>271</v>
      </c>
      <c r="AB27" s="1186" t="s">
        <v>848</v>
      </c>
      <c r="AC27" s="147" t="s">
        <v>274</v>
      </c>
    </row>
    <row r="28" spans="1:29" ht="14.25" customHeight="1" thickBot="1" x14ac:dyDescent="0.35">
      <c r="B28" s="100"/>
      <c r="E28" s="100"/>
      <c r="F28" s="100"/>
      <c r="R28" s="148" t="s">
        <v>337</v>
      </c>
      <c r="S28" s="150">
        <f>$Z$1</f>
        <v>22280</v>
      </c>
      <c r="T28" s="149">
        <f>S28</f>
        <v>22280</v>
      </c>
      <c r="U28" s="149">
        <f>SUM(H37)</f>
        <v>0</v>
      </c>
      <c r="Z28" s="151"/>
      <c r="AA28" s="152">
        <f>AA25*$S$40</f>
        <v>23480</v>
      </c>
      <c r="AB28" s="1188"/>
      <c r="AC28" s="154">
        <f>SUM(AA28:AB28)</f>
        <v>23480</v>
      </c>
    </row>
    <row r="29" spans="1:29" ht="14.25" customHeight="1" thickBot="1" x14ac:dyDescent="0.35">
      <c r="B29" s="100"/>
      <c r="E29" s="100"/>
      <c r="F29" s="100"/>
      <c r="R29" s="148" t="s">
        <v>338</v>
      </c>
      <c r="S29" s="1236">
        <f>$AB$1</f>
        <v>500</v>
      </c>
      <c r="T29" s="155">
        <f>S29</f>
        <v>500</v>
      </c>
      <c r="U29" s="155"/>
      <c r="Z29" s="151"/>
      <c r="AA29" s="156">
        <v>1</v>
      </c>
      <c r="AB29" s="1192"/>
      <c r="AC29" s="156">
        <f>AC28/$AC$28</f>
        <v>1</v>
      </c>
    </row>
    <row r="30" spans="1:29" ht="14.25" customHeight="1" thickBot="1" x14ac:dyDescent="0.35">
      <c r="B30" s="100"/>
      <c r="E30" s="100"/>
      <c r="F30" s="100"/>
      <c r="R30" s="160" t="s">
        <v>339</v>
      </c>
      <c r="S30" s="149">
        <f>S28+S29</f>
        <v>22780</v>
      </c>
      <c r="T30" s="149">
        <f>T28+T29</f>
        <v>22780</v>
      </c>
      <c r="U30" s="149">
        <f>U28+U29</f>
        <v>0</v>
      </c>
      <c r="Z30" s="141" t="s">
        <v>278</v>
      </c>
      <c r="AA30" s="157">
        <f>S33/(S30)</f>
        <v>3.3939328226331202E-2</v>
      </c>
      <c r="AB30" s="1199">
        <f>U33/T30</f>
        <v>0</v>
      </c>
      <c r="AC30" s="159">
        <f>SUMPRODUCT(AA30:AB30,AA29:AB29)</f>
        <v>3.3939328226331202E-2</v>
      </c>
    </row>
    <row r="31" spans="1:29" ht="14.25" customHeight="1" thickBot="1" x14ac:dyDescent="0.35">
      <c r="R31" s="161" t="s">
        <v>280</v>
      </c>
      <c r="S31" s="155"/>
      <c r="T31" s="155"/>
      <c r="U31" s="155"/>
    </row>
    <row r="32" spans="1:29" ht="14.25" customHeight="1" thickBot="1" x14ac:dyDescent="0.35">
      <c r="R32" s="162" t="s">
        <v>281</v>
      </c>
      <c r="S32" s="155"/>
      <c r="T32" s="155"/>
      <c r="U32" s="155"/>
    </row>
    <row r="33" spans="17:24" ht="14.25" customHeight="1" thickBot="1" x14ac:dyDescent="0.35">
      <c r="R33" s="163" t="s">
        <v>261</v>
      </c>
      <c r="S33" s="1144">
        <f>SUM(L5:L17)</f>
        <v>773.1378969958248</v>
      </c>
      <c r="T33" s="1203">
        <f>S33</f>
        <v>773.1378969958248</v>
      </c>
      <c r="U33" s="1144">
        <f>SUM(L37)</f>
        <v>0</v>
      </c>
    </row>
    <row r="40" spans="17:24" ht="14.25" customHeight="1" x14ac:dyDescent="0.3">
      <c r="Q40" s="14"/>
      <c r="R40" s="165" t="s">
        <v>340</v>
      </c>
      <c r="S40" s="239">
        <v>1</v>
      </c>
      <c r="X40" s="14"/>
    </row>
    <row r="41" spans="17:24" ht="14.25" customHeight="1" x14ac:dyDescent="0.3">
      <c r="Q41" s="14"/>
      <c r="R41" s="14"/>
      <c r="S41" s="14"/>
      <c r="T41" s="14"/>
      <c r="U41" s="169"/>
      <c r="V41" s="14"/>
      <c r="W41" s="14"/>
      <c r="X41" s="14"/>
    </row>
    <row r="42" spans="17:24" ht="14.25" customHeight="1" x14ac:dyDescent="0.3">
      <c r="Q42" s="14"/>
      <c r="R42" s="14"/>
      <c r="S42" s="14"/>
      <c r="T42" s="14"/>
      <c r="U42" s="14"/>
      <c r="V42" s="14"/>
      <c r="W42" s="14"/>
      <c r="X42" s="14"/>
    </row>
    <row r="43" spans="17:24" ht="14.25" customHeight="1" x14ac:dyDescent="0.3">
      <c r="Q43" s="170" t="s">
        <v>284</v>
      </c>
      <c r="R43" s="170" t="s">
        <v>285</v>
      </c>
      <c r="S43" s="170" t="s">
        <v>286</v>
      </c>
      <c r="T43" s="170" t="s">
        <v>287</v>
      </c>
      <c r="U43" s="170" t="s">
        <v>288</v>
      </c>
      <c r="V43" s="170" t="s">
        <v>289</v>
      </c>
      <c r="W43" s="258" t="s">
        <v>341</v>
      </c>
      <c r="X43" s="321"/>
    </row>
    <row r="44" spans="17:24" ht="14.25" customHeight="1" x14ac:dyDescent="0.3">
      <c r="Q44" s="172">
        <v>10000</v>
      </c>
      <c r="R44" s="173">
        <v>0</v>
      </c>
      <c r="S44" s="241">
        <v>0</v>
      </c>
      <c r="T44" s="241">
        <v>0</v>
      </c>
      <c r="U44" s="242">
        <f>R44*S44</f>
        <v>0</v>
      </c>
      <c r="V44" s="176">
        <f>R44*T44</f>
        <v>0</v>
      </c>
      <c r="W44" s="260">
        <f>Q44-U44</f>
        <v>10000</v>
      </c>
      <c r="X44" s="298"/>
    </row>
    <row r="50" spans="1:10" ht="14.5" thickBot="1" x14ac:dyDescent="0.35">
      <c r="G50" s="146" t="s">
        <v>292</v>
      </c>
      <c r="H50" s="146" t="s">
        <v>245</v>
      </c>
      <c r="I50" s="146" t="s">
        <v>293</v>
      </c>
      <c r="J50" s="146" t="s">
        <v>294</v>
      </c>
    </row>
    <row r="51" spans="1:10" ht="14.5" thickBot="1" x14ac:dyDescent="0.35">
      <c r="G51" s="310" t="s">
        <v>335</v>
      </c>
      <c r="H51" s="311">
        <v>10</v>
      </c>
      <c r="I51" s="311">
        <f>J51/J1</f>
        <v>15873.015873015873</v>
      </c>
      <c r="J51" s="312">
        <f>$W$44</f>
        <v>10000</v>
      </c>
    </row>
    <row r="52" spans="1:10" x14ac:dyDescent="0.3">
      <c r="G52" s="162" t="s">
        <v>274</v>
      </c>
      <c r="H52" s="313">
        <f>E5</f>
        <v>22.779999999999998</v>
      </c>
      <c r="I52" s="314">
        <f>J52/$J$1</f>
        <v>36158.730158730155</v>
      </c>
      <c r="J52" s="315">
        <f>$S$30</f>
        <v>22780</v>
      </c>
    </row>
    <row r="53" spans="1:10" x14ac:dyDescent="0.3">
      <c r="D53" s="492"/>
      <c r="G53" s="148" t="s">
        <v>296</v>
      </c>
      <c r="H53" s="316">
        <f>MIN($H$52, H51)</f>
        <v>10</v>
      </c>
      <c r="I53" s="176">
        <f>J53/$J$1</f>
        <v>15873.015873015873</v>
      </c>
      <c r="J53" s="317">
        <f>MIN(MAX($J$52,0),$J$51)</f>
        <v>10000</v>
      </c>
    </row>
    <row r="54" spans="1:10" x14ac:dyDescent="0.3">
      <c r="D54" s="492"/>
      <c r="G54" s="148" t="s">
        <v>297</v>
      </c>
      <c r="H54" s="316">
        <f>MIN(MAX($H$52-H53,0),H51)</f>
        <v>10</v>
      </c>
      <c r="I54" s="176">
        <f>J54/$J$1</f>
        <v>15873.015873015873</v>
      </c>
      <c r="J54" s="184">
        <f>MIN(MAX($J$52-J53,0),$J$51)</f>
        <v>10000</v>
      </c>
    </row>
    <row r="55" spans="1:10" x14ac:dyDescent="0.3">
      <c r="D55" s="492"/>
      <c r="G55" s="145" t="s">
        <v>298</v>
      </c>
      <c r="H55" s="316">
        <f>MIN(MAX($H$52-H53-H54,0),H51)</f>
        <v>2.7799999999999976</v>
      </c>
      <c r="I55" s="176">
        <f>J55/$J$1</f>
        <v>4412.6984126984125</v>
      </c>
      <c r="J55" s="317">
        <f>MIN(MAX($J$52-J53-J54,0),$J$51)</f>
        <v>2780</v>
      </c>
    </row>
    <row r="56" spans="1:10" x14ac:dyDescent="0.3">
      <c r="G56" s="145" t="s">
        <v>305</v>
      </c>
      <c r="H56" s="316">
        <f>MIN(MAX($H$52-H53-H54-H55,0),H52)</f>
        <v>0</v>
      </c>
      <c r="I56" s="176">
        <f>J56/$J$1</f>
        <v>0</v>
      </c>
      <c r="J56" s="317">
        <f>MIN(MAX($J$52-J53-J54-J55,0),$J$51)</f>
        <v>0</v>
      </c>
    </row>
    <row r="62" spans="1:10" ht="17.75" customHeight="1" x14ac:dyDescent="0.3">
      <c r="A62" s="322"/>
      <c r="B62" s="1382" t="str">
        <f>"مقلوبة دجاج 1 / " &amp; COUNTIF($H$53:$H$56, "&gt;0")</f>
        <v>مقلوبة دجاج 1 / 3</v>
      </c>
      <c r="C62" s="1383"/>
      <c r="D62" s="1383"/>
      <c r="E62" s="1383"/>
      <c r="F62" s="1383"/>
      <c r="G62" s="1383"/>
      <c r="H62" s="1383"/>
    </row>
    <row r="63" spans="1:10" ht="17.75" customHeight="1" x14ac:dyDescent="0.3">
      <c r="A63" s="322"/>
      <c r="B63" s="1384" t="str">
        <f>"Chicken Maklouba 1 / " &amp; COUNTIF($H$53:$H$56, "&gt;0")</f>
        <v>Chicken Maklouba 1 / 3</v>
      </c>
      <c r="C63" s="1385"/>
      <c r="D63" s="1385"/>
      <c r="E63" s="1385"/>
      <c r="F63" s="1385"/>
      <c r="G63" s="1385"/>
      <c r="H63" s="1385"/>
    </row>
    <row r="64" spans="1:10" ht="52.25" customHeight="1" x14ac:dyDescent="0.3">
      <c r="A64" s="91"/>
      <c r="B64" s="91" t="s">
        <v>253</v>
      </c>
      <c r="C64" s="307" t="s">
        <v>329</v>
      </c>
      <c r="D64" s="91" t="s">
        <v>330</v>
      </c>
      <c r="E64" s="108" t="s">
        <v>331</v>
      </c>
      <c r="F64" s="108" t="s">
        <v>332</v>
      </c>
      <c r="G64" s="308" t="s">
        <v>333</v>
      </c>
      <c r="H64" s="109" t="s">
        <v>334</v>
      </c>
    </row>
    <row r="65" spans="1:8" ht="14.25" customHeight="1" x14ac:dyDescent="0.3">
      <c r="A65" s="219" t="s">
        <v>230</v>
      </c>
      <c r="B65" s="323" t="str">
        <f t="shared" ref="B65:D77" si="7">B5</f>
        <v>Chicken - دجاج</v>
      </c>
      <c r="C65" s="323" t="str">
        <f t="shared" si="7"/>
        <v>gm</v>
      </c>
      <c r="D65" s="324">
        <f t="shared" si="7"/>
        <v>1587.3015873015872</v>
      </c>
      <c r="E65" s="197">
        <f t="shared" ref="E65:E77" si="8">$H$53</f>
        <v>10</v>
      </c>
      <c r="F65" s="127">
        <f t="shared" ref="F65:F77" si="9">F5</f>
        <v>1</v>
      </c>
      <c r="G65" s="119">
        <f t="shared" ref="G65:G77" si="10">D65*E65</f>
        <v>15873.015873015873</v>
      </c>
      <c r="H65" s="120">
        <f t="shared" ref="H65:H77" si="11">G65*F65</f>
        <v>15873.015873015873</v>
      </c>
    </row>
    <row r="66" spans="1:8" ht="14.25" customHeight="1" x14ac:dyDescent="0.3">
      <c r="A66" s="270" t="s">
        <v>97</v>
      </c>
      <c r="B66" s="323" t="str">
        <f t="shared" si="7"/>
        <v>Kabsa Spices Powder - توابل كبسة بودر</v>
      </c>
      <c r="C66" s="323" t="str">
        <f t="shared" si="7"/>
        <v>gm</v>
      </c>
      <c r="D66" s="323">
        <f t="shared" si="7"/>
        <v>35</v>
      </c>
      <c r="E66" s="197">
        <f t="shared" si="8"/>
        <v>10</v>
      </c>
      <c r="F66" s="127">
        <f t="shared" si="9"/>
        <v>0.5</v>
      </c>
      <c r="G66" s="81">
        <f t="shared" si="10"/>
        <v>350</v>
      </c>
      <c r="H66" s="120">
        <f t="shared" si="11"/>
        <v>175</v>
      </c>
    </row>
    <row r="67" spans="1:8" ht="14.25" customHeight="1" x14ac:dyDescent="0.3">
      <c r="A67" s="270" t="s">
        <v>97</v>
      </c>
      <c r="B67" s="323" t="str">
        <f t="shared" si="7"/>
        <v>Cumin Powder - كمون مطحون</v>
      </c>
      <c r="C67" s="323" t="str">
        <f t="shared" si="7"/>
        <v>gm</v>
      </c>
      <c r="D67" s="323">
        <f t="shared" si="7"/>
        <v>20</v>
      </c>
      <c r="E67" s="197">
        <f t="shared" si="8"/>
        <v>10</v>
      </c>
      <c r="F67" s="127">
        <f t="shared" si="9"/>
        <v>0.7</v>
      </c>
      <c r="G67" s="81">
        <f t="shared" si="10"/>
        <v>200</v>
      </c>
      <c r="H67" s="120">
        <f t="shared" si="11"/>
        <v>140</v>
      </c>
    </row>
    <row r="68" spans="1:8" ht="14.25" customHeight="1" x14ac:dyDescent="0.3">
      <c r="A68" s="270" t="s">
        <v>97</v>
      </c>
      <c r="B68" s="323" t="str">
        <f t="shared" si="7"/>
        <v>Maggi Cubes - مكعبات ماجي</v>
      </c>
      <c r="C68" s="323" t="str">
        <f t="shared" si="7"/>
        <v>gm</v>
      </c>
      <c r="D68" s="323">
        <f t="shared" si="7"/>
        <v>20</v>
      </c>
      <c r="E68" s="197">
        <f t="shared" si="8"/>
        <v>10</v>
      </c>
      <c r="F68" s="127">
        <f t="shared" si="9"/>
        <v>0.75</v>
      </c>
      <c r="G68" s="81">
        <f t="shared" si="10"/>
        <v>200</v>
      </c>
      <c r="H68" s="120">
        <f t="shared" si="11"/>
        <v>150</v>
      </c>
    </row>
    <row r="69" spans="1:8" ht="14.25" customHeight="1" x14ac:dyDescent="0.3">
      <c r="A69" s="270" t="s">
        <v>97</v>
      </c>
      <c r="B69" s="323" t="str">
        <f t="shared" si="7"/>
        <v>Coriander Powder - كزبرة مطحونة</v>
      </c>
      <c r="C69" s="323" t="str">
        <f t="shared" si="7"/>
        <v>gm</v>
      </c>
      <c r="D69" s="323">
        <f t="shared" si="7"/>
        <v>20</v>
      </c>
      <c r="E69" s="197">
        <f t="shared" si="8"/>
        <v>10</v>
      </c>
      <c r="F69" s="127">
        <f t="shared" si="9"/>
        <v>0.7</v>
      </c>
      <c r="G69" s="81">
        <f t="shared" si="10"/>
        <v>200</v>
      </c>
      <c r="H69" s="120">
        <f t="shared" si="11"/>
        <v>140</v>
      </c>
    </row>
    <row r="70" spans="1:8" ht="14.25" customHeight="1" x14ac:dyDescent="0.3">
      <c r="A70" s="270" t="s">
        <v>196</v>
      </c>
      <c r="B70" s="323" t="str">
        <f t="shared" si="7"/>
        <v>Tomato Paste - صلصة طماطم</v>
      </c>
      <c r="C70" s="323" t="str">
        <f t="shared" si="7"/>
        <v>gm</v>
      </c>
      <c r="D70" s="323">
        <f t="shared" si="7"/>
        <v>70</v>
      </c>
      <c r="E70" s="197">
        <f t="shared" si="8"/>
        <v>10</v>
      </c>
      <c r="F70" s="127">
        <f t="shared" si="9"/>
        <v>0.6</v>
      </c>
      <c r="G70" s="81">
        <f t="shared" si="10"/>
        <v>700</v>
      </c>
      <c r="H70" s="120">
        <f t="shared" si="11"/>
        <v>420</v>
      </c>
    </row>
    <row r="71" spans="1:8" ht="14.25" customHeight="1" x14ac:dyDescent="0.3">
      <c r="A71" s="270" t="s">
        <v>13</v>
      </c>
      <c r="B71" s="323" t="str">
        <f t="shared" si="7"/>
        <v>Tomato - طماطم</v>
      </c>
      <c r="C71" s="323" t="str">
        <f t="shared" si="7"/>
        <v>gm</v>
      </c>
      <c r="D71" s="323">
        <f t="shared" si="7"/>
        <v>100</v>
      </c>
      <c r="E71" s="197">
        <f t="shared" si="8"/>
        <v>10</v>
      </c>
      <c r="F71" s="127">
        <f t="shared" si="9"/>
        <v>1</v>
      </c>
      <c r="G71" s="81">
        <f t="shared" si="10"/>
        <v>1000</v>
      </c>
      <c r="H71" s="120">
        <f t="shared" si="11"/>
        <v>1000</v>
      </c>
    </row>
    <row r="72" spans="1:8" ht="14.25" customHeight="1" x14ac:dyDescent="0.3">
      <c r="A72" s="270" t="s">
        <v>97</v>
      </c>
      <c r="B72" s="323" t="str">
        <f t="shared" si="7"/>
        <v>Salt - ملح</v>
      </c>
      <c r="C72" s="323" t="str">
        <f t="shared" si="7"/>
        <v>gm</v>
      </c>
      <c r="D72" s="323">
        <f t="shared" si="7"/>
        <v>10</v>
      </c>
      <c r="E72" s="197">
        <f t="shared" si="8"/>
        <v>10</v>
      </c>
      <c r="F72" s="127">
        <f t="shared" si="9"/>
        <v>0.75</v>
      </c>
      <c r="G72" s="81">
        <f t="shared" si="10"/>
        <v>100</v>
      </c>
      <c r="H72" s="120">
        <f t="shared" si="11"/>
        <v>75</v>
      </c>
    </row>
    <row r="73" spans="1:8" ht="14.25" customHeight="1" x14ac:dyDescent="0.3">
      <c r="A73" s="270" t="s">
        <v>13</v>
      </c>
      <c r="B73" s="323" t="str">
        <f t="shared" si="7"/>
        <v>Garlic - ثوم مقشر</v>
      </c>
      <c r="C73" s="323" t="str">
        <f t="shared" si="7"/>
        <v>gm</v>
      </c>
      <c r="D73" s="323">
        <f t="shared" si="7"/>
        <v>10</v>
      </c>
      <c r="E73" s="197">
        <f t="shared" si="8"/>
        <v>10</v>
      </c>
      <c r="F73" s="127">
        <f t="shared" si="9"/>
        <v>0.5</v>
      </c>
      <c r="G73" s="81">
        <f t="shared" si="10"/>
        <v>100</v>
      </c>
      <c r="H73" s="120">
        <f t="shared" si="11"/>
        <v>50</v>
      </c>
    </row>
    <row r="74" spans="1:8" ht="14.25" customHeight="1" x14ac:dyDescent="0.3">
      <c r="A74" s="270" t="s">
        <v>63</v>
      </c>
      <c r="B74" s="323" t="str">
        <f t="shared" si="7"/>
        <v>Coriander Leaves - كزبرة خضراء</v>
      </c>
      <c r="C74" s="323" t="str">
        <f t="shared" si="7"/>
        <v>gm</v>
      </c>
      <c r="D74" s="323">
        <f t="shared" si="7"/>
        <v>15</v>
      </c>
      <c r="E74" s="197">
        <f t="shared" si="8"/>
        <v>10</v>
      </c>
      <c r="F74" s="127">
        <f t="shared" si="9"/>
        <v>0.6</v>
      </c>
      <c r="G74" s="81">
        <f t="shared" si="10"/>
        <v>150</v>
      </c>
      <c r="H74" s="120">
        <f t="shared" si="11"/>
        <v>90</v>
      </c>
    </row>
    <row r="75" spans="1:8" ht="20.75" customHeight="1" x14ac:dyDescent="0.3">
      <c r="A75" s="270" t="s">
        <v>13</v>
      </c>
      <c r="B75" s="323" t="str">
        <f t="shared" si="7"/>
        <v>Green Bell Pepper - فلفل أخضر رومى</v>
      </c>
      <c r="C75" s="323" t="str">
        <f t="shared" si="7"/>
        <v>gm</v>
      </c>
      <c r="D75" s="323">
        <f t="shared" si="7"/>
        <v>50</v>
      </c>
      <c r="E75" s="197">
        <f t="shared" si="8"/>
        <v>10</v>
      </c>
      <c r="F75" s="127">
        <f t="shared" si="9"/>
        <v>1</v>
      </c>
      <c r="G75" s="81">
        <f t="shared" si="10"/>
        <v>500</v>
      </c>
      <c r="H75" s="120">
        <f t="shared" si="11"/>
        <v>500</v>
      </c>
    </row>
    <row r="76" spans="1:8" ht="20.75" customHeight="1" x14ac:dyDescent="0.3">
      <c r="A76" s="270" t="s">
        <v>57</v>
      </c>
      <c r="B76" s="323" t="str">
        <f t="shared" si="7"/>
        <v>Ginger - زنجبيل</v>
      </c>
      <c r="C76" s="323" t="str">
        <f t="shared" si="7"/>
        <v>gm</v>
      </c>
      <c r="D76" s="323">
        <f t="shared" si="7"/>
        <v>30</v>
      </c>
      <c r="E76" s="197">
        <f t="shared" si="8"/>
        <v>10</v>
      </c>
      <c r="F76" s="127">
        <f t="shared" si="9"/>
        <v>0.25</v>
      </c>
      <c r="G76" s="81">
        <f t="shared" si="10"/>
        <v>300</v>
      </c>
      <c r="H76" s="120">
        <f t="shared" si="11"/>
        <v>75</v>
      </c>
    </row>
    <row r="77" spans="1:8" ht="14.25" customHeight="1" x14ac:dyDescent="0.3">
      <c r="A77" s="270" t="s">
        <v>210</v>
      </c>
      <c r="B77" s="323" t="str">
        <f t="shared" si="7"/>
        <v>Water - ماء</v>
      </c>
      <c r="C77" s="323" t="str">
        <f t="shared" si="7"/>
        <v>gm</v>
      </c>
      <c r="D77" s="323">
        <f t="shared" si="7"/>
        <v>350</v>
      </c>
      <c r="E77" s="197">
        <f t="shared" si="8"/>
        <v>10</v>
      </c>
      <c r="F77" s="127">
        <f t="shared" si="9"/>
        <v>1</v>
      </c>
      <c r="G77" s="81">
        <f t="shared" si="10"/>
        <v>3500</v>
      </c>
      <c r="H77" s="120">
        <f t="shared" si="11"/>
        <v>3500</v>
      </c>
    </row>
    <row r="78" spans="1:8" ht="20.25" customHeight="1" x14ac:dyDescent="0.3">
      <c r="A78" s="211"/>
      <c r="B78" s="198" t="s">
        <v>299</v>
      </c>
      <c r="C78" s="200" t="s">
        <v>285</v>
      </c>
      <c r="D78" s="14"/>
      <c r="E78" s="200" t="s">
        <v>300</v>
      </c>
      <c r="F78" s="14"/>
      <c r="G78" s="890" t="s">
        <v>276</v>
      </c>
      <c r="H78" s="890" t="s">
        <v>733</v>
      </c>
    </row>
    <row r="79" spans="1:8" ht="20" x14ac:dyDescent="0.4">
      <c r="A79" s="211"/>
      <c r="B79" s="199">
        <f>$J$53</f>
        <v>10000</v>
      </c>
      <c r="C79" s="201">
        <f>E79+G79</f>
        <v>0</v>
      </c>
      <c r="D79" s="209"/>
      <c r="E79" s="201">
        <f>$C$53*$S$44</f>
        <v>0</v>
      </c>
      <c r="F79" s="100"/>
      <c r="G79" s="202">
        <f>$C$53*$T$44</f>
        <v>0</v>
      </c>
      <c r="H79" s="202">
        <f>B79+E79</f>
        <v>10000</v>
      </c>
    </row>
    <row r="81" spans="1:8" ht="17.75" customHeight="1" x14ac:dyDescent="0.3">
      <c r="A81" s="322"/>
      <c r="B81" s="1382" t="str">
        <f>"مقلوبة دجاج 2 / " &amp; COUNTIF($H$53:$H$56, "&gt;0")</f>
        <v>مقلوبة دجاج 2 / 3</v>
      </c>
      <c r="C81" s="1383"/>
      <c r="D81" s="1383"/>
      <c r="E81" s="1383"/>
      <c r="F81" s="1383"/>
      <c r="G81" s="1383"/>
      <c r="H81" s="1383"/>
    </row>
    <row r="82" spans="1:8" ht="17.75" customHeight="1" x14ac:dyDescent="0.3">
      <c r="A82" s="322"/>
      <c r="B82" s="1384" t="str">
        <f>"Chicken Maklouba 2 / " &amp; COUNTIF($H$53:$H$56, "&gt;0")</f>
        <v>Chicken Maklouba 2 / 3</v>
      </c>
      <c r="C82" s="1385"/>
      <c r="D82" s="1385"/>
      <c r="E82" s="1385"/>
      <c r="F82" s="1385"/>
      <c r="G82" s="1385"/>
      <c r="H82" s="1385"/>
    </row>
    <row r="83" spans="1:8" ht="52.25" customHeight="1" x14ac:dyDescent="0.3">
      <c r="A83" s="91"/>
      <c r="B83" s="91" t="s">
        <v>253</v>
      </c>
      <c r="C83" s="307" t="s">
        <v>329</v>
      </c>
      <c r="D83" s="91" t="s">
        <v>330</v>
      </c>
      <c r="E83" s="108" t="s">
        <v>331</v>
      </c>
      <c r="F83" s="108" t="s">
        <v>332</v>
      </c>
      <c r="G83" s="308" t="s">
        <v>333</v>
      </c>
      <c r="H83" s="109" t="s">
        <v>334</v>
      </c>
    </row>
    <row r="84" spans="1:8" ht="14.25" customHeight="1" x14ac:dyDescent="0.3">
      <c r="A84" s="219" t="s">
        <v>230</v>
      </c>
      <c r="B84" s="323" t="str">
        <f t="shared" ref="B84:D96" si="12">B5</f>
        <v>Chicken - دجاج</v>
      </c>
      <c r="C84" s="323" t="str">
        <f t="shared" si="12"/>
        <v>gm</v>
      </c>
      <c r="D84" s="119">
        <f t="shared" si="12"/>
        <v>1587.3015873015872</v>
      </c>
      <c r="E84" s="197">
        <f t="shared" ref="E84:E96" si="13">$H$54</f>
        <v>10</v>
      </c>
      <c r="F84" s="127">
        <f t="shared" ref="F84:F96" si="14">F5</f>
        <v>1</v>
      </c>
      <c r="G84" s="119">
        <f t="shared" ref="G84:G96" si="15">D84*E84</f>
        <v>15873.015873015873</v>
      </c>
      <c r="H84" s="120">
        <f t="shared" ref="H84:H96" si="16">G84*F84</f>
        <v>15873.015873015873</v>
      </c>
    </row>
    <row r="85" spans="1:8" ht="14.25" customHeight="1" x14ac:dyDescent="0.3">
      <c r="A85" s="270" t="s">
        <v>97</v>
      </c>
      <c r="B85" s="323" t="str">
        <f t="shared" si="12"/>
        <v>Kabsa Spices Powder - توابل كبسة بودر</v>
      </c>
      <c r="C85" s="323" t="str">
        <f t="shared" si="12"/>
        <v>gm</v>
      </c>
      <c r="D85" s="323">
        <f t="shared" si="12"/>
        <v>35</v>
      </c>
      <c r="E85" s="197">
        <f t="shared" si="13"/>
        <v>10</v>
      </c>
      <c r="F85" s="127">
        <f t="shared" si="14"/>
        <v>0.5</v>
      </c>
      <c r="G85" s="119">
        <f t="shared" si="15"/>
        <v>350</v>
      </c>
      <c r="H85" s="120">
        <f t="shared" si="16"/>
        <v>175</v>
      </c>
    </row>
    <row r="86" spans="1:8" ht="14.25" customHeight="1" x14ac:dyDescent="0.3">
      <c r="A86" s="270" t="s">
        <v>97</v>
      </c>
      <c r="B86" s="323" t="str">
        <f t="shared" si="12"/>
        <v>Cumin Powder - كمون مطحون</v>
      </c>
      <c r="C86" s="323" t="str">
        <f t="shared" si="12"/>
        <v>gm</v>
      </c>
      <c r="D86" s="323">
        <f t="shared" si="12"/>
        <v>20</v>
      </c>
      <c r="E86" s="197">
        <f t="shared" si="13"/>
        <v>10</v>
      </c>
      <c r="F86" s="127">
        <f t="shared" si="14"/>
        <v>0.7</v>
      </c>
      <c r="G86" s="119">
        <f t="shared" si="15"/>
        <v>200</v>
      </c>
      <c r="H86" s="120">
        <f t="shared" si="16"/>
        <v>140</v>
      </c>
    </row>
    <row r="87" spans="1:8" ht="14.25" customHeight="1" x14ac:dyDescent="0.3">
      <c r="A87" s="270" t="s">
        <v>97</v>
      </c>
      <c r="B87" s="323" t="str">
        <f t="shared" si="12"/>
        <v>Maggi Cubes - مكعبات ماجي</v>
      </c>
      <c r="C87" s="323" t="str">
        <f t="shared" si="12"/>
        <v>gm</v>
      </c>
      <c r="D87" s="323">
        <f t="shared" si="12"/>
        <v>20</v>
      </c>
      <c r="E87" s="197">
        <f t="shared" si="13"/>
        <v>10</v>
      </c>
      <c r="F87" s="127">
        <f t="shared" si="14"/>
        <v>0.75</v>
      </c>
      <c r="G87" s="119">
        <f t="shared" si="15"/>
        <v>200</v>
      </c>
      <c r="H87" s="120">
        <f t="shared" si="16"/>
        <v>150</v>
      </c>
    </row>
    <row r="88" spans="1:8" ht="14.25" customHeight="1" x14ac:dyDescent="0.3">
      <c r="A88" s="270" t="s">
        <v>97</v>
      </c>
      <c r="B88" s="323" t="str">
        <f t="shared" si="12"/>
        <v>Coriander Powder - كزبرة مطحونة</v>
      </c>
      <c r="C88" s="323" t="str">
        <f t="shared" si="12"/>
        <v>gm</v>
      </c>
      <c r="D88" s="323">
        <f t="shared" si="12"/>
        <v>20</v>
      </c>
      <c r="E88" s="197">
        <f t="shared" si="13"/>
        <v>10</v>
      </c>
      <c r="F88" s="127">
        <f t="shared" si="14"/>
        <v>0.7</v>
      </c>
      <c r="G88" s="119">
        <f t="shared" si="15"/>
        <v>200</v>
      </c>
      <c r="H88" s="120">
        <f t="shared" si="16"/>
        <v>140</v>
      </c>
    </row>
    <row r="89" spans="1:8" ht="14.25" customHeight="1" x14ac:dyDescent="0.3">
      <c r="A89" s="270" t="s">
        <v>196</v>
      </c>
      <c r="B89" s="323" t="str">
        <f t="shared" si="12"/>
        <v>Tomato Paste - صلصة طماطم</v>
      </c>
      <c r="C89" s="323" t="str">
        <f t="shared" si="12"/>
        <v>gm</v>
      </c>
      <c r="D89" s="323">
        <f t="shared" si="12"/>
        <v>70</v>
      </c>
      <c r="E89" s="197">
        <f t="shared" si="13"/>
        <v>10</v>
      </c>
      <c r="F89" s="127">
        <f t="shared" si="14"/>
        <v>0.6</v>
      </c>
      <c r="G89" s="119">
        <f t="shared" si="15"/>
        <v>700</v>
      </c>
      <c r="H89" s="120">
        <f t="shared" si="16"/>
        <v>420</v>
      </c>
    </row>
    <row r="90" spans="1:8" ht="14.25" customHeight="1" x14ac:dyDescent="0.3">
      <c r="A90" s="270" t="s">
        <v>13</v>
      </c>
      <c r="B90" s="323" t="str">
        <f t="shared" si="12"/>
        <v>Tomato - طماطم</v>
      </c>
      <c r="C90" s="323" t="str">
        <f t="shared" si="12"/>
        <v>gm</v>
      </c>
      <c r="D90" s="323">
        <f t="shared" si="12"/>
        <v>100</v>
      </c>
      <c r="E90" s="197">
        <f t="shared" si="13"/>
        <v>10</v>
      </c>
      <c r="F90" s="127">
        <f t="shared" si="14"/>
        <v>1</v>
      </c>
      <c r="G90" s="119">
        <f t="shared" si="15"/>
        <v>1000</v>
      </c>
      <c r="H90" s="120">
        <f t="shared" si="16"/>
        <v>1000</v>
      </c>
    </row>
    <row r="91" spans="1:8" ht="14.25" customHeight="1" x14ac:dyDescent="0.3">
      <c r="A91" s="270" t="s">
        <v>97</v>
      </c>
      <c r="B91" s="323" t="str">
        <f t="shared" si="12"/>
        <v>Salt - ملح</v>
      </c>
      <c r="C91" s="323" t="str">
        <f t="shared" si="12"/>
        <v>gm</v>
      </c>
      <c r="D91" s="323">
        <f t="shared" si="12"/>
        <v>10</v>
      </c>
      <c r="E91" s="197">
        <f t="shared" si="13"/>
        <v>10</v>
      </c>
      <c r="F91" s="127">
        <f t="shared" si="14"/>
        <v>0.75</v>
      </c>
      <c r="G91" s="119">
        <f t="shared" si="15"/>
        <v>100</v>
      </c>
      <c r="H91" s="120">
        <f t="shared" si="16"/>
        <v>75</v>
      </c>
    </row>
    <row r="92" spans="1:8" ht="14.25" customHeight="1" x14ac:dyDescent="0.3">
      <c r="A92" s="270" t="s">
        <v>13</v>
      </c>
      <c r="B92" s="323" t="str">
        <f t="shared" si="12"/>
        <v>Garlic - ثوم مقشر</v>
      </c>
      <c r="C92" s="323" t="str">
        <f t="shared" si="12"/>
        <v>gm</v>
      </c>
      <c r="D92" s="323">
        <f t="shared" si="12"/>
        <v>10</v>
      </c>
      <c r="E92" s="197">
        <f t="shared" si="13"/>
        <v>10</v>
      </c>
      <c r="F92" s="127">
        <f t="shared" si="14"/>
        <v>0.5</v>
      </c>
      <c r="G92" s="119">
        <f t="shared" si="15"/>
        <v>100</v>
      </c>
      <c r="H92" s="120">
        <f t="shared" si="16"/>
        <v>50</v>
      </c>
    </row>
    <row r="93" spans="1:8" ht="14.25" customHeight="1" x14ac:dyDescent="0.3">
      <c r="A93" s="270" t="s">
        <v>63</v>
      </c>
      <c r="B93" s="323" t="str">
        <f t="shared" si="12"/>
        <v>Coriander Leaves - كزبرة خضراء</v>
      </c>
      <c r="C93" s="323" t="str">
        <f t="shared" si="12"/>
        <v>gm</v>
      </c>
      <c r="D93" s="323">
        <f t="shared" si="12"/>
        <v>15</v>
      </c>
      <c r="E93" s="197">
        <f t="shared" si="13"/>
        <v>10</v>
      </c>
      <c r="F93" s="127">
        <f t="shared" si="14"/>
        <v>0.6</v>
      </c>
      <c r="G93" s="119">
        <f t="shared" si="15"/>
        <v>150</v>
      </c>
      <c r="H93" s="120">
        <f t="shared" si="16"/>
        <v>90</v>
      </c>
    </row>
    <row r="94" spans="1:8" ht="14.25" customHeight="1" x14ac:dyDescent="0.3">
      <c r="A94" s="270" t="s">
        <v>13</v>
      </c>
      <c r="B94" s="323" t="str">
        <f t="shared" si="12"/>
        <v>Green Bell Pepper - فلفل أخضر رومى</v>
      </c>
      <c r="C94" s="323" t="str">
        <f t="shared" si="12"/>
        <v>gm</v>
      </c>
      <c r="D94" s="323">
        <f t="shared" si="12"/>
        <v>50</v>
      </c>
      <c r="E94" s="197">
        <f t="shared" si="13"/>
        <v>10</v>
      </c>
      <c r="F94" s="127">
        <f t="shared" si="14"/>
        <v>1</v>
      </c>
      <c r="G94" s="119">
        <f t="shared" si="15"/>
        <v>500</v>
      </c>
      <c r="H94" s="120">
        <f t="shared" si="16"/>
        <v>500</v>
      </c>
    </row>
    <row r="95" spans="1:8" ht="14.25" customHeight="1" x14ac:dyDescent="0.3">
      <c r="A95" s="270" t="s">
        <v>57</v>
      </c>
      <c r="B95" s="323" t="str">
        <f t="shared" si="12"/>
        <v>Ginger - زنجبيل</v>
      </c>
      <c r="C95" s="323" t="str">
        <f t="shared" si="12"/>
        <v>gm</v>
      </c>
      <c r="D95" s="323">
        <f t="shared" si="12"/>
        <v>30</v>
      </c>
      <c r="E95" s="197">
        <f t="shared" si="13"/>
        <v>10</v>
      </c>
      <c r="F95" s="127">
        <f t="shared" si="14"/>
        <v>0.25</v>
      </c>
      <c r="G95" s="119">
        <f t="shared" si="15"/>
        <v>300</v>
      </c>
      <c r="H95" s="120">
        <f t="shared" si="16"/>
        <v>75</v>
      </c>
    </row>
    <row r="96" spans="1:8" ht="14.25" customHeight="1" x14ac:dyDescent="0.3">
      <c r="A96" s="270" t="s">
        <v>210</v>
      </c>
      <c r="B96" s="323" t="str">
        <f t="shared" si="12"/>
        <v>Water - ماء</v>
      </c>
      <c r="C96" s="323" t="str">
        <f t="shared" si="12"/>
        <v>gm</v>
      </c>
      <c r="D96" s="323">
        <f t="shared" si="12"/>
        <v>350</v>
      </c>
      <c r="E96" s="197">
        <f t="shared" si="13"/>
        <v>10</v>
      </c>
      <c r="F96" s="127">
        <f t="shared" si="14"/>
        <v>1</v>
      </c>
      <c r="G96" s="119">
        <f t="shared" si="15"/>
        <v>3500</v>
      </c>
      <c r="H96" s="120">
        <f t="shared" si="16"/>
        <v>3500</v>
      </c>
    </row>
    <row r="97" spans="1:8" ht="20.25" customHeight="1" x14ac:dyDescent="0.3">
      <c r="A97" s="211"/>
      <c r="B97" s="198" t="s">
        <v>299</v>
      </c>
      <c r="C97" s="200" t="s">
        <v>285</v>
      </c>
      <c r="D97" s="14"/>
      <c r="E97" s="200" t="s">
        <v>300</v>
      </c>
      <c r="F97" s="14"/>
      <c r="G97" s="890" t="s">
        <v>276</v>
      </c>
      <c r="H97" s="890" t="s">
        <v>733</v>
      </c>
    </row>
    <row r="98" spans="1:8" ht="25.25" customHeight="1" x14ac:dyDescent="0.4">
      <c r="A98" s="211"/>
      <c r="B98" s="199">
        <f>$J$54</f>
        <v>10000</v>
      </c>
      <c r="C98" s="201">
        <f>E98+G98</f>
        <v>0</v>
      </c>
      <c r="D98" s="209"/>
      <c r="E98" s="201">
        <f>$C$54*$S$44</f>
        <v>0</v>
      </c>
      <c r="F98" s="100"/>
      <c r="G98" s="202">
        <f>$C$54*$T$44</f>
        <v>0</v>
      </c>
      <c r="H98" s="202">
        <f>B98+E98</f>
        <v>10000</v>
      </c>
    </row>
    <row r="99" spans="1:8" ht="14.25" customHeight="1" x14ac:dyDescent="0.3">
      <c r="B99" s="100"/>
      <c r="E99" s="100"/>
      <c r="F99" s="100"/>
    </row>
    <row r="100" spans="1:8" ht="14.25" customHeight="1" x14ac:dyDescent="0.3">
      <c r="B100" s="100"/>
      <c r="E100" s="100"/>
      <c r="F100" s="100"/>
    </row>
    <row r="101" spans="1:8" ht="14.25" customHeight="1" x14ac:dyDescent="0.3">
      <c r="B101" s="100"/>
      <c r="E101" s="100"/>
      <c r="F101" s="100"/>
    </row>
    <row r="102" spans="1:8" ht="17.75" customHeight="1" x14ac:dyDescent="0.3">
      <c r="A102" s="322"/>
      <c r="B102" s="1382" t="str">
        <f>"مقلوبة دجاج 3 / " &amp; COUNTIF($H$53:$H$56, "&gt;0")</f>
        <v>مقلوبة دجاج 3 / 3</v>
      </c>
      <c r="C102" s="1383"/>
      <c r="D102" s="1383"/>
      <c r="E102" s="1383"/>
      <c r="F102" s="1383"/>
      <c r="G102" s="1383"/>
      <c r="H102" s="1383"/>
    </row>
    <row r="103" spans="1:8" ht="17.75" customHeight="1" x14ac:dyDescent="0.3">
      <c r="A103" s="407"/>
      <c r="B103" s="1384" t="str">
        <f>"Chicken Maklouba 3 / " &amp; COUNTIF($H$53:$H$56, "&gt;0")</f>
        <v>Chicken Maklouba 3 / 3</v>
      </c>
      <c r="C103" s="1385"/>
      <c r="D103" s="1385"/>
      <c r="E103" s="1385"/>
      <c r="F103" s="1385"/>
      <c r="G103" s="1385"/>
      <c r="H103" s="1385"/>
    </row>
    <row r="104" spans="1:8" ht="46.5" customHeight="1" x14ac:dyDescent="0.3">
      <c r="A104" s="91"/>
      <c r="B104" s="91" t="s">
        <v>253</v>
      </c>
      <c r="C104" s="307" t="s">
        <v>329</v>
      </c>
      <c r="D104" s="91" t="s">
        <v>330</v>
      </c>
      <c r="E104" s="108" t="s">
        <v>331</v>
      </c>
      <c r="F104" s="108" t="s">
        <v>332</v>
      </c>
      <c r="G104" s="308" t="s">
        <v>333</v>
      </c>
      <c r="H104" s="109" t="s">
        <v>334</v>
      </c>
    </row>
    <row r="105" spans="1:8" ht="14.25" customHeight="1" x14ac:dyDescent="0.3">
      <c r="A105" s="219" t="s">
        <v>230</v>
      </c>
      <c r="B105" s="219" t="str">
        <f t="shared" ref="B105:D117" si="17">B5</f>
        <v>Chicken - دجاج</v>
      </c>
      <c r="C105" s="219" t="str">
        <f t="shared" si="17"/>
        <v>gm</v>
      </c>
      <c r="D105" s="119">
        <f t="shared" si="17"/>
        <v>1587.3015873015872</v>
      </c>
      <c r="E105" s="197">
        <f t="shared" ref="E105:E117" si="18">$H$55</f>
        <v>2.7799999999999976</v>
      </c>
      <c r="F105" s="325">
        <f t="shared" ref="F105:F117" si="19">F5</f>
        <v>1</v>
      </c>
      <c r="G105" s="119">
        <f t="shared" ref="G105:G117" si="20">D105*E105</f>
        <v>4412.6984126984089</v>
      </c>
      <c r="H105" s="120">
        <f t="shared" ref="H105:H117" si="21">G105*F105</f>
        <v>4412.6984126984089</v>
      </c>
    </row>
    <row r="106" spans="1:8" ht="14.25" customHeight="1" x14ac:dyDescent="0.3">
      <c r="A106" s="219" t="s">
        <v>97</v>
      </c>
      <c r="B106" s="219" t="str">
        <f t="shared" si="17"/>
        <v>Kabsa Spices Powder - توابل كبسة بودر</v>
      </c>
      <c r="C106" s="219" t="str">
        <f t="shared" si="17"/>
        <v>gm</v>
      </c>
      <c r="D106" s="219">
        <f t="shared" si="17"/>
        <v>35</v>
      </c>
      <c r="E106" s="197">
        <f t="shared" si="18"/>
        <v>2.7799999999999976</v>
      </c>
      <c r="F106" s="325">
        <f t="shared" si="19"/>
        <v>0.5</v>
      </c>
      <c r="G106" s="119">
        <f t="shared" si="20"/>
        <v>97.299999999999912</v>
      </c>
      <c r="H106" s="120">
        <f t="shared" si="21"/>
        <v>48.649999999999956</v>
      </c>
    </row>
    <row r="107" spans="1:8" ht="14.25" customHeight="1" x14ac:dyDescent="0.3">
      <c r="A107" s="219" t="s">
        <v>97</v>
      </c>
      <c r="B107" s="219" t="str">
        <f t="shared" si="17"/>
        <v>Cumin Powder - كمون مطحون</v>
      </c>
      <c r="C107" s="219" t="str">
        <f t="shared" si="17"/>
        <v>gm</v>
      </c>
      <c r="D107" s="219">
        <f t="shared" si="17"/>
        <v>20</v>
      </c>
      <c r="E107" s="197">
        <f t="shared" si="18"/>
        <v>2.7799999999999976</v>
      </c>
      <c r="F107" s="325">
        <f t="shared" si="19"/>
        <v>0.7</v>
      </c>
      <c r="G107" s="119">
        <f t="shared" si="20"/>
        <v>55.599999999999952</v>
      </c>
      <c r="H107" s="120">
        <f t="shared" si="21"/>
        <v>38.919999999999966</v>
      </c>
    </row>
    <row r="108" spans="1:8" ht="14.25" customHeight="1" x14ac:dyDescent="0.3">
      <c r="A108" s="219" t="s">
        <v>97</v>
      </c>
      <c r="B108" s="219" t="str">
        <f t="shared" si="17"/>
        <v>Maggi Cubes - مكعبات ماجي</v>
      </c>
      <c r="C108" s="219" t="str">
        <f t="shared" si="17"/>
        <v>gm</v>
      </c>
      <c r="D108" s="219">
        <f t="shared" si="17"/>
        <v>20</v>
      </c>
      <c r="E108" s="197">
        <f t="shared" si="18"/>
        <v>2.7799999999999976</v>
      </c>
      <c r="F108" s="325">
        <f t="shared" si="19"/>
        <v>0.75</v>
      </c>
      <c r="G108" s="119">
        <f t="shared" si="20"/>
        <v>55.599999999999952</v>
      </c>
      <c r="H108" s="120">
        <f t="shared" si="21"/>
        <v>41.69999999999996</v>
      </c>
    </row>
    <row r="109" spans="1:8" ht="14.25" customHeight="1" x14ac:dyDescent="0.3">
      <c r="A109" s="219" t="s">
        <v>97</v>
      </c>
      <c r="B109" s="219" t="str">
        <f t="shared" si="17"/>
        <v>Coriander Powder - كزبرة مطحونة</v>
      </c>
      <c r="C109" s="219" t="str">
        <f t="shared" si="17"/>
        <v>gm</v>
      </c>
      <c r="D109" s="219">
        <f t="shared" si="17"/>
        <v>20</v>
      </c>
      <c r="E109" s="197">
        <f t="shared" si="18"/>
        <v>2.7799999999999976</v>
      </c>
      <c r="F109" s="325">
        <f t="shared" si="19"/>
        <v>0.7</v>
      </c>
      <c r="G109" s="119">
        <f t="shared" si="20"/>
        <v>55.599999999999952</v>
      </c>
      <c r="H109" s="120">
        <f t="shared" si="21"/>
        <v>38.919999999999966</v>
      </c>
    </row>
    <row r="110" spans="1:8" ht="14.25" customHeight="1" x14ac:dyDescent="0.3">
      <c r="A110" s="219" t="s">
        <v>196</v>
      </c>
      <c r="B110" s="219" t="str">
        <f t="shared" si="17"/>
        <v>Tomato Paste - صلصة طماطم</v>
      </c>
      <c r="C110" s="219" t="str">
        <f t="shared" si="17"/>
        <v>gm</v>
      </c>
      <c r="D110" s="219">
        <f t="shared" si="17"/>
        <v>70</v>
      </c>
      <c r="E110" s="197">
        <f t="shared" si="18"/>
        <v>2.7799999999999976</v>
      </c>
      <c r="F110" s="325">
        <f t="shared" si="19"/>
        <v>0.6</v>
      </c>
      <c r="G110" s="119">
        <f t="shared" si="20"/>
        <v>194.59999999999982</v>
      </c>
      <c r="H110" s="120">
        <f t="shared" si="21"/>
        <v>116.75999999999989</v>
      </c>
    </row>
    <row r="111" spans="1:8" ht="14.25" customHeight="1" x14ac:dyDescent="0.3">
      <c r="A111" s="219" t="s">
        <v>13</v>
      </c>
      <c r="B111" s="219" t="str">
        <f t="shared" si="17"/>
        <v>Tomato - طماطم</v>
      </c>
      <c r="C111" s="219" t="str">
        <f t="shared" si="17"/>
        <v>gm</v>
      </c>
      <c r="D111" s="219">
        <f t="shared" si="17"/>
        <v>100</v>
      </c>
      <c r="E111" s="197">
        <f t="shared" si="18"/>
        <v>2.7799999999999976</v>
      </c>
      <c r="F111" s="325">
        <f t="shared" si="19"/>
        <v>1</v>
      </c>
      <c r="G111" s="119">
        <f t="shared" si="20"/>
        <v>277.99999999999977</v>
      </c>
      <c r="H111" s="120">
        <f t="shared" si="21"/>
        <v>277.99999999999977</v>
      </c>
    </row>
    <row r="112" spans="1:8" ht="14.25" customHeight="1" x14ac:dyDescent="0.3">
      <c r="A112" s="219" t="s">
        <v>97</v>
      </c>
      <c r="B112" s="219" t="str">
        <f t="shared" si="17"/>
        <v>Salt - ملح</v>
      </c>
      <c r="C112" s="219" t="str">
        <f t="shared" si="17"/>
        <v>gm</v>
      </c>
      <c r="D112" s="219">
        <f t="shared" si="17"/>
        <v>10</v>
      </c>
      <c r="E112" s="197">
        <f t="shared" si="18"/>
        <v>2.7799999999999976</v>
      </c>
      <c r="F112" s="325">
        <f t="shared" si="19"/>
        <v>0.75</v>
      </c>
      <c r="G112" s="119">
        <f t="shared" si="20"/>
        <v>27.799999999999976</v>
      </c>
      <c r="H112" s="120">
        <f t="shared" si="21"/>
        <v>20.84999999999998</v>
      </c>
    </row>
    <row r="113" spans="1:10" ht="14.25" customHeight="1" x14ac:dyDescent="0.3">
      <c r="A113" s="219" t="s">
        <v>13</v>
      </c>
      <c r="B113" s="219" t="str">
        <f t="shared" si="17"/>
        <v>Garlic - ثوم مقشر</v>
      </c>
      <c r="C113" s="219" t="str">
        <f t="shared" si="17"/>
        <v>gm</v>
      </c>
      <c r="D113" s="219">
        <f t="shared" si="17"/>
        <v>10</v>
      </c>
      <c r="E113" s="197">
        <f t="shared" si="18"/>
        <v>2.7799999999999976</v>
      </c>
      <c r="F113" s="325">
        <f t="shared" si="19"/>
        <v>0.5</v>
      </c>
      <c r="G113" s="119">
        <f t="shared" si="20"/>
        <v>27.799999999999976</v>
      </c>
      <c r="H113" s="120">
        <f t="shared" si="21"/>
        <v>13.899999999999988</v>
      </c>
    </row>
    <row r="114" spans="1:10" ht="14.25" customHeight="1" x14ac:dyDescent="0.3">
      <c r="A114" s="219" t="s">
        <v>63</v>
      </c>
      <c r="B114" s="219" t="str">
        <f t="shared" si="17"/>
        <v>Coriander Leaves - كزبرة خضراء</v>
      </c>
      <c r="C114" s="219" t="str">
        <f t="shared" si="17"/>
        <v>gm</v>
      </c>
      <c r="D114" s="219">
        <f t="shared" si="17"/>
        <v>15</v>
      </c>
      <c r="E114" s="197">
        <f t="shared" si="18"/>
        <v>2.7799999999999976</v>
      </c>
      <c r="F114" s="325">
        <f t="shared" si="19"/>
        <v>0.6</v>
      </c>
      <c r="G114" s="119">
        <f t="shared" si="20"/>
        <v>41.69999999999996</v>
      </c>
      <c r="H114" s="120">
        <f t="shared" si="21"/>
        <v>25.019999999999975</v>
      </c>
    </row>
    <row r="115" spans="1:10" ht="14.25" customHeight="1" x14ac:dyDescent="0.3">
      <c r="A115" s="219" t="s">
        <v>13</v>
      </c>
      <c r="B115" s="219" t="str">
        <f t="shared" si="17"/>
        <v>Green Bell Pepper - فلفل أخضر رومى</v>
      </c>
      <c r="C115" s="219" t="str">
        <f t="shared" si="17"/>
        <v>gm</v>
      </c>
      <c r="D115" s="219">
        <f t="shared" si="17"/>
        <v>50</v>
      </c>
      <c r="E115" s="197">
        <f t="shared" si="18"/>
        <v>2.7799999999999976</v>
      </c>
      <c r="F115" s="325">
        <f t="shared" si="19"/>
        <v>1</v>
      </c>
      <c r="G115" s="119">
        <f t="shared" si="20"/>
        <v>138.99999999999989</v>
      </c>
      <c r="H115" s="120">
        <f t="shared" si="21"/>
        <v>138.99999999999989</v>
      </c>
    </row>
    <row r="116" spans="1:10" ht="14.25" customHeight="1" x14ac:dyDescent="0.3">
      <c r="A116" s="219" t="s">
        <v>57</v>
      </c>
      <c r="B116" s="219" t="str">
        <f t="shared" si="17"/>
        <v>Ginger - زنجبيل</v>
      </c>
      <c r="C116" s="219" t="str">
        <f t="shared" si="17"/>
        <v>gm</v>
      </c>
      <c r="D116" s="219">
        <f t="shared" si="17"/>
        <v>30</v>
      </c>
      <c r="E116" s="197">
        <f t="shared" si="18"/>
        <v>2.7799999999999976</v>
      </c>
      <c r="F116" s="325">
        <f t="shared" si="19"/>
        <v>0.25</v>
      </c>
      <c r="G116" s="119">
        <f t="shared" si="20"/>
        <v>83.39999999999992</v>
      </c>
      <c r="H116" s="120">
        <f t="shared" si="21"/>
        <v>20.84999999999998</v>
      </c>
    </row>
    <row r="117" spans="1:10" ht="14.25" customHeight="1" x14ac:dyDescent="0.3">
      <c r="A117" s="219" t="s">
        <v>210</v>
      </c>
      <c r="B117" s="219" t="str">
        <f t="shared" si="17"/>
        <v>Water - ماء</v>
      </c>
      <c r="C117" s="219" t="str">
        <f t="shared" si="17"/>
        <v>gm</v>
      </c>
      <c r="D117" s="219">
        <f t="shared" si="17"/>
        <v>350</v>
      </c>
      <c r="E117" s="197">
        <f t="shared" si="18"/>
        <v>2.7799999999999976</v>
      </c>
      <c r="F117" s="325">
        <f t="shared" si="19"/>
        <v>1</v>
      </c>
      <c r="G117" s="119">
        <f t="shared" si="20"/>
        <v>972.9999999999992</v>
      </c>
      <c r="H117" s="120">
        <f t="shared" si="21"/>
        <v>972.9999999999992</v>
      </c>
    </row>
    <row r="118" spans="1:10" ht="20.25" customHeight="1" x14ac:dyDescent="0.4">
      <c r="A118" s="211"/>
      <c r="B118" s="198" t="s">
        <v>299</v>
      </c>
      <c r="C118" s="200" t="s">
        <v>285</v>
      </c>
      <c r="D118" s="14"/>
      <c r="E118" s="200" t="s">
        <v>300</v>
      </c>
      <c r="F118" s="14"/>
      <c r="G118" s="890" t="s">
        <v>276</v>
      </c>
      <c r="H118" s="890" t="s">
        <v>733</v>
      </c>
      <c r="I118" s="204"/>
      <c r="J118" s="203"/>
    </row>
    <row r="119" spans="1:10" ht="20" x14ac:dyDescent="0.4">
      <c r="A119" s="211"/>
      <c r="B119" s="199">
        <f>$J$55</f>
        <v>2780</v>
      </c>
      <c r="C119" s="201">
        <f>E119+G119</f>
        <v>0</v>
      </c>
      <c r="D119" s="209"/>
      <c r="E119" s="201">
        <f>$C$56*$S$44</f>
        <v>0</v>
      </c>
      <c r="F119" s="100"/>
      <c r="G119" s="202">
        <f>$C$55*$T$44</f>
        <v>0</v>
      </c>
      <c r="H119" s="202">
        <f>B119+E119</f>
        <v>2780</v>
      </c>
    </row>
    <row r="121" spans="1:10" ht="18" x14ac:dyDescent="0.3">
      <c r="A121" s="322"/>
      <c r="B121" s="1382" t="str">
        <f>"مقلوبة دجاج 3 / " &amp; COUNTIF($H$53:$H$56, "&gt;0")</f>
        <v>مقلوبة دجاج 3 / 3</v>
      </c>
      <c r="C121" s="1388"/>
      <c r="D121" s="1388"/>
      <c r="E121" s="1388"/>
      <c r="F121" s="1388"/>
      <c r="G121" s="1388"/>
      <c r="H121" s="1388"/>
    </row>
    <row r="122" spans="1:10" ht="18" x14ac:dyDescent="0.3">
      <c r="A122" s="407"/>
      <c r="B122" s="1384" t="str">
        <f>"Chicken Maklouba 3 / " &amp; COUNTIF($H$53:$H$56, "&gt;0")</f>
        <v>Chicken Maklouba 3 / 3</v>
      </c>
      <c r="C122" s="1410"/>
      <c r="D122" s="1410"/>
      <c r="E122" s="1410"/>
      <c r="F122" s="1410"/>
      <c r="G122" s="1410"/>
      <c r="H122" s="1410"/>
    </row>
    <row r="123" spans="1:10" ht="39" x14ac:dyDescent="0.3">
      <c r="A123" s="91"/>
      <c r="B123" s="91" t="s">
        <v>253</v>
      </c>
      <c r="C123" s="307" t="s">
        <v>329</v>
      </c>
      <c r="D123" s="91" t="s">
        <v>330</v>
      </c>
      <c r="E123" s="108" t="s">
        <v>331</v>
      </c>
      <c r="F123" s="108" t="s">
        <v>332</v>
      </c>
      <c r="G123" s="308" t="s">
        <v>333</v>
      </c>
      <c r="H123" s="109" t="s">
        <v>334</v>
      </c>
    </row>
    <row r="124" spans="1:10" x14ac:dyDescent="0.3">
      <c r="A124" s="219" t="s">
        <v>230</v>
      </c>
      <c r="B124" s="219" t="str">
        <f t="shared" ref="B124:D136" si="22">B5</f>
        <v>Chicken - دجاج</v>
      </c>
      <c r="C124" s="219" t="str">
        <f t="shared" si="22"/>
        <v>gm</v>
      </c>
      <c r="D124" s="567">
        <f t="shared" si="22"/>
        <v>1587.3015873015872</v>
      </c>
      <c r="E124" s="197">
        <f t="shared" ref="E124:E136" si="23">$H$56</f>
        <v>0</v>
      </c>
      <c r="F124" s="325">
        <f>F5</f>
        <v>1</v>
      </c>
      <c r="G124" s="119">
        <f t="shared" ref="G124:G136" si="24">D124*E124</f>
        <v>0</v>
      </c>
      <c r="H124" s="120">
        <f t="shared" ref="H124:H136" si="25">G124*F124</f>
        <v>0</v>
      </c>
    </row>
    <row r="125" spans="1:10" x14ac:dyDescent="0.3">
      <c r="A125" s="219" t="s">
        <v>97</v>
      </c>
      <c r="B125" s="219" t="str">
        <f t="shared" si="22"/>
        <v>Kabsa Spices Powder - توابل كبسة بودر</v>
      </c>
      <c r="C125" s="219" t="str">
        <f t="shared" si="22"/>
        <v>gm</v>
      </c>
      <c r="D125" s="219">
        <f t="shared" si="22"/>
        <v>35</v>
      </c>
      <c r="E125" s="197">
        <f t="shared" si="23"/>
        <v>0</v>
      </c>
      <c r="F125" s="325">
        <f t="shared" ref="F125:F136" si="26">F6</f>
        <v>0.5</v>
      </c>
      <c r="G125" s="119">
        <f t="shared" si="24"/>
        <v>0</v>
      </c>
      <c r="H125" s="120">
        <f t="shared" si="25"/>
        <v>0</v>
      </c>
    </row>
    <row r="126" spans="1:10" x14ac:dyDescent="0.3">
      <c r="A126" s="219" t="s">
        <v>97</v>
      </c>
      <c r="B126" s="219" t="str">
        <f t="shared" si="22"/>
        <v>Cumin Powder - كمون مطحون</v>
      </c>
      <c r="C126" s="219" t="str">
        <f t="shared" si="22"/>
        <v>gm</v>
      </c>
      <c r="D126" s="219">
        <f t="shared" si="22"/>
        <v>20</v>
      </c>
      <c r="E126" s="197">
        <f t="shared" si="23"/>
        <v>0</v>
      </c>
      <c r="F126" s="325">
        <f t="shared" si="26"/>
        <v>0.7</v>
      </c>
      <c r="G126" s="119">
        <f t="shared" si="24"/>
        <v>0</v>
      </c>
      <c r="H126" s="120">
        <f t="shared" si="25"/>
        <v>0</v>
      </c>
    </row>
    <row r="127" spans="1:10" x14ac:dyDescent="0.3">
      <c r="A127" s="219" t="s">
        <v>97</v>
      </c>
      <c r="B127" s="219" t="str">
        <f t="shared" si="22"/>
        <v>Maggi Cubes - مكعبات ماجي</v>
      </c>
      <c r="C127" s="219" t="str">
        <f t="shared" si="22"/>
        <v>gm</v>
      </c>
      <c r="D127" s="219">
        <f t="shared" si="22"/>
        <v>20</v>
      </c>
      <c r="E127" s="197">
        <f t="shared" si="23"/>
        <v>0</v>
      </c>
      <c r="F127" s="325">
        <f t="shared" si="26"/>
        <v>0.75</v>
      </c>
      <c r="G127" s="119">
        <f t="shared" si="24"/>
        <v>0</v>
      </c>
      <c r="H127" s="120">
        <f t="shared" si="25"/>
        <v>0</v>
      </c>
    </row>
    <row r="128" spans="1:10" x14ac:dyDescent="0.3">
      <c r="A128" s="219" t="s">
        <v>97</v>
      </c>
      <c r="B128" s="219" t="str">
        <f t="shared" si="22"/>
        <v>Coriander Powder - كزبرة مطحونة</v>
      </c>
      <c r="C128" s="219" t="str">
        <f t="shared" si="22"/>
        <v>gm</v>
      </c>
      <c r="D128" s="219">
        <f t="shared" si="22"/>
        <v>20</v>
      </c>
      <c r="E128" s="197">
        <f t="shared" si="23"/>
        <v>0</v>
      </c>
      <c r="F128" s="325">
        <f t="shared" si="26"/>
        <v>0.7</v>
      </c>
      <c r="G128" s="119">
        <f t="shared" si="24"/>
        <v>0</v>
      </c>
      <c r="H128" s="120">
        <f t="shared" si="25"/>
        <v>0</v>
      </c>
    </row>
    <row r="129" spans="1:8" x14ac:dyDescent="0.3">
      <c r="A129" s="219" t="s">
        <v>196</v>
      </c>
      <c r="B129" s="219" t="str">
        <f t="shared" si="22"/>
        <v>Tomato Paste - صلصة طماطم</v>
      </c>
      <c r="C129" s="219" t="str">
        <f t="shared" si="22"/>
        <v>gm</v>
      </c>
      <c r="D129" s="219">
        <f t="shared" si="22"/>
        <v>70</v>
      </c>
      <c r="E129" s="197">
        <f t="shared" si="23"/>
        <v>0</v>
      </c>
      <c r="F129" s="325">
        <f t="shared" si="26"/>
        <v>0.6</v>
      </c>
      <c r="G129" s="119">
        <f t="shared" si="24"/>
        <v>0</v>
      </c>
      <c r="H129" s="120">
        <f t="shared" si="25"/>
        <v>0</v>
      </c>
    </row>
    <row r="130" spans="1:8" x14ac:dyDescent="0.3">
      <c r="A130" s="219" t="s">
        <v>13</v>
      </c>
      <c r="B130" s="219" t="str">
        <f t="shared" si="22"/>
        <v>Tomato - طماطم</v>
      </c>
      <c r="C130" s="219" t="str">
        <f t="shared" si="22"/>
        <v>gm</v>
      </c>
      <c r="D130" s="219">
        <f t="shared" si="22"/>
        <v>100</v>
      </c>
      <c r="E130" s="197">
        <f t="shared" si="23"/>
        <v>0</v>
      </c>
      <c r="F130" s="325">
        <f t="shared" si="26"/>
        <v>1</v>
      </c>
      <c r="G130" s="119">
        <f t="shared" si="24"/>
        <v>0</v>
      </c>
      <c r="H130" s="120">
        <f t="shared" si="25"/>
        <v>0</v>
      </c>
    </row>
    <row r="131" spans="1:8" x14ac:dyDescent="0.3">
      <c r="A131" s="219" t="s">
        <v>97</v>
      </c>
      <c r="B131" s="219" t="str">
        <f t="shared" si="22"/>
        <v>Salt - ملح</v>
      </c>
      <c r="C131" s="219" t="str">
        <f t="shared" si="22"/>
        <v>gm</v>
      </c>
      <c r="D131" s="219">
        <f t="shared" si="22"/>
        <v>10</v>
      </c>
      <c r="E131" s="197">
        <f t="shared" si="23"/>
        <v>0</v>
      </c>
      <c r="F131" s="325">
        <f t="shared" si="26"/>
        <v>0.75</v>
      </c>
      <c r="G131" s="119">
        <f t="shared" si="24"/>
        <v>0</v>
      </c>
      <c r="H131" s="120">
        <f t="shared" si="25"/>
        <v>0</v>
      </c>
    </row>
    <row r="132" spans="1:8" x14ac:dyDescent="0.3">
      <c r="A132" s="219" t="s">
        <v>13</v>
      </c>
      <c r="B132" s="219" t="str">
        <f t="shared" si="22"/>
        <v>Garlic - ثوم مقشر</v>
      </c>
      <c r="C132" s="219" t="str">
        <f t="shared" si="22"/>
        <v>gm</v>
      </c>
      <c r="D132" s="219">
        <f t="shared" si="22"/>
        <v>10</v>
      </c>
      <c r="E132" s="197">
        <f t="shared" si="23"/>
        <v>0</v>
      </c>
      <c r="F132" s="325">
        <f t="shared" si="26"/>
        <v>0.5</v>
      </c>
      <c r="G132" s="119">
        <f t="shared" si="24"/>
        <v>0</v>
      </c>
      <c r="H132" s="120">
        <f t="shared" si="25"/>
        <v>0</v>
      </c>
    </row>
    <row r="133" spans="1:8" x14ac:dyDescent="0.3">
      <c r="A133" s="219" t="s">
        <v>63</v>
      </c>
      <c r="B133" s="219" t="str">
        <f t="shared" si="22"/>
        <v>Coriander Leaves - كزبرة خضراء</v>
      </c>
      <c r="C133" s="219" t="str">
        <f t="shared" si="22"/>
        <v>gm</v>
      </c>
      <c r="D133" s="219">
        <f t="shared" si="22"/>
        <v>15</v>
      </c>
      <c r="E133" s="197">
        <f t="shared" si="23"/>
        <v>0</v>
      </c>
      <c r="F133" s="325">
        <f t="shared" si="26"/>
        <v>0.6</v>
      </c>
      <c r="G133" s="119">
        <f t="shared" si="24"/>
        <v>0</v>
      </c>
      <c r="H133" s="120">
        <f t="shared" si="25"/>
        <v>0</v>
      </c>
    </row>
    <row r="134" spans="1:8" x14ac:dyDescent="0.3">
      <c r="A134" s="219" t="s">
        <v>13</v>
      </c>
      <c r="B134" s="219" t="str">
        <f t="shared" si="22"/>
        <v>Green Bell Pepper - فلفل أخضر رومى</v>
      </c>
      <c r="C134" s="219" t="str">
        <f t="shared" si="22"/>
        <v>gm</v>
      </c>
      <c r="D134" s="219">
        <f t="shared" si="22"/>
        <v>50</v>
      </c>
      <c r="E134" s="197">
        <f t="shared" si="23"/>
        <v>0</v>
      </c>
      <c r="F134" s="325">
        <f t="shared" si="26"/>
        <v>1</v>
      </c>
      <c r="G134" s="119">
        <f t="shared" si="24"/>
        <v>0</v>
      </c>
      <c r="H134" s="120">
        <f t="shared" si="25"/>
        <v>0</v>
      </c>
    </row>
    <row r="135" spans="1:8" x14ac:dyDescent="0.3">
      <c r="A135" s="219" t="s">
        <v>57</v>
      </c>
      <c r="B135" s="219" t="str">
        <f t="shared" si="22"/>
        <v>Ginger - زنجبيل</v>
      </c>
      <c r="C135" s="219" t="str">
        <f t="shared" si="22"/>
        <v>gm</v>
      </c>
      <c r="D135" s="219">
        <f t="shared" si="22"/>
        <v>30</v>
      </c>
      <c r="E135" s="197">
        <f t="shared" si="23"/>
        <v>0</v>
      </c>
      <c r="F135" s="325">
        <f t="shared" si="26"/>
        <v>0.25</v>
      </c>
      <c r="G135" s="119">
        <f t="shared" si="24"/>
        <v>0</v>
      </c>
      <c r="H135" s="120">
        <f t="shared" si="25"/>
        <v>0</v>
      </c>
    </row>
    <row r="136" spans="1:8" x14ac:dyDescent="0.3">
      <c r="A136" s="219" t="s">
        <v>210</v>
      </c>
      <c r="B136" s="219" t="str">
        <f t="shared" si="22"/>
        <v>Water - ماء</v>
      </c>
      <c r="C136" s="219" t="str">
        <f t="shared" si="22"/>
        <v>gm</v>
      </c>
      <c r="D136" s="219">
        <f t="shared" si="22"/>
        <v>350</v>
      </c>
      <c r="E136" s="197">
        <f t="shared" si="23"/>
        <v>0</v>
      </c>
      <c r="F136" s="325">
        <f t="shared" si="26"/>
        <v>1</v>
      </c>
      <c r="G136" s="119">
        <f t="shared" si="24"/>
        <v>0</v>
      </c>
      <c r="H136" s="120">
        <f t="shared" si="25"/>
        <v>0</v>
      </c>
    </row>
    <row r="137" spans="1:8" ht="18" x14ac:dyDescent="0.3">
      <c r="A137" s="211"/>
      <c r="B137" s="198" t="s">
        <v>299</v>
      </c>
      <c r="C137" s="200" t="s">
        <v>285</v>
      </c>
      <c r="D137" s="14"/>
      <c r="E137" s="200" t="s">
        <v>300</v>
      </c>
      <c r="F137" s="14"/>
      <c r="G137" s="890" t="s">
        <v>276</v>
      </c>
      <c r="H137" s="890" t="s">
        <v>733</v>
      </c>
    </row>
    <row r="138" spans="1:8" ht="20" x14ac:dyDescent="0.4">
      <c r="A138" s="211"/>
      <c r="B138" s="199">
        <f>$J$56</f>
        <v>0</v>
      </c>
      <c r="C138" s="201">
        <f>E138+G138</f>
        <v>0</v>
      </c>
      <c r="D138" s="209"/>
      <c r="E138" s="201">
        <f>$C$56*$S$44</f>
        <v>0</v>
      </c>
      <c r="F138" s="100"/>
      <c r="G138" s="202">
        <f>$C$56*$T$44</f>
        <v>0</v>
      </c>
      <c r="H138" s="202">
        <f>B138+E138</f>
        <v>0</v>
      </c>
    </row>
  </sheetData>
  <mergeCells count="12">
    <mergeCell ref="R25:T25"/>
    <mergeCell ref="AE2:AG3"/>
    <mergeCell ref="B102:H102"/>
    <mergeCell ref="B82:H82"/>
    <mergeCell ref="B62:H62"/>
    <mergeCell ref="R26:T26"/>
    <mergeCell ref="B63:H63"/>
    <mergeCell ref="B121:H121"/>
    <mergeCell ref="B122:H122"/>
    <mergeCell ref="B103:H103"/>
    <mergeCell ref="B2:K3"/>
    <mergeCell ref="B81:H81"/>
  </mergeCells>
  <printOptions horizontalCentered="1"/>
  <pageMargins left="0.5" right="0.5" top="1" bottom="0.5" header="0.3" footer="0.511811023622047"/>
  <pageSetup paperSize="9" scale="34" orientation="portrait" r:id="rId1"/>
  <legacy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6" tint="-0.249977111117893"/>
    <pageSetUpPr fitToPage="1"/>
  </sheetPr>
  <dimension ref="A1:AG56"/>
  <sheetViews>
    <sheetView topLeftCell="N10" zoomScale="85" zoomScaleNormal="85" workbookViewId="0">
      <selection activeCell="Z24" sqref="Z24"/>
    </sheetView>
  </sheetViews>
  <sheetFormatPr defaultColWidth="12.5" defaultRowHeight="14" x14ac:dyDescent="0.3"/>
  <cols>
    <col min="1" max="1" width="12.5" style="1" customWidth="1"/>
    <col min="2" max="2" width="19.5" customWidth="1"/>
    <col min="3" max="3" width="12" customWidth="1"/>
    <col min="4" max="4" width="16.33203125" customWidth="1"/>
    <col min="5" max="6" width="16.1640625" customWidth="1"/>
    <col min="7" max="7" width="16.4140625" customWidth="1"/>
    <col min="8" max="8" width="19.25" customWidth="1"/>
    <col min="9" max="9" width="18.4140625" customWidth="1"/>
    <col min="12" max="12" width="8.33203125" customWidth="1"/>
    <col min="13" max="13" width="11" customWidth="1"/>
    <col min="14" max="14" width="8.33203125" customWidth="1"/>
    <col min="15" max="17" width="4.1640625" customWidth="1"/>
    <col min="18" max="18" width="32" customWidth="1"/>
    <col min="29" max="29" width="16.58203125" bestFit="1" customWidth="1"/>
  </cols>
  <sheetData>
    <row r="1" spans="1:33" ht="24" customHeight="1" x14ac:dyDescent="0.3">
      <c r="A1" s="80" t="s">
        <v>243</v>
      </c>
      <c r="B1" s="81">
        <v>1000</v>
      </c>
      <c r="C1" s="82" t="s">
        <v>244</v>
      </c>
      <c r="D1" s="117">
        <f>S28</f>
        <v>7409.787878787879</v>
      </c>
      <c r="E1" s="80" t="s">
        <v>245</v>
      </c>
      <c r="F1" s="121">
        <f>D1/B1</f>
        <v>7.4097878787878786</v>
      </c>
      <c r="G1" s="80" t="s">
        <v>246</v>
      </c>
      <c r="H1" s="121">
        <f>F1</f>
        <v>7.4097878787878786</v>
      </c>
      <c r="I1" s="86" t="s">
        <v>444</v>
      </c>
      <c r="J1" s="507">
        <f>U54</f>
        <v>0.81185185185185182</v>
      </c>
      <c r="K1" s="86" t="s">
        <v>445</v>
      </c>
      <c r="L1" s="508">
        <f>U52</f>
        <v>0.76419634263715108</v>
      </c>
      <c r="M1" s="86" t="s">
        <v>446</v>
      </c>
      <c r="N1" s="508">
        <f>U53</f>
        <v>0.61852861035422346</v>
      </c>
      <c r="Y1" s="91" t="s">
        <v>479</v>
      </c>
      <c r="Z1" s="847">
        <v>22280</v>
      </c>
      <c r="AA1" s="91" t="s">
        <v>600</v>
      </c>
      <c r="AB1" s="847">
        <v>500</v>
      </c>
      <c r="AC1" s="91" t="s">
        <v>587</v>
      </c>
      <c r="AD1" s="847">
        <v>151</v>
      </c>
    </row>
    <row r="2" spans="1:33" ht="12.75" customHeight="1" x14ac:dyDescent="0.3">
      <c r="A2" s="509"/>
      <c r="B2" s="1408" t="s">
        <v>447</v>
      </c>
      <c r="C2" s="1429"/>
      <c r="D2" s="1429"/>
      <c r="E2" s="1429"/>
      <c r="F2" s="1429"/>
      <c r="G2" s="1429"/>
      <c r="H2" s="1429"/>
      <c r="I2" s="491"/>
      <c r="J2" s="491"/>
      <c r="K2" s="491"/>
      <c r="L2" s="510"/>
      <c r="M2" s="214"/>
      <c r="N2" s="214"/>
      <c r="AE2" s="1396"/>
      <c r="AF2" s="1422"/>
      <c r="AG2" s="1422"/>
    </row>
    <row r="3" spans="1:33" ht="12.75" customHeight="1" x14ac:dyDescent="0.3">
      <c r="A3" s="509"/>
      <c r="B3" s="1388"/>
      <c r="C3" s="1388"/>
      <c r="D3" s="1388"/>
      <c r="E3" s="1388"/>
      <c r="F3" s="1388"/>
      <c r="G3" s="1388"/>
      <c r="H3" s="1388"/>
      <c r="I3" s="370"/>
      <c r="J3" s="370"/>
      <c r="K3" s="370"/>
      <c r="L3" s="510"/>
      <c r="M3" s="214"/>
      <c r="N3" s="214"/>
      <c r="AE3" s="1422"/>
      <c r="AF3" s="1422"/>
      <c r="AG3" s="1422"/>
    </row>
    <row r="4" spans="1:33" ht="61.25" customHeight="1" x14ac:dyDescent="0.3">
      <c r="A4" s="91" t="s">
        <v>1</v>
      </c>
      <c r="B4" s="91" t="s">
        <v>253</v>
      </c>
      <c r="C4" s="307" t="s">
        <v>329</v>
      </c>
      <c r="D4" s="91" t="s">
        <v>330</v>
      </c>
      <c r="E4" s="108" t="s">
        <v>331</v>
      </c>
      <c r="F4" s="108" t="s">
        <v>332</v>
      </c>
      <c r="G4" s="308" t="s">
        <v>333</v>
      </c>
      <c r="H4" s="109" t="s">
        <v>334</v>
      </c>
      <c r="I4" s="91" t="s">
        <v>258</v>
      </c>
      <c r="J4" s="91" t="s">
        <v>259</v>
      </c>
      <c r="K4" s="91" t="s">
        <v>260</v>
      </c>
      <c r="L4" s="91" t="s">
        <v>261</v>
      </c>
    </row>
    <row r="5" spans="1:33" ht="14.25" customHeight="1" x14ac:dyDescent="0.3">
      <c r="A5" s="219"/>
      <c r="B5" s="654"/>
      <c r="C5" s="266"/>
      <c r="D5" s="219"/>
      <c r="E5" s="219"/>
      <c r="F5" s="219"/>
      <c r="G5" s="618"/>
      <c r="H5" s="266"/>
      <c r="I5" s="219"/>
      <c r="J5" s="219"/>
      <c r="K5" s="219"/>
      <c r="L5" s="219"/>
    </row>
    <row r="6" spans="1:33" ht="14.25" customHeight="1" x14ac:dyDescent="0.3">
      <c r="A6" s="511" t="s">
        <v>13</v>
      </c>
      <c r="B6" s="286" t="s">
        <v>21</v>
      </c>
      <c r="C6" s="124" t="s">
        <v>14</v>
      </c>
      <c r="D6" s="116">
        <f>V52</f>
        <v>523.42569269521414</v>
      </c>
      <c r="E6" s="197">
        <f>$H$1</f>
        <v>7.4097878787878786</v>
      </c>
      <c r="F6" s="127">
        <v>1</v>
      </c>
      <c r="G6" s="119">
        <f>D6*E6</f>
        <v>3878.4733531791467</v>
      </c>
      <c r="H6" s="120">
        <f>G6*F6</f>
        <v>3878.4733531791467</v>
      </c>
      <c r="I6" s="219">
        <f>VLOOKUP(B6,All_Ingredients!$A$1:$F$151,6,FALSE())</f>
        <v>0.9</v>
      </c>
      <c r="J6" s="219">
        <f>VLOOKUP(B6,All_Ingredients!$A$1:$J$151,10,FALSE())</f>
        <v>2.2999999999999998</v>
      </c>
      <c r="K6" s="512">
        <f>(H6/I6)/1000</f>
        <v>4.3094148368657192</v>
      </c>
      <c r="L6" s="512">
        <f>K6*J6</f>
        <v>9.9116541247911538</v>
      </c>
    </row>
    <row r="7" spans="1:33" ht="14.25" customHeight="1" x14ac:dyDescent="0.3">
      <c r="A7" s="513" t="s">
        <v>13</v>
      </c>
      <c r="B7" s="286" t="s">
        <v>19</v>
      </c>
      <c r="C7" s="124" t="s">
        <v>14</v>
      </c>
      <c r="D7" s="116">
        <f>V53</f>
        <v>323.34801762114535</v>
      </c>
      <c r="E7" s="197">
        <f>$H$1</f>
        <v>7.4097878787878786</v>
      </c>
      <c r="F7" s="127">
        <v>1</v>
      </c>
      <c r="G7" s="119">
        <f>D7*E7</f>
        <v>2395.9402215992523</v>
      </c>
      <c r="H7" s="120">
        <f>G7*F7</f>
        <v>2395.9402215992523</v>
      </c>
      <c r="I7" s="219">
        <f>VLOOKUP(B7,All_Ingredients!$A$1:$F$151,6,FALSE())</f>
        <v>0.84</v>
      </c>
      <c r="J7" s="219">
        <f>VLOOKUP(B7,All_Ingredients!$A$1:$J$151,10,FALSE())</f>
        <v>2.6</v>
      </c>
      <c r="K7" s="512">
        <f>(H7/I7)/1000</f>
        <v>2.8523097876181578</v>
      </c>
      <c r="L7" s="512">
        <f>K7*J7</f>
        <v>7.4160054478072102</v>
      </c>
    </row>
    <row r="8" spans="1:33" ht="14.25" customHeight="1" x14ac:dyDescent="0.3">
      <c r="A8" s="513" t="s">
        <v>13</v>
      </c>
      <c r="B8" s="286" t="s">
        <v>47</v>
      </c>
      <c r="C8" s="124" t="s">
        <v>14</v>
      </c>
      <c r="D8" s="116">
        <f>V54</f>
        <v>492.70072992700733</v>
      </c>
      <c r="E8" s="197">
        <f>$H$1</f>
        <v>7.4097878787878786</v>
      </c>
      <c r="F8" s="127">
        <v>1</v>
      </c>
      <c r="G8" s="119">
        <f>D8*E8</f>
        <v>3650.8078964830793</v>
      </c>
      <c r="H8" s="120">
        <f>G8*F8</f>
        <v>3650.8078964830793</v>
      </c>
      <c r="I8" s="219">
        <f>VLOOKUP(B8,All_Ingredients!$A$1:$F$151,6,FALSE())</f>
        <v>0.78</v>
      </c>
      <c r="J8" s="219">
        <f>VLOOKUP(B8,All_Ingredients!$A$1:$J$151,10,FALSE())</f>
        <v>3.7</v>
      </c>
      <c r="K8" s="512">
        <f>(H8/I8)/1000</f>
        <v>4.6805229442090761</v>
      </c>
      <c r="L8" s="512">
        <f>K8*J8</f>
        <v>17.317934893573582</v>
      </c>
    </row>
    <row r="9" spans="1:33" x14ac:dyDescent="0.3">
      <c r="A9" s="513" t="s">
        <v>97</v>
      </c>
      <c r="B9" s="286" t="s">
        <v>96</v>
      </c>
      <c r="C9" s="124" t="s">
        <v>14</v>
      </c>
      <c r="D9" s="125">
        <v>25</v>
      </c>
      <c r="E9" s="197">
        <f>$H$1</f>
        <v>7.4097878787878786</v>
      </c>
      <c r="F9" s="127">
        <v>0.5</v>
      </c>
      <c r="G9" s="119">
        <f>D9*E9</f>
        <v>185.24469696969697</v>
      </c>
      <c r="H9" s="120">
        <f>G9*F9</f>
        <v>92.622348484848487</v>
      </c>
      <c r="I9" s="219">
        <f>VLOOKUP(B9,All_Ingredients!$A$1:$F$151,6,FALSE())</f>
        <v>1</v>
      </c>
      <c r="J9" s="219">
        <f>VLOOKUP(B9,All_Ingredients!$A$1:$J$151,10,FALSE())</f>
        <v>0.74</v>
      </c>
      <c r="K9" s="512">
        <f>(H9/I9)/1000</f>
        <v>9.2622348484848488E-2</v>
      </c>
      <c r="L9" s="512">
        <f>K9*J9</f>
        <v>6.8540537878787874E-2</v>
      </c>
    </row>
    <row r="21" spans="18:31" ht="14.25" customHeight="1" x14ac:dyDescent="0.3"/>
    <row r="22" spans="18:31" ht="14.25" customHeight="1" x14ac:dyDescent="0.3"/>
    <row r="23" spans="18:31" ht="14.25" customHeight="1" x14ac:dyDescent="0.3"/>
    <row r="24" spans="18:31" ht="14.25" customHeight="1" x14ac:dyDescent="0.3">
      <c r="Z24" s="1294"/>
    </row>
    <row r="25" spans="18:31" ht="14.25" customHeight="1" x14ac:dyDescent="0.35">
      <c r="R25" s="1411" t="s">
        <v>453</v>
      </c>
      <c r="S25" s="1388"/>
      <c r="T25" s="1388"/>
      <c r="U25" s="1388"/>
      <c r="Z25" s="141" t="s">
        <v>264</v>
      </c>
      <c r="AA25" s="142">
        <v>7643.5910000000003</v>
      </c>
      <c r="AB25" s="141" t="s">
        <v>261</v>
      </c>
      <c r="AC25" s="1237">
        <f>(S35/S32)*AA25</f>
        <v>33.545861653423863</v>
      </c>
    </row>
    <row r="26" spans="18:31" ht="14.25" customHeight="1" x14ac:dyDescent="0.3">
      <c r="R26" s="1409" t="s">
        <v>439</v>
      </c>
      <c r="S26" s="1410"/>
      <c r="T26" s="1410"/>
      <c r="U26" s="1410"/>
      <c r="AC26" s="14"/>
      <c r="AD26" s="14"/>
    </row>
    <row r="27" spans="18:31" ht="14.25" customHeight="1" thickBot="1" x14ac:dyDescent="0.35">
      <c r="R27" s="145"/>
      <c r="S27" s="146" t="s">
        <v>454</v>
      </c>
      <c r="T27" s="146" t="s">
        <v>268</v>
      </c>
      <c r="U27" s="146" t="s">
        <v>269</v>
      </c>
      <c r="V27" s="492"/>
      <c r="Z27" s="14"/>
      <c r="AA27" s="14"/>
      <c r="AB27" s="14"/>
      <c r="AC27" s="14"/>
      <c r="AD27" s="14"/>
      <c r="AE27" s="14"/>
    </row>
    <row r="28" spans="18:31" ht="14.25" customHeight="1" thickBot="1" x14ac:dyDescent="0.35">
      <c r="R28" s="148" t="s">
        <v>337</v>
      </c>
      <c r="S28" s="1222">
        <f>U28*AVERAGE(Z55:AC55)</f>
        <v>7409.787878787879</v>
      </c>
      <c r="T28" s="149"/>
      <c r="U28" s="1323">
        <f>$Z$1</f>
        <v>22280</v>
      </c>
      <c r="V28" s="13"/>
      <c r="Z28" s="14"/>
      <c r="AA28" s="14"/>
      <c r="AB28" s="14"/>
      <c r="AC28" s="14"/>
      <c r="AD28" s="14"/>
      <c r="AE28" s="14"/>
    </row>
    <row r="29" spans="18:31" ht="14.25" customHeight="1" thickBot="1" x14ac:dyDescent="0.35">
      <c r="R29" s="148"/>
      <c r="S29" s="155"/>
      <c r="T29" s="149"/>
      <c r="U29" s="149">
        <f>T29</f>
        <v>0</v>
      </c>
      <c r="V29" s="492"/>
      <c r="Z29" s="14"/>
      <c r="AA29" s="14"/>
      <c r="AB29" s="14"/>
      <c r="AC29" s="14"/>
      <c r="AD29" s="14"/>
      <c r="AE29" s="14"/>
    </row>
    <row r="30" spans="18:31" ht="14.25" customHeight="1" thickBot="1" x14ac:dyDescent="0.35">
      <c r="R30" s="427" t="s">
        <v>338</v>
      </c>
      <c r="S30" s="1236">
        <f>$AB$1</f>
        <v>500</v>
      </c>
      <c r="T30" s="149"/>
      <c r="U30" s="155">
        <v>1000</v>
      </c>
      <c r="Z30" s="14"/>
      <c r="AA30" s="14"/>
      <c r="AB30" s="14"/>
      <c r="AC30" s="14"/>
      <c r="AD30" s="14"/>
      <c r="AE30" s="14"/>
    </row>
    <row r="31" spans="18:31" ht="14.25" customHeight="1" thickBot="1" x14ac:dyDescent="0.35">
      <c r="R31" s="148" t="s">
        <v>455</v>
      </c>
      <c r="S31" s="155"/>
      <c r="T31" s="149"/>
      <c r="U31" s="149">
        <f>T31</f>
        <v>0</v>
      </c>
      <c r="Z31" s="14"/>
      <c r="AA31" s="14"/>
      <c r="AB31" s="14"/>
      <c r="AC31" s="14"/>
      <c r="AD31" s="14"/>
      <c r="AE31" s="14"/>
    </row>
    <row r="32" spans="18:31" ht="14.25" customHeight="1" x14ac:dyDescent="0.3">
      <c r="R32" s="428" t="s">
        <v>339</v>
      </c>
      <c r="S32" s="149">
        <f>S28+S30</f>
        <v>7909.787878787879</v>
      </c>
      <c r="T32" s="149"/>
      <c r="U32" s="149">
        <f>U28+U30</f>
        <v>23280</v>
      </c>
    </row>
    <row r="33" spans="17:25" ht="14.25" customHeight="1" x14ac:dyDescent="0.3">
      <c r="R33" s="161" t="s">
        <v>280</v>
      </c>
      <c r="S33" s="155"/>
      <c r="T33" s="155"/>
      <c r="U33" s="155"/>
    </row>
    <row r="34" spans="17:25" ht="14.25" customHeight="1" x14ac:dyDescent="0.3">
      <c r="R34" s="162" t="s">
        <v>281</v>
      </c>
      <c r="S34" s="155"/>
      <c r="T34" s="149"/>
      <c r="U34" s="155"/>
    </row>
    <row r="35" spans="17:25" ht="14.25" customHeight="1" x14ac:dyDescent="0.3">
      <c r="R35" s="163" t="s">
        <v>261</v>
      </c>
      <c r="S35" s="1144">
        <f>SUM(L6:L9)</f>
        <v>34.714135004050732</v>
      </c>
      <c r="T35" s="1144"/>
      <c r="U35" s="1240">
        <f>S35+T35</f>
        <v>34.714135004050732</v>
      </c>
      <c r="V35" s="529"/>
    </row>
    <row r="40" spans="17:25" ht="14.25" customHeight="1" x14ac:dyDescent="0.3">
      <c r="Q40" s="14"/>
      <c r="R40" s="390"/>
      <c r="S40" s="501"/>
      <c r="T40" s="390"/>
      <c r="U40" s="501"/>
      <c r="V40" s="501"/>
      <c r="W40" s="391"/>
      <c r="X40" s="14"/>
      <c r="Y40" s="14"/>
    </row>
    <row r="41" spans="17:25" ht="14.25" customHeight="1" x14ac:dyDescent="0.3">
      <c r="Q41" s="14"/>
      <c r="R41" s="14"/>
      <c r="S41" s="14"/>
      <c r="T41" s="14"/>
      <c r="U41" s="169"/>
      <c r="V41" s="169"/>
      <c r="W41" s="14"/>
      <c r="X41" s="14"/>
      <c r="Y41" s="14"/>
    </row>
    <row r="42" spans="17:25" ht="14.25" customHeight="1" x14ac:dyDescent="0.3">
      <c r="Q42" s="14"/>
      <c r="R42" s="14"/>
      <c r="S42" s="14"/>
      <c r="T42" s="14"/>
      <c r="U42" s="14"/>
      <c r="V42" s="14"/>
      <c r="W42" s="14"/>
      <c r="X42" s="14"/>
      <c r="Y42" s="14"/>
    </row>
    <row r="43" spans="17:25" ht="14.25" customHeight="1" x14ac:dyDescent="0.3">
      <c r="Q43" s="321"/>
      <c r="R43" s="321"/>
      <c r="S43" s="321"/>
      <c r="T43" s="321"/>
      <c r="U43" s="321"/>
      <c r="V43" s="321"/>
      <c r="W43" s="321"/>
      <c r="X43" s="321"/>
      <c r="Y43" s="321"/>
    </row>
    <row r="44" spans="17:25" ht="14.25" customHeight="1" x14ac:dyDescent="0.3">
      <c r="Q44" s="14"/>
      <c r="R44" s="389"/>
      <c r="S44" s="392"/>
      <c r="T44" s="392"/>
      <c r="U44" s="393"/>
      <c r="V44" s="393"/>
      <c r="W44" s="298"/>
      <c r="X44" s="298"/>
      <c r="Y44" s="298"/>
    </row>
    <row r="50" spans="4:29" ht="14.5" thickBot="1" x14ac:dyDescent="0.35">
      <c r="R50" s="1"/>
      <c r="Z50">
        <v>90</v>
      </c>
      <c r="AA50">
        <v>110</v>
      </c>
      <c r="AB50">
        <v>150</v>
      </c>
      <c r="AC50">
        <v>200</v>
      </c>
    </row>
    <row r="51" spans="4:29" ht="28" x14ac:dyDescent="0.3">
      <c r="R51" s="133" t="s">
        <v>448</v>
      </c>
      <c r="S51" s="133" t="s">
        <v>449</v>
      </c>
      <c r="T51" s="133" t="s">
        <v>450</v>
      </c>
      <c r="U51" s="133"/>
      <c r="V51" s="133" t="s">
        <v>451</v>
      </c>
      <c r="W51" s="133"/>
      <c r="X51" s="133"/>
      <c r="Y51" s="514" t="s">
        <v>452</v>
      </c>
      <c r="Z51" s="515">
        <v>30</v>
      </c>
      <c r="AA51" s="516">
        <v>40</v>
      </c>
      <c r="AB51" s="517">
        <v>50</v>
      </c>
      <c r="AC51" s="518">
        <v>60</v>
      </c>
    </row>
    <row r="52" spans="4:29" x14ac:dyDescent="0.3">
      <c r="R52" t="s">
        <v>21</v>
      </c>
      <c r="S52">
        <v>20780</v>
      </c>
      <c r="T52">
        <v>15880</v>
      </c>
      <c r="U52" s="502">
        <f>T52/S52</f>
        <v>0.76419634263715108</v>
      </c>
      <c r="V52">
        <f>400/U52</f>
        <v>523.42569269521414</v>
      </c>
      <c r="W52">
        <f>V52*U52</f>
        <v>400</v>
      </c>
      <c r="X52" s="502">
        <f>W52/$X$56</f>
        <v>0.4</v>
      </c>
      <c r="Y52" s="519" t="s">
        <v>21</v>
      </c>
      <c r="Z52" s="520">
        <f>X52*$Z$51</f>
        <v>12</v>
      </c>
      <c r="AA52" s="521">
        <f>X52*$AA$51</f>
        <v>16</v>
      </c>
      <c r="AB52" s="522">
        <f>X52*$AB$51</f>
        <v>20</v>
      </c>
      <c r="AC52" s="523">
        <f>X52*$AC$51</f>
        <v>24</v>
      </c>
    </row>
    <row r="53" spans="4:29" x14ac:dyDescent="0.3">
      <c r="D53" s="492"/>
      <c r="R53" t="s">
        <v>19</v>
      </c>
      <c r="S53">
        <v>3670</v>
      </c>
      <c r="T53">
        <v>2270</v>
      </c>
      <c r="U53" s="502">
        <f>T53/S53</f>
        <v>0.61852861035422346</v>
      </c>
      <c r="V53">
        <f>200/U53</f>
        <v>323.34801762114535</v>
      </c>
      <c r="W53">
        <f>V53*U53</f>
        <v>200</v>
      </c>
      <c r="X53" s="502">
        <f>W53/$X$56</f>
        <v>0.2</v>
      </c>
      <c r="Y53" s="519" t="s">
        <v>19</v>
      </c>
      <c r="Z53" s="520">
        <f>X53*$Z$51</f>
        <v>6</v>
      </c>
      <c r="AA53" s="521">
        <f>X53*$AA$51</f>
        <v>8</v>
      </c>
      <c r="AB53" s="522">
        <f>X53*$AB$51</f>
        <v>10</v>
      </c>
      <c r="AC53" s="523">
        <f>X53*$AC$51</f>
        <v>12</v>
      </c>
    </row>
    <row r="54" spans="4:29" ht="14.5" thickBot="1" x14ac:dyDescent="0.35">
      <c r="D54" s="492"/>
      <c r="R54" t="s">
        <v>47</v>
      </c>
      <c r="S54">
        <v>6750</v>
      </c>
      <c r="T54">
        <v>5480</v>
      </c>
      <c r="U54" s="502">
        <f>T54/S54</f>
        <v>0.81185185185185182</v>
      </c>
      <c r="V54">
        <f>400/U54</f>
        <v>492.70072992700733</v>
      </c>
      <c r="W54">
        <f>V54*U54</f>
        <v>400</v>
      </c>
      <c r="X54" s="502">
        <f>W54/$X$56</f>
        <v>0.4</v>
      </c>
      <c r="Y54" s="524" t="s">
        <v>47</v>
      </c>
      <c r="Z54" s="525">
        <f>X54*$Z$51</f>
        <v>12</v>
      </c>
      <c r="AA54" s="526">
        <f>X54*$AA$51</f>
        <v>16</v>
      </c>
      <c r="AB54" s="527">
        <f>X54*$AB$51</f>
        <v>20</v>
      </c>
      <c r="AC54" s="528">
        <f>X54*$AC$51</f>
        <v>24</v>
      </c>
    </row>
    <row r="55" spans="4:29" x14ac:dyDescent="0.3">
      <c r="D55" s="492"/>
      <c r="R55" s="1"/>
      <c r="Z55" s="4">
        <f>Z51/Z50</f>
        <v>0.33333333333333331</v>
      </c>
      <c r="AA55" s="4">
        <f>AA51/AA50</f>
        <v>0.36363636363636365</v>
      </c>
      <c r="AB55" s="4">
        <f>AB51/AB50</f>
        <v>0.33333333333333331</v>
      </c>
      <c r="AC55" s="4">
        <f>AC51/AC50</f>
        <v>0.3</v>
      </c>
    </row>
    <row r="56" spans="4:29" x14ac:dyDescent="0.3">
      <c r="R56" s="1"/>
      <c r="X56">
        <f>SUM(W52:W54)</f>
        <v>1000</v>
      </c>
    </row>
  </sheetData>
  <mergeCells count="4">
    <mergeCell ref="AE2:AG3"/>
    <mergeCell ref="R25:U25"/>
    <mergeCell ref="R26:U26"/>
    <mergeCell ref="B2:H3"/>
  </mergeCells>
  <printOptions horizontalCentered="1"/>
  <pageMargins left="0.4" right="0.4" top="1" bottom="0.5" header="0.3" footer="0.511811023622047"/>
  <pageSetup paperSize="9" scale="29" orientation="landscape" r:id="rId1"/>
  <legacyDrawing r:id="rId2"/>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rgb="FF7C7C7C"/>
    <pageSetUpPr fitToPage="1"/>
  </sheetPr>
  <dimension ref="A1:AT72"/>
  <sheetViews>
    <sheetView topLeftCell="B11" zoomScaleNormal="100" workbookViewId="0">
      <selection activeCell="I36" sqref="I36:L37"/>
    </sheetView>
  </sheetViews>
  <sheetFormatPr defaultColWidth="12.5" defaultRowHeight="12.5" x14ac:dyDescent="0.25"/>
  <cols>
    <col min="1" max="1" width="12.5" style="14" customWidth="1"/>
    <col min="2" max="2" width="37.832031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4.5" style="14" customWidth="1"/>
    <col min="15" max="15" width="16.58203125" style="14" customWidth="1"/>
    <col min="16" max="17" width="12.5" style="14" customWidth="1"/>
    <col min="18" max="18" width="30.5" style="14" customWidth="1"/>
    <col min="19" max="19" width="12.5" style="14" customWidth="1"/>
    <col min="20" max="23" width="12.5" style="14"/>
    <col min="24" max="24" width="7.1640625" style="14" bestFit="1" customWidth="1"/>
    <col min="25" max="25" width="12" style="14" customWidth="1"/>
    <col min="26" max="26" width="9.33203125" style="14" bestFit="1" customWidth="1"/>
    <col min="27" max="27" width="11" style="14" bestFit="1" customWidth="1"/>
    <col min="28" max="28" width="11.75" style="14" bestFit="1" customWidth="1"/>
    <col min="29" max="29" width="13.25" style="14" bestFit="1" customWidth="1"/>
    <col min="30" max="30" width="12.5" style="14" bestFit="1" customWidth="1"/>
    <col min="31" max="31" width="11" style="14" customWidth="1"/>
    <col min="32" max="32" width="6.75" style="14" customWidth="1"/>
    <col min="33" max="34" width="5.08203125" style="14" customWidth="1"/>
    <col min="35" max="35" width="12.5" style="14"/>
    <col min="36" max="36" width="31.1640625" style="14" customWidth="1"/>
    <col min="37" max="37" width="12.5" style="14"/>
    <col min="38" max="38" width="15.9140625" style="14" customWidth="1"/>
    <col min="39" max="16384" width="12.5" style="14"/>
  </cols>
  <sheetData>
    <row r="1" spans="1:46" ht="28.5" customHeight="1" x14ac:dyDescent="0.3">
      <c r="B1" s="80" t="s">
        <v>243</v>
      </c>
      <c r="C1" s="81">
        <v>1000</v>
      </c>
      <c r="D1" s="82" t="s">
        <v>244</v>
      </c>
      <c r="E1" s="117">
        <f>T32</f>
        <v>4993.8461538461588</v>
      </c>
      <c r="F1" s="80" t="s">
        <v>245</v>
      </c>
      <c r="G1" s="117">
        <f>E1/C1</f>
        <v>4.9938461538461585</v>
      </c>
      <c r="H1" s="80" t="s">
        <v>246</v>
      </c>
      <c r="I1" s="117">
        <f>G1/K1</f>
        <v>4.9938461538461585</v>
      </c>
      <c r="J1" s="326" t="s">
        <v>247</v>
      </c>
      <c r="K1" s="327">
        <v>1</v>
      </c>
      <c r="L1" s="100"/>
      <c r="M1" s="89"/>
      <c r="N1" s="90"/>
      <c r="O1" s="91" t="s">
        <v>248</v>
      </c>
      <c r="P1" s="465"/>
      <c r="Q1" s="93" t="s">
        <v>250</v>
      </c>
      <c r="R1" s="92">
        <v>0.59</v>
      </c>
      <c r="S1" s="93" t="s">
        <v>345</v>
      </c>
      <c r="T1" s="328">
        <v>140</v>
      </c>
      <c r="U1" s="100"/>
      <c r="V1" s="100"/>
      <c r="Y1" s="91" t="s">
        <v>479</v>
      </c>
      <c r="Z1" s="847">
        <v>151</v>
      </c>
      <c r="AA1" s="91" t="s">
        <v>600</v>
      </c>
      <c r="AB1" s="847">
        <v>5</v>
      </c>
      <c r="AC1" s="91" t="s">
        <v>587</v>
      </c>
      <c r="AD1" s="847">
        <v>151</v>
      </c>
      <c r="AE1" s="91" t="s">
        <v>578</v>
      </c>
      <c r="AF1" s="847">
        <f>Z1+AB1</f>
        <v>156</v>
      </c>
      <c r="AJ1" s="94" t="s">
        <v>262</v>
      </c>
      <c r="AK1" s="94">
        <v>10000</v>
      </c>
      <c r="AL1" s="628" t="s">
        <v>520</v>
      </c>
      <c r="AM1" s="629">
        <f>$S$32</f>
        <v>16646.15384615384</v>
      </c>
      <c r="AN1" s="94" t="s">
        <v>251</v>
      </c>
      <c r="AO1" s="329">
        <f>((AD1*T1)/$R$1)/$AK$1</f>
        <v>3.5830508474576273</v>
      </c>
      <c r="AP1" s="95"/>
    </row>
    <row r="2" spans="1:46" ht="12.75" customHeight="1" x14ac:dyDescent="0.25">
      <c r="A2" s="330"/>
      <c r="B2" s="1387" t="s">
        <v>121</v>
      </c>
      <c r="C2" s="1389"/>
      <c r="D2" s="1389"/>
      <c r="E2" s="1389"/>
      <c r="F2" s="1389"/>
      <c r="G2" s="1389"/>
      <c r="H2" s="1389"/>
      <c r="I2" s="1389"/>
      <c r="J2" s="1389"/>
      <c r="K2" s="1389"/>
      <c r="L2" s="293"/>
      <c r="M2" s="100"/>
      <c r="N2" s="100"/>
      <c r="O2" s="100"/>
      <c r="P2" s="100"/>
      <c r="Q2" s="100"/>
      <c r="R2" s="100"/>
      <c r="AC2" s="99"/>
      <c r="AD2" s="99"/>
      <c r="AE2" s="1391"/>
      <c r="AF2" s="1389"/>
      <c r="AG2" s="1389"/>
      <c r="AJ2" s="101"/>
      <c r="AK2" s="1386" t="s">
        <v>457</v>
      </c>
      <c r="AL2" s="1386"/>
      <c r="AM2" s="1386"/>
      <c r="AN2" s="1386"/>
      <c r="AO2" s="101"/>
      <c r="AP2" s="101"/>
    </row>
    <row r="3" spans="1:46" ht="12.75" customHeight="1" x14ac:dyDescent="0.25">
      <c r="A3" s="330"/>
      <c r="B3" s="1388"/>
      <c r="C3" s="1388"/>
      <c r="D3" s="1388"/>
      <c r="E3" s="1388"/>
      <c r="F3" s="1388"/>
      <c r="G3" s="1388"/>
      <c r="H3" s="1388"/>
      <c r="I3" s="1388"/>
      <c r="J3" s="1388"/>
      <c r="K3" s="1388"/>
      <c r="L3" s="293"/>
      <c r="M3" s="100"/>
      <c r="N3" s="100"/>
      <c r="O3" s="100"/>
      <c r="P3" s="100"/>
      <c r="Q3" s="100"/>
      <c r="R3" s="100"/>
      <c r="AC3" s="99"/>
      <c r="AD3" s="99"/>
      <c r="AE3" s="1389"/>
      <c r="AF3" s="1389"/>
      <c r="AG3" s="1389"/>
      <c r="AJ3" s="101"/>
      <c r="AK3" s="101"/>
      <c r="AL3" s="101"/>
      <c r="AM3" s="101"/>
      <c r="AN3" s="1389"/>
      <c r="AO3" s="101"/>
      <c r="AP3" s="101"/>
    </row>
    <row r="4" spans="1:46" ht="68.75" customHeight="1" x14ac:dyDescent="0.25">
      <c r="A4" s="91" t="s">
        <v>1</v>
      </c>
      <c r="B4" s="91" t="s">
        <v>253</v>
      </c>
      <c r="C4" s="107" t="s">
        <v>254</v>
      </c>
      <c r="D4" s="91" t="s">
        <v>243</v>
      </c>
      <c r="E4" s="218" t="s">
        <v>246</v>
      </c>
      <c r="F4" s="108" t="s">
        <v>255</v>
      </c>
      <c r="G4" s="91" t="s">
        <v>256</v>
      </c>
      <c r="H4" s="107" t="s">
        <v>347</v>
      </c>
      <c r="I4" s="91" t="s">
        <v>258</v>
      </c>
      <c r="J4" s="91" t="s">
        <v>259</v>
      </c>
      <c r="K4" s="91" t="s">
        <v>260</v>
      </c>
      <c r="L4" s="91" t="s">
        <v>261</v>
      </c>
      <c r="M4" s="371"/>
      <c r="N4" s="371"/>
      <c r="O4" s="100"/>
      <c r="P4" s="100"/>
      <c r="Q4" s="100"/>
      <c r="R4" s="100"/>
      <c r="AC4" s="251"/>
      <c r="AD4" s="253"/>
      <c r="AE4" s="251"/>
      <c r="AF4" s="251"/>
      <c r="AG4" s="251"/>
      <c r="AJ4" s="94" t="s">
        <v>253</v>
      </c>
      <c r="AK4" s="530" t="s">
        <v>254</v>
      </c>
      <c r="AL4" s="94" t="s">
        <v>262</v>
      </c>
      <c r="AM4" s="94" t="s">
        <v>246</v>
      </c>
      <c r="AN4" s="94" t="s">
        <v>255</v>
      </c>
      <c r="AO4" s="94" t="s">
        <v>256</v>
      </c>
      <c r="AP4" s="94" t="s">
        <v>347</v>
      </c>
      <c r="AQ4" s="91" t="s">
        <v>258</v>
      </c>
      <c r="AR4" s="91" t="s">
        <v>259</v>
      </c>
      <c r="AS4" s="91" t="s">
        <v>260</v>
      </c>
      <c r="AT4" s="91" t="s">
        <v>261</v>
      </c>
    </row>
    <row r="5" spans="1:46" ht="13.25" customHeight="1" x14ac:dyDescent="0.3">
      <c r="A5" s="266" t="s">
        <v>230</v>
      </c>
      <c r="B5" s="494" t="s">
        <v>229</v>
      </c>
      <c r="C5" s="124" t="s">
        <v>14</v>
      </c>
      <c r="D5" s="268">
        <f>I51/10</f>
        <v>5649.8305084745762</v>
      </c>
      <c r="E5" s="531">
        <f>H52</f>
        <v>4.9937462789205744</v>
      </c>
      <c r="F5" s="127">
        <v>1</v>
      </c>
      <c r="G5" s="119">
        <f t="shared" ref="G5:G10" si="0">D5*E5</f>
        <v>28213.82007822685</v>
      </c>
      <c r="H5" s="120">
        <f t="shared" ref="H5:H10" si="1">G5*F5</f>
        <v>28213.82007822685</v>
      </c>
      <c r="I5" s="81">
        <f>VLOOKUP(B5,All_Ingredients!$A$1:$F$151,6,FALSE())</f>
        <v>0.86</v>
      </c>
      <c r="J5" s="119">
        <f>VLOOKUP(B5,All_Ingredients!$A$1:$J$151,10,FALSE())</f>
        <v>17.100000000000001</v>
      </c>
      <c r="K5" s="122">
        <f t="shared" ref="K5" si="2">(H5/I5)/1000</f>
        <v>32.806767532821922</v>
      </c>
      <c r="L5" s="122">
        <f t="shared" ref="L5" si="3">K5*J5</f>
        <v>560.99572481125495</v>
      </c>
      <c r="M5" s="131"/>
      <c r="N5" s="131"/>
      <c r="O5" s="100"/>
      <c r="P5" s="100"/>
      <c r="Q5" s="100"/>
      <c r="R5" s="100"/>
      <c r="AC5" s="92"/>
      <c r="AD5" s="133"/>
      <c r="AE5" s="254"/>
      <c r="AF5" s="135"/>
      <c r="AG5" s="136"/>
      <c r="AJ5" s="294" t="s">
        <v>229</v>
      </c>
      <c r="AK5" s="124" t="s">
        <v>238</v>
      </c>
      <c r="AL5" s="116">
        <v>10</v>
      </c>
      <c r="AM5" s="197">
        <f t="shared" ref="AM5:AM12" si="4">$AO$1</f>
        <v>3.5830508474576273</v>
      </c>
      <c r="AN5" s="299">
        <v>1</v>
      </c>
      <c r="AO5" s="119">
        <f t="shared" ref="AO5:AO12" si="5">AL5*AM5</f>
        <v>35.83050847457627</v>
      </c>
      <c r="AP5" s="207">
        <f t="shared" ref="AP5:AP12" si="6">AO5*AN5</f>
        <v>35.83050847457627</v>
      </c>
      <c r="AQ5" s="295"/>
      <c r="AR5" s="1171"/>
      <c r="AS5" s="175"/>
      <c r="AT5" s="1172"/>
    </row>
    <row r="6" spans="1:46" ht="14.25" customHeight="1" x14ac:dyDescent="0.3">
      <c r="A6" s="295" t="s">
        <v>196</v>
      </c>
      <c r="B6" s="222" t="s">
        <v>195</v>
      </c>
      <c r="C6" s="334" t="s">
        <v>165</v>
      </c>
      <c r="D6" s="116">
        <v>500</v>
      </c>
      <c r="E6" s="116">
        <f>$I$1</f>
        <v>4.9938461538461585</v>
      </c>
      <c r="F6" s="127">
        <v>1</v>
      </c>
      <c r="G6" s="119">
        <f t="shared" si="0"/>
        <v>2496.9230769230794</v>
      </c>
      <c r="H6" s="120">
        <f t="shared" si="1"/>
        <v>2496.9230769230794</v>
      </c>
      <c r="I6" s="81">
        <f>VLOOKUP(B6,All_Ingredients!$A$1:$F$151,6,FALSE())</f>
        <v>1</v>
      </c>
      <c r="J6" s="119">
        <f>VLOOKUP(B6,All_Ingredients!$A$1:$J$151,10,FALSE())</f>
        <v>17.480211081794195</v>
      </c>
      <c r="K6" s="122">
        <f t="shared" ref="K6:K10" si="7">(H6/I6)/1000</f>
        <v>2.4969230769230792</v>
      </c>
      <c r="L6" s="122">
        <f t="shared" ref="L6:L10" si="8">K6*J6</f>
        <v>43.646742439618471</v>
      </c>
      <c r="M6" s="131"/>
      <c r="N6" s="131"/>
      <c r="AI6" s="14" t="s">
        <v>57</v>
      </c>
      <c r="AJ6" s="294" t="s">
        <v>56</v>
      </c>
      <c r="AK6" s="334" t="s">
        <v>14</v>
      </c>
      <c r="AL6" s="116">
        <v>150</v>
      </c>
      <c r="AM6" s="197">
        <f t="shared" si="4"/>
        <v>3.5830508474576273</v>
      </c>
      <c r="AN6" s="299">
        <v>1</v>
      </c>
      <c r="AO6" s="119">
        <f t="shared" si="5"/>
        <v>537.45762711864404</v>
      </c>
      <c r="AP6" s="207">
        <f t="shared" si="6"/>
        <v>537.45762711864404</v>
      </c>
      <c r="AQ6" s="1172">
        <f>VLOOKUP(AJ6,Marination_Ordering!$A:$J,6,FALSE)</f>
        <v>0.87</v>
      </c>
      <c r="AR6" s="1172">
        <f>VLOOKUP(AJ6,Marination_Ordering!$A:$J,10,FALSE)</f>
        <v>3.2</v>
      </c>
      <c r="AS6" s="175">
        <f>AP6/AQ6</f>
        <v>617.7673874926943</v>
      </c>
      <c r="AT6" s="1172">
        <f>AR6*(AS6/1000)</f>
        <v>1.9768556399766219</v>
      </c>
    </row>
    <row r="7" spans="1:46" ht="14.25" customHeight="1" x14ac:dyDescent="0.3">
      <c r="A7" s="295" t="s">
        <v>97</v>
      </c>
      <c r="B7" s="222" t="s">
        <v>154</v>
      </c>
      <c r="C7" s="124" t="s">
        <v>14</v>
      </c>
      <c r="D7" s="116">
        <v>50</v>
      </c>
      <c r="E7" s="116">
        <f>$I$1</f>
        <v>4.9938461538461585</v>
      </c>
      <c r="F7" s="127">
        <v>1</v>
      </c>
      <c r="G7" s="119">
        <f t="shared" si="0"/>
        <v>249.69230769230793</v>
      </c>
      <c r="H7" s="120">
        <f t="shared" si="1"/>
        <v>249.69230769230793</v>
      </c>
      <c r="I7" s="81">
        <f>VLOOKUP(B7,All_Ingredients!$A$1:$F$151,6,FALSE())</f>
        <v>1</v>
      </c>
      <c r="J7" s="119">
        <f>VLOOKUP(B7,All_Ingredients!$A$1:$J$151,10,FALSE())</f>
        <v>10</v>
      </c>
      <c r="K7" s="122">
        <f t="shared" si="7"/>
        <v>0.24969230769230794</v>
      </c>
      <c r="L7" s="122">
        <f t="shared" si="8"/>
        <v>2.4969230769230792</v>
      </c>
      <c r="M7" s="131"/>
      <c r="N7" s="131"/>
      <c r="AI7" s="14" t="s">
        <v>13</v>
      </c>
      <c r="AJ7" s="294" t="s">
        <v>792</v>
      </c>
      <c r="AK7" s="334" t="s">
        <v>14</v>
      </c>
      <c r="AL7" s="116">
        <v>100</v>
      </c>
      <c r="AM7" s="197">
        <f t="shared" si="4"/>
        <v>3.5830508474576273</v>
      </c>
      <c r="AN7" s="299">
        <v>1</v>
      </c>
      <c r="AO7" s="119">
        <f t="shared" si="5"/>
        <v>358.30508474576271</v>
      </c>
      <c r="AP7" s="207">
        <f t="shared" si="6"/>
        <v>358.30508474576271</v>
      </c>
      <c r="AQ7" s="1172">
        <f>VLOOKUP(AJ7,Marination_Ordering!$A:$J,6,FALSE)</f>
        <v>1</v>
      </c>
      <c r="AR7" s="1172">
        <f>VLOOKUP(AJ7,Marination_Ordering!$A:$J,10,FALSE)</f>
        <v>10.5</v>
      </c>
      <c r="AS7" s="175">
        <f t="shared" ref="AS7:AS12" si="9">AP7/AQ7</f>
        <v>358.30508474576271</v>
      </c>
      <c r="AT7" s="1172">
        <f t="shared" ref="AT7:AT12" si="10">AR7*(AS7/1000)</f>
        <v>3.7622033898305087</v>
      </c>
    </row>
    <row r="8" spans="1:46" ht="14.25" customHeight="1" x14ac:dyDescent="0.3">
      <c r="A8" s="295" t="s">
        <v>97</v>
      </c>
      <c r="B8" s="222" t="s">
        <v>151</v>
      </c>
      <c r="C8" s="124" t="s">
        <v>14</v>
      </c>
      <c r="D8" s="116">
        <v>50</v>
      </c>
      <c r="E8" s="116">
        <f>$I$1</f>
        <v>4.9938461538461585</v>
      </c>
      <c r="F8" s="127">
        <v>1</v>
      </c>
      <c r="G8" s="119">
        <f t="shared" si="0"/>
        <v>249.69230769230793</v>
      </c>
      <c r="H8" s="120">
        <f t="shared" si="1"/>
        <v>249.69230769230793</v>
      </c>
      <c r="I8" s="81">
        <f>VLOOKUP(B8,All_Ingredients!$A$1:$F$151,6,FALSE())</f>
        <v>1</v>
      </c>
      <c r="J8" s="119">
        <f>VLOOKUP(B8,All_Ingredients!$A$1:$J$151,10,FALSE())</f>
        <v>12</v>
      </c>
      <c r="K8" s="122">
        <f t="shared" si="7"/>
        <v>0.24969230769230794</v>
      </c>
      <c r="L8" s="122">
        <f t="shared" si="8"/>
        <v>2.9963076923076954</v>
      </c>
      <c r="M8" s="131"/>
      <c r="N8" s="131"/>
      <c r="AI8" s="14" t="s">
        <v>210</v>
      </c>
      <c r="AJ8" s="294" t="s">
        <v>219</v>
      </c>
      <c r="AK8" s="334" t="s">
        <v>165</v>
      </c>
      <c r="AL8" s="223">
        <v>350</v>
      </c>
      <c r="AM8" s="197">
        <f t="shared" si="4"/>
        <v>3.5830508474576273</v>
      </c>
      <c r="AN8" s="299">
        <v>1</v>
      </c>
      <c r="AO8" s="119">
        <f t="shared" si="5"/>
        <v>1254.0677966101696</v>
      </c>
      <c r="AP8" s="207">
        <f t="shared" si="6"/>
        <v>1254.0677966101696</v>
      </c>
      <c r="AQ8" s="1172">
        <f>VLOOKUP(AJ8,Marination_Ordering!$A:$J,6,FALSE)</f>
        <v>1</v>
      </c>
      <c r="AR8" s="1172">
        <f>VLOOKUP(AJ8,Marination_Ordering!$A:$J,10,FALSE)</f>
        <v>5</v>
      </c>
      <c r="AS8" s="175">
        <f t="shared" si="9"/>
        <v>1254.0677966101696</v>
      </c>
      <c r="AT8" s="1172">
        <f t="shared" si="10"/>
        <v>6.2703389830508485</v>
      </c>
    </row>
    <row r="9" spans="1:46" ht="14.25" customHeight="1" x14ac:dyDescent="0.35">
      <c r="A9" s="295" t="s">
        <v>196</v>
      </c>
      <c r="B9" s="222" t="s">
        <v>204</v>
      </c>
      <c r="C9" s="1010" t="s">
        <v>165</v>
      </c>
      <c r="D9" s="116">
        <v>300</v>
      </c>
      <c r="E9" s="116">
        <f>$I$1</f>
        <v>4.9938461538461585</v>
      </c>
      <c r="F9" s="127">
        <v>1</v>
      </c>
      <c r="G9" s="119">
        <f t="shared" si="0"/>
        <v>1498.1538461538476</v>
      </c>
      <c r="H9" s="120">
        <f t="shared" si="1"/>
        <v>1498.1538461538476</v>
      </c>
      <c r="I9" s="81">
        <f>VLOOKUP(B9,All_Ingredients!$A$1:$F$151,6,FALSE())</f>
        <v>1</v>
      </c>
      <c r="J9" s="119">
        <f>VLOOKUP(B9,All_Ingredients!$A$1:$J$151,10,FALSE())</f>
        <v>3.25</v>
      </c>
      <c r="K9" s="122">
        <f t="shared" si="7"/>
        <v>1.4981538461538475</v>
      </c>
      <c r="L9" s="122">
        <f t="shared" si="8"/>
        <v>4.8690000000000042</v>
      </c>
      <c r="M9" s="131"/>
      <c r="N9" s="131"/>
      <c r="AI9" s="14" t="s">
        <v>210</v>
      </c>
      <c r="AJ9" s="294" t="s">
        <v>215</v>
      </c>
      <c r="AK9" s="124" t="s">
        <v>165</v>
      </c>
      <c r="AL9" s="116">
        <v>70</v>
      </c>
      <c r="AM9" s="197">
        <f t="shared" si="4"/>
        <v>3.5830508474576273</v>
      </c>
      <c r="AN9" s="299">
        <v>1</v>
      </c>
      <c r="AO9" s="119">
        <f t="shared" si="5"/>
        <v>250.81355932203391</v>
      </c>
      <c r="AP9" s="207">
        <f t="shared" si="6"/>
        <v>250.81355932203391</v>
      </c>
      <c r="AQ9" s="1172">
        <f>VLOOKUP(AJ9,Marination_Ordering!$A:$J,6,FALSE)</f>
        <v>1</v>
      </c>
      <c r="AR9" s="1172">
        <f>VLOOKUP(AJ9,Marination_Ordering!$A:$J,10,FALSE)</f>
        <v>2.1621621621621623</v>
      </c>
      <c r="AS9" s="175">
        <f t="shared" si="9"/>
        <v>250.81355932203391</v>
      </c>
      <c r="AT9" s="1172">
        <f t="shared" si="10"/>
        <v>0.54229958772331666</v>
      </c>
    </row>
    <row r="10" spans="1:46" ht="14.25" customHeight="1" x14ac:dyDescent="0.3">
      <c r="A10" s="295" t="s">
        <v>196</v>
      </c>
      <c r="B10" s="222" t="s">
        <v>198</v>
      </c>
      <c r="C10" s="124" t="s">
        <v>165</v>
      </c>
      <c r="D10" s="116">
        <v>100</v>
      </c>
      <c r="E10" s="116">
        <f>$I$1</f>
        <v>4.9938461538461585</v>
      </c>
      <c r="F10" s="127">
        <v>1</v>
      </c>
      <c r="G10" s="119">
        <f t="shared" si="0"/>
        <v>499.38461538461587</v>
      </c>
      <c r="H10" s="120">
        <f t="shared" si="1"/>
        <v>499.38461538461587</v>
      </c>
      <c r="I10" s="81">
        <f>VLOOKUP(B10,All_Ingredients!$A$1:$F$151,6,FALSE())</f>
        <v>1</v>
      </c>
      <c r="J10" s="119">
        <f>VLOOKUP(B10,All_Ingredients!$A$1:$J$151,10,FALSE())</f>
        <v>58.685446009389672</v>
      </c>
      <c r="K10" s="122">
        <f t="shared" si="7"/>
        <v>0.49938461538461587</v>
      </c>
      <c r="L10" s="122">
        <f t="shared" si="8"/>
        <v>29.3066088840737</v>
      </c>
      <c r="M10" s="131"/>
      <c r="N10" s="131"/>
      <c r="AI10" s="14" t="s">
        <v>97</v>
      </c>
      <c r="AJ10" s="294" t="s">
        <v>96</v>
      </c>
      <c r="AK10" s="334" t="s">
        <v>14</v>
      </c>
      <c r="AL10" s="116">
        <v>2</v>
      </c>
      <c r="AM10" s="197">
        <f t="shared" si="4"/>
        <v>3.5830508474576273</v>
      </c>
      <c r="AN10" s="299">
        <v>1</v>
      </c>
      <c r="AO10" s="119">
        <f t="shared" si="5"/>
        <v>7.1661016949152545</v>
      </c>
      <c r="AP10" s="207">
        <f t="shared" si="6"/>
        <v>7.1661016949152545</v>
      </c>
      <c r="AQ10" s="1172">
        <f>VLOOKUP(AJ10,Marination_Ordering!$A:$J,6,FALSE)</f>
        <v>1</v>
      </c>
      <c r="AR10" s="1172">
        <f>VLOOKUP(AJ10,Marination_Ordering!$A:$J,10,FALSE)</f>
        <v>0.74</v>
      </c>
      <c r="AS10" s="175">
        <f t="shared" si="9"/>
        <v>7.1661016949152545</v>
      </c>
      <c r="AT10" s="1172">
        <f t="shared" si="10"/>
        <v>5.3029152542372884E-3</v>
      </c>
    </row>
    <row r="11" spans="1:46" ht="14.25" customHeight="1" x14ac:dyDescent="0.3">
      <c r="B11" s="323" t="s">
        <v>865</v>
      </c>
      <c r="C11" s="124" t="s">
        <v>241</v>
      </c>
      <c r="D11" s="116">
        <v>1</v>
      </c>
      <c r="E11" s="116">
        <f>$Z$1+$AB$1</f>
        <v>156</v>
      </c>
      <c r="F11" s="127">
        <v>1</v>
      </c>
      <c r="G11" s="121">
        <f>D11*($Z$1+$AB$1)</f>
        <v>156</v>
      </c>
      <c r="H11" s="120">
        <f>G11*F11</f>
        <v>156</v>
      </c>
      <c r="I11" s="81">
        <f>VLOOKUP(B11,All_Ingredients!$A$1:$F$151,6,FALSE())</f>
        <v>1</v>
      </c>
      <c r="J11" s="119">
        <f>VLOOKUP(B11,All_Ingredients!$A$1:$J$151,10,FALSE())</f>
        <v>2</v>
      </c>
      <c r="K11" s="175">
        <f>H11*I11</f>
        <v>156</v>
      </c>
      <c r="L11" s="122">
        <f>K11*J11</f>
        <v>312</v>
      </c>
      <c r="R11" s="532"/>
      <c r="AI11" s="14" t="s">
        <v>97</v>
      </c>
      <c r="AJ11" s="294" t="s">
        <v>102</v>
      </c>
      <c r="AK11" s="334" t="s">
        <v>14</v>
      </c>
      <c r="AL11" s="116">
        <v>3</v>
      </c>
      <c r="AM11" s="197">
        <f t="shared" si="4"/>
        <v>3.5830508474576273</v>
      </c>
      <c r="AN11" s="299">
        <v>1</v>
      </c>
      <c r="AO11" s="119">
        <f t="shared" si="5"/>
        <v>10.749152542372881</v>
      </c>
      <c r="AP11" s="207">
        <f t="shared" si="6"/>
        <v>10.749152542372881</v>
      </c>
      <c r="AQ11" s="1172">
        <f>VLOOKUP(AJ11,Marination_Ordering!$A:$J,6,FALSE)</f>
        <v>1</v>
      </c>
      <c r="AR11" s="1172">
        <f>VLOOKUP(AJ11,Marination_Ordering!$A:$J,10,FALSE)</f>
        <v>31</v>
      </c>
      <c r="AS11" s="175">
        <f t="shared" si="9"/>
        <v>10.749152542372881</v>
      </c>
      <c r="AT11" s="1172">
        <f t="shared" si="10"/>
        <v>0.33322372881355933</v>
      </c>
    </row>
    <row r="12" spans="1:46" ht="14.25" customHeight="1" x14ac:dyDescent="0.3">
      <c r="B12" s="349"/>
      <c r="C12" s="133"/>
      <c r="D12" s="254"/>
      <c r="E12" s="225"/>
      <c r="F12" s="136"/>
      <c r="G12" s="140"/>
      <c r="H12" s="138"/>
      <c r="I12" s="92"/>
      <c r="J12" s="139"/>
      <c r="AI12" s="14" t="s">
        <v>196</v>
      </c>
      <c r="AJ12" s="294" t="s">
        <v>195</v>
      </c>
      <c r="AK12" s="334" t="s">
        <v>165</v>
      </c>
      <c r="AL12" s="125">
        <v>50</v>
      </c>
      <c r="AM12" s="197">
        <f t="shared" si="4"/>
        <v>3.5830508474576273</v>
      </c>
      <c r="AN12" s="299">
        <v>1</v>
      </c>
      <c r="AO12" s="119">
        <f t="shared" si="5"/>
        <v>179.15254237288136</v>
      </c>
      <c r="AP12" s="207">
        <f t="shared" si="6"/>
        <v>179.15254237288136</v>
      </c>
      <c r="AQ12" s="1172">
        <f>VLOOKUP(AJ12,Marination_Ordering!$A:$J,6,FALSE)</f>
        <v>1</v>
      </c>
      <c r="AR12" s="1172">
        <f>VLOOKUP(AJ12,Marination_Ordering!$A:$J,10,FALSE)</f>
        <v>17.480211081794195</v>
      </c>
      <c r="AS12" s="175">
        <f t="shared" si="9"/>
        <v>179.15254237288136</v>
      </c>
      <c r="AT12" s="1172">
        <f t="shared" si="10"/>
        <v>3.131624256518045</v>
      </c>
    </row>
    <row r="23" spans="2:32" x14ac:dyDescent="0.25">
      <c r="U23" s="14" t="s">
        <v>456</v>
      </c>
    </row>
    <row r="24" spans="2:32" ht="12.75" customHeight="1" x14ac:dyDescent="0.25">
      <c r="Z24" s="1234"/>
    </row>
    <row r="25" spans="2:32" ht="14" customHeight="1" x14ac:dyDescent="0.3">
      <c r="B25" s="11"/>
      <c r="C25" s="336"/>
      <c r="D25" s="337"/>
      <c r="E25" s="336"/>
      <c r="F25" s="336"/>
      <c r="G25" s="336"/>
      <c r="H25" s="336"/>
      <c r="R25" s="1430" t="s">
        <v>457</v>
      </c>
      <c r="S25" s="1388"/>
      <c r="T25" s="1388"/>
      <c r="U25" s="1388"/>
      <c r="V25" s="1151"/>
      <c r="Z25" s="141" t="s">
        <v>264</v>
      </c>
      <c r="AA25" s="142">
        <v>185</v>
      </c>
      <c r="AB25" s="141" t="s">
        <v>261</v>
      </c>
      <c r="AC25" s="143">
        <f>AF30*AA25</f>
        <v>1153.0873958332618</v>
      </c>
    </row>
    <row r="26" spans="2:32" ht="14" customHeight="1" x14ac:dyDescent="0.3">
      <c r="B26" s="11"/>
      <c r="C26" s="336"/>
      <c r="D26" s="337"/>
      <c r="E26" s="336"/>
      <c r="F26" s="336"/>
      <c r="G26" s="336"/>
      <c r="H26" s="336"/>
      <c r="R26" s="1438" t="s">
        <v>309</v>
      </c>
      <c r="S26" s="1410"/>
      <c r="T26" s="1410"/>
      <c r="U26" s="1410"/>
      <c r="V26" s="1151"/>
    </row>
    <row r="27" spans="2:32" ht="14" customHeight="1" thickBot="1" x14ac:dyDescent="0.35">
      <c r="B27" s="11"/>
      <c r="C27" s="336"/>
      <c r="D27" s="337"/>
      <c r="E27" s="100"/>
      <c r="F27" s="100"/>
      <c r="R27" s="145" t="s">
        <v>266</v>
      </c>
      <c r="S27" s="145" t="s">
        <v>371</v>
      </c>
      <c r="T27" s="145" t="s">
        <v>268</v>
      </c>
      <c r="U27" s="145" t="s">
        <v>269</v>
      </c>
      <c r="V27" s="146" t="s">
        <v>839</v>
      </c>
      <c r="W27" s="146" t="s">
        <v>854</v>
      </c>
      <c r="X27" s="146" t="s">
        <v>849</v>
      </c>
      <c r="Z27" s="141" t="s">
        <v>270</v>
      </c>
      <c r="AA27" s="147" t="s">
        <v>839</v>
      </c>
      <c r="AB27" s="147" t="s">
        <v>271</v>
      </c>
      <c r="AC27" s="147" t="s">
        <v>272</v>
      </c>
      <c r="AD27" s="147" t="s">
        <v>852</v>
      </c>
      <c r="AE27" s="147" t="s">
        <v>849</v>
      </c>
      <c r="AF27" s="147" t="s">
        <v>274</v>
      </c>
    </row>
    <row r="28" spans="2:32" ht="14" customHeight="1" thickBot="1" x14ac:dyDescent="0.35">
      <c r="R28" s="145" t="s">
        <v>275</v>
      </c>
      <c r="S28" s="339">
        <f>U28*S40</f>
        <v>16261.538461538457</v>
      </c>
      <c r="T28" s="339">
        <f>U28*U40</f>
        <v>4878.4615384615436</v>
      </c>
      <c r="U28" s="1303">
        <f>$Z$1*140</f>
        <v>21140</v>
      </c>
      <c r="V28" s="149">
        <f>SUM(AP5:AP13)</f>
        <v>2633.5423728813557</v>
      </c>
      <c r="W28" s="149">
        <f>SUM(K16:K18)</f>
        <v>0</v>
      </c>
      <c r="X28" s="149">
        <f>K11</f>
        <v>156</v>
      </c>
      <c r="Z28" s="151"/>
      <c r="AA28" s="1205"/>
      <c r="AB28" s="152">
        <f>AA25*$S$40</f>
        <v>142.30769230769226</v>
      </c>
      <c r="AC28" s="152">
        <f>AA25-AB28</f>
        <v>42.692307692307736</v>
      </c>
      <c r="AD28" s="1205"/>
      <c r="AE28" s="1205"/>
      <c r="AF28" s="154">
        <f>SUM(AB28:AD28)</f>
        <v>185</v>
      </c>
    </row>
    <row r="29" spans="2:32" ht="14" customHeight="1" thickBot="1" x14ac:dyDescent="0.35">
      <c r="R29" s="145" t="s">
        <v>276</v>
      </c>
      <c r="S29" s="294"/>
      <c r="T29" s="339"/>
      <c r="U29" s="339">
        <f>T29</f>
        <v>0</v>
      </c>
      <c r="V29" s="149"/>
      <c r="W29" s="149"/>
      <c r="X29" s="149"/>
      <c r="Z29" s="151"/>
      <c r="AA29" s="1205"/>
      <c r="AB29" s="156">
        <f>AB28/$AF$28</f>
        <v>0.76923076923076894</v>
      </c>
      <c r="AC29" s="156">
        <f>AC28/$AF$28</f>
        <v>0.230769230769231</v>
      </c>
      <c r="AD29" s="1205"/>
      <c r="AE29" s="1205"/>
      <c r="AF29" s="156">
        <f>AF28/$AF$28</f>
        <v>1</v>
      </c>
    </row>
    <row r="30" spans="2:32" ht="14" customHeight="1" thickBot="1" x14ac:dyDescent="0.35">
      <c r="R30" s="145" t="s">
        <v>277</v>
      </c>
      <c r="S30" s="1309">
        <f>U30*S40</f>
        <v>384.61538461538453</v>
      </c>
      <c r="T30" s="339">
        <f>U30*U40</f>
        <v>115.3846153846155</v>
      </c>
      <c r="U30" s="1303">
        <f>$AB$1*100</f>
        <v>500</v>
      </c>
      <c r="V30" s="1143"/>
      <c r="W30" s="1143"/>
      <c r="X30" s="1143"/>
      <c r="Z30" s="141" t="s">
        <v>278</v>
      </c>
      <c r="AA30" s="1145">
        <f>V35/$AF$1</f>
        <v>0.10270415705876371</v>
      </c>
      <c r="AB30" s="157">
        <f>S35/(AF1)</f>
        <v>3.596126441097788</v>
      </c>
      <c r="AC30" s="1204">
        <f>T35/AF1</f>
        <v>0.5340742441854035</v>
      </c>
      <c r="AD30" s="298">
        <f>W35/AF1</f>
        <v>0</v>
      </c>
      <c r="AE30" s="1145">
        <f>X35/$AF$1</f>
        <v>2</v>
      </c>
      <c r="AF30" s="1148">
        <f>AA30+AB30+AC30+AD30+AE30</f>
        <v>6.2329048423419557</v>
      </c>
    </row>
    <row r="31" spans="2:32" ht="14" customHeight="1" thickBot="1" x14ac:dyDescent="0.35">
      <c r="R31" s="145" t="s">
        <v>279</v>
      </c>
      <c r="S31" s="294"/>
      <c r="T31" s="339"/>
      <c r="U31" s="339"/>
      <c r="V31" s="149"/>
      <c r="W31" s="149"/>
      <c r="X31" s="149"/>
    </row>
    <row r="32" spans="2:32" ht="14" customHeight="1" thickBot="1" x14ac:dyDescent="0.35">
      <c r="R32" s="146" t="s">
        <v>269</v>
      </c>
      <c r="S32" s="340">
        <f>SUM(S28:S30)</f>
        <v>16646.15384615384</v>
      </c>
      <c r="T32" s="340">
        <f>SUM(T28:T30)</f>
        <v>4993.8461538461588</v>
      </c>
      <c r="U32" s="340">
        <f>SUM(U28:U30)</f>
        <v>21640</v>
      </c>
      <c r="V32" s="149"/>
      <c r="W32" s="149"/>
      <c r="X32" s="149"/>
    </row>
    <row r="33" spans="2:24" ht="14" customHeight="1" thickBot="1" x14ac:dyDescent="0.35">
      <c r="R33" s="341" t="s">
        <v>280</v>
      </c>
      <c r="S33" s="342"/>
      <c r="T33" s="342"/>
      <c r="U33" s="343"/>
      <c r="V33" s="155"/>
      <c r="W33" s="155"/>
      <c r="X33" s="155"/>
    </row>
    <row r="34" spans="2:24" ht="14" customHeight="1" thickBot="1" x14ac:dyDescent="0.35">
      <c r="R34" s="178" t="s">
        <v>281</v>
      </c>
      <c r="S34" s="344"/>
      <c r="T34" s="345"/>
      <c r="U34" s="344"/>
      <c r="V34" s="155"/>
      <c r="W34" s="155"/>
      <c r="X34" s="155"/>
    </row>
    <row r="35" spans="2:24" ht="12.75" customHeight="1" thickBot="1" x14ac:dyDescent="0.35">
      <c r="R35" s="163" t="s">
        <v>261</v>
      </c>
      <c r="S35" s="1144">
        <f>$L$5</f>
        <v>560.99572481125495</v>
      </c>
      <c r="T35" s="1144">
        <f>SUM(L6:L10)</f>
        <v>83.315582092922952</v>
      </c>
      <c r="U35" s="1203">
        <f>S35+T35+V35+X35</f>
        <v>972.333155405345</v>
      </c>
      <c r="V35" s="1144">
        <f>SUM(AT6:AT12)</f>
        <v>16.021848501167138</v>
      </c>
      <c r="W35" s="1144"/>
      <c r="X35" s="1144">
        <f>L11</f>
        <v>312</v>
      </c>
    </row>
    <row r="36" spans="2:24" ht="14" customHeight="1" x14ac:dyDescent="0.25"/>
    <row r="37" spans="2:24" ht="14" customHeight="1" x14ac:dyDescent="0.25"/>
    <row r="40" spans="2:24" ht="18" customHeight="1" x14ac:dyDescent="0.3">
      <c r="R40" s="165" t="s">
        <v>282</v>
      </c>
      <c r="S40" s="166">
        <v>0.76923076923076905</v>
      </c>
      <c r="T40" s="165" t="s">
        <v>283</v>
      </c>
      <c r="U40" s="167">
        <v>0.230769230769231</v>
      </c>
      <c r="V40" s="168">
        <f>S40+U40</f>
        <v>1</v>
      </c>
    </row>
    <row r="41" spans="2:24" ht="12.75" customHeight="1" x14ac:dyDescent="0.25">
      <c r="U41" s="169"/>
    </row>
    <row r="42" spans="2:24" ht="14.25" customHeight="1" x14ac:dyDescent="0.3">
      <c r="B42" s="100"/>
      <c r="C42" s="208"/>
      <c r="D42" s="209"/>
      <c r="E42" s="100"/>
      <c r="F42" s="100"/>
    </row>
    <row r="43" spans="2:24" ht="12.75" customHeight="1" x14ac:dyDescent="0.3">
      <c r="B43" s="100"/>
      <c r="E43" s="100"/>
      <c r="F43" s="100"/>
      <c r="Q43" s="170" t="s">
        <v>284</v>
      </c>
      <c r="R43" s="170" t="s">
        <v>285</v>
      </c>
      <c r="S43" s="170" t="s">
        <v>286</v>
      </c>
      <c r="T43" s="170" t="s">
        <v>287</v>
      </c>
      <c r="U43" s="170" t="s">
        <v>288</v>
      </c>
      <c r="V43" s="170" t="s">
        <v>289</v>
      </c>
      <c r="W43" s="258" t="s">
        <v>290</v>
      </c>
    </row>
    <row r="44" spans="2:24" ht="14.25" customHeight="1" x14ac:dyDescent="0.3">
      <c r="B44" s="100"/>
      <c r="C44" s="100"/>
      <c r="D44" s="346"/>
      <c r="E44" s="100"/>
      <c r="F44" s="100"/>
      <c r="G44" s="100"/>
      <c r="H44" s="100"/>
      <c r="I44" s="100"/>
      <c r="J44" s="100"/>
      <c r="Q44" s="172">
        <v>43334</v>
      </c>
      <c r="R44" s="173">
        <f>D51</f>
        <v>10000</v>
      </c>
      <c r="S44" s="174">
        <v>1</v>
      </c>
      <c r="T44" s="174">
        <v>0</v>
      </c>
      <c r="U44" s="242">
        <f>R44*S44</f>
        <v>10000</v>
      </c>
      <c r="V44" s="176">
        <f>R44*T44</f>
        <v>0</v>
      </c>
      <c r="W44" s="260">
        <f>Q44-U44</f>
        <v>33334</v>
      </c>
    </row>
    <row r="45" spans="2:24" ht="12.75" customHeight="1" x14ac:dyDescent="0.25">
      <c r="B45" s="100"/>
      <c r="C45" s="100"/>
      <c r="D45" s="100"/>
      <c r="E45" s="100"/>
      <c r="F45" s="100"/>
      <c r="G45" s="100"/>
      <c r="H45" s="100"/>
      <c r="I45" s="100"/>
      <c r="J45" s="100"/>
    </row>
    <row r="46" spans="2:24" ht="17.75" customHeight="1" x14ac:dyDescent="0.25">
      <c r="B46" s="1455"/>
      <c r="C46" s="1389"/>
      <c r="D46" s="1389"/>
      <c r="E46" s="1389"/>
      <c r="F46" s="1389"/>
      <c r="G46" s="1389"/>
      <c r="H46" s="1389"/>
      <c r="I46" s="1389"/>
      <c r="J46" s="1389"/>
    </row>
    <row r="47" spans="2:24" ht="17.75" customHeight="1" x14ac:dyDescent="0.25">
      <c r="B47" s="1428"/>
      <c r="C47" s="1389"/>
      <c r="D47" s="1389"/>
      <c r="E47" s="1389"/>
      <c r="F47" s="1389"/>
      <c r="G47" s="1389"/>
      <c r="H47" s="1389"/>
      <c r="I47" s="1389"/>
      <c r="J47" s="1389"/>
    </row>
    <row r="48" spans="2:24" ht="14.25" customHeight="1" x14ac:dyDescent="0.25"/>
    <row r="49" spans="1:21" ht="14.25" customHeight="1" x14ac:dyDescent="0.3">
      <c r="U49" s="501"/>
    </row>
    <row r="50" spans="1:21" ht="14.25" customHeight="1" x14ac:dyDescent="0.3">
      <c r="B50" s="226"/>
      <c r="C50" s="226" t="s">
        <v>245</v>
      </c>
      <c r="D50" s="226" t="s">
        <v>291</v>
      </c>
      <c r="E50" s="100"/>
      <c r="F50" s="100"/>
      <c r="G50" s="145" t="s">
        <v>292</v>
      </c>
      <c r="H50" s="145" t="s">
        <v>245</v>
      </c>
      <c r="I50" s="145" t="s">
        <v>293</v>
      </c>
      <c r="J50" s="145" t="s">
        <v>294</v>
      </c>
    </row>
    <row r="51" spans="1:21" ht="14.25" customHeight="1" x14ac:dyDescent="0.3">
      <c r="B51" s="180" t="s">
        <v>295</v>
      </c>
      <c r="C51" s="181">
        <f>10/$K$1</f>
        <v>10</v>
      </c>
      <c r="D51" s="182">
        <f>$C$1*10</f>
        <v>10000</v>
      </c>
      <c r="E51" s="100"/>
      <c r="F51" s="100"/>
      <c r="G51" s="180" t="s">
        <v>295</v>
      </c>
      <c r="H51" s="277">
        <f>I51/$D$5</f>
        <v>10</v>
      </c>
      <c r="I51" s="181">
        <f>J51/$R$1</f>
        <v>56498.305084745763</v>
      </c>
      <c r="J51" s="181">
        <f>$W$44</f>
        <v>33334</v>
      </c>
    </row>
    <row r="52" spans="1:21" ht="14.25" customHeight="1" x14ac:dyDescent="0.3">
      <c r="B52" s="231" t="s">
        <v>274</v>
      </c>
      <c r="C52" s="232">
        <f>$I$1</f>
        <v>4.9938461538461585</v>
      </c>
      <c r="D52" s="233">
        <f>$E$1</f>
        <v>4993.8461538461588</v>
      </c>
      <c r="E52" s="100"/>
      <c r="F52" s="100"/>
      <c r="G52" s="148" t="s">
        <v>274</v>
      </c>
      <c r="H52" s="210">
        <f>I52/$D$5</f>
        <v>4.9937462789205744</v>
      </c>
      <c r="I52" s="176">
        <f>J52/$R$1</f>
        <v>28213.82007822685</v>
      </c>
      <c r="J52" s="184">
        <f>$S$32</f>
        <v>16646.15384615384</v>
      </c>
    </row>
    <row r="53" spans="1:21" ht="14.25" customHeight="1" x14ac:dyDescent="0.3">
      <c r="B53" s="231" t="s">
        <v>296</v>
      </c>
      <c r="C53" s="234">
        <f>MIN(C52, C51)</f>
        <v>4.9938461538461585</v>
      </c>
      <c r="D53" s="233">
        <f>(C53*$K$1)*$C$1</f>
        <v>4993.8461538461588</v>
      </c>
      <c r="E53" s="100"/>
      <c r="F53" s="100"/>
      <c r="G53" s="148" t="s">
        <v>296</v>
      </c>
      <c r="H53" s="187">
        <f>MIN(H52,H51)</f>
        <v>4.9937462789205744</v>
      </c>
      <c r="I53" s="176">
        <f>J53/$R$1</f>
        <v>28213.82007822685</v>
      </c>
      <c r="J53" s="176">
        <f>MIN(J52,J51)</f>
        <v>16646.15384615384</v>
      </c>
    </row>
    <row r="54" spans="1:21" ht="14" x14ac:dyDescent="0.3">
      <c r="B54" s="231" t="s">
        <v>297</v>
      </c>
      <c r="C54" s="234">
        <f>MIN(MAX(C52-C53,0),C51)</f>
        <v>0</v>
      </c>
      <c r="D54" s="233">
        <f>(C54*$K$1)*$C$1</f>
        <v>0</v>
      </c>
      <c r="E54" s="100"/>
      <c r="F54" s="100"/>
      <c r="G54" s="148" t="s">
        <v>297</v>
      </c>
      <c r="H54" s="187">
        <f>MIN(MAX(H52-H53),H51)</f>
        <v>0</v>
      </c>
      <c r="I54" s="176">
        <f>J54/$R$1</f>
        <v>0</v>
      </c>
      <c r="J54" s="176">
        <f>MIN(MAX(J52-J53),J51)</f>
        <v>0</v>
      </c>
    </row>
    <row r="55" spans="1:21" ht="14" x14ac:dyDescent="0.3">
      <c r="B55" s="231" t="s">
        <v>298</v>
      </c>
      <c r="C55" s="234">
        <f>MIN(MAX(C52-C53-C54,0),C51)</f>
        <v>0</v>
      </c>
      <c r="D55" s="233">
        <f>(C55*$K$1)*$C$1</f>
        <v>0</v>
      </c>
      <c r="E55" s="100"/>
      <c r="F55" s="100"/>
      <c r="G55" s="145" t="s">
        <v>298</v>
      </c>
      <c r="H55" s="187">
        <f>MIN(MAX(H52-H53-H54),H51)</f>
        <v>0</v>
      </c>
      <c r="I55" s="176">
        <f>J55/$R$1</f>
        <v>0</v>
      </c>
      <c r="J55" s="176">
        <f>MIN(MAX(J52-J53-J54),J51)</f>
        <v>0</v>
      </c>
    </row>
    <row r="61" spans="1:21" ht="17.75" customHeight="1" x14ac:dyDescent="0.25">
      <c r="B61" s="1455"/>
      <c r="C61" s="1389"/>
      <c r="D61" s="1389"/>
      <c r="E61" s="1389"/>
      <c r="F61" s="1389"/>
      <c r="G61" s="1389"/>
      <c r="H61" s="1389"/>
      <c r="I61" s="1389"/>
      <c r="J61" s="1389"/>
    </row>
    <row r="62" spans="1:21" ht="17.75" customHeight="1" x14ac:dyDescent="0.25">
      <c r="A62" s="942"/>
      <c r="B62" s="1444" t="str">
        <f>" ساندوتش تشيكن باربيكيو 1 / " &amp; COUNTIF($C$53:$C$55, "&gt;0")</f>
        <v xml:space="preserve"> ساندوتش تشيكن باربيكيو 1 / 1</v>
      </c>
      <c r="C62" s="1424"/>
      <c r="D62" s="1424"/>
      <c r="E62" s="1424"/>
      <c r="F62" s="1424"/>
      <c r="G62" s="1424"/>
      <c r="H62" s="1424"/>
    </row>
    <row r="63" spans="1:21" ht="18" customHeight="1" x14ac:dyDescent="0.25">
      <c r="A63" s="942"/>
      <c r="B63" s="1444" t="str">
        <f>" BBQ Chicken Sandwitch 1 / " &amp; COUNTIF($C$53:$C$55, "&gt;0")</f>
        <v xml:space="preserve"> BBQ Chicken Sandwitch 1 / 1</v>
      </c>
      <c r="C63" s="1424"/>
      <c r="D63" s="1424"/>
      <c r="E63" s="1424"/>
      <c r="F63" s="1424"/>
      <c r="G63" s="1424"/>
      <c r="H63" s="1424"/>
    </row>
    <row r="64" spans="1:21" ht="25.5" customHeight="1" x14ac:dyDescent="0.25">
      <c r="A64" s="91"/>
      <c r="B64" s="243" t="s">
        <v>253</v>
      </c>
      <c r="C64" s="244" t="s">
        <v>254</v>
      </c>
      <c r="D64" s="245" t="s">
        <v>243</v>
      </c>
      <c r="E64" s="218" t="s">
        <v>246</v>
      </c>
      <c r="F64" s="218" t="s">
        <v>255</v>
      </c>
      <c r="G64" s="245" t="s">
        <v>256</v>
      </c>
      <c r="H64" s="218" t="s">
        <v>257</v>
      </c>
    </row>
    <row r="65" spans="1:10" ht="14.25" customHeight="1" x14ac:dyDescent="0.25">
      <c r="A65" s="14" t="s">
        <v>230</v>
      </c>
      <c r="B65" s="323" t="str">
        <f t="shared" ref="B65:D70" si="11">B5</f>
        <v>Chicken - دجاج</v>
      </c>
      <c r="C65" s="124" t="str">
        <f t="shared" si="11"/>
        <v>gm</v>
      </c>
      <c r="D65" s="116">
        <f t="shared" si="11"/>
        <v>5649.8305084745762</v>
      </c>
      <c r="E65" s="351">
        <f>H53</f>
        <v>4.9937462789205744</v>
      </c>
      <c r="F65" s="127">
        <f t="shared" ref="F65:F70" si="12">F5</f>
        <v>1</v>
      </c>
      <c r="G65" s="119">
        <f t="shared" ref="G65:G70" si="13">D65*E65</f>
        <v>28213.82007822685</v>
      </c>
      <c r="H65" s="120">
        <f t="shared" ref="H65:H70" si="14">G65*F65</f>
        <v>28213.82007822685</v>
      </c>
    </row>
    <row r="66" spans="1:10" ht="14.25" customHeight="1" x14ac:dyDescent="0.25">
      <c r="A66" s="14" t="s">
        <v>196</v>
      </c>
      <c r="B66" s="323" t="str">
        <f t="shared" si="11"/>
        <v>BBQ Sauce - صوص باربيكيو</v>
      </c>
      <c r="C66" s="124" t="str">
        <f t="shared" si="11"/>
        <v>ml</v>
      </c>
      <c r="D66" s="116">
        <f t="shared" si="11"/>
        <v>500</v>
      </c>
      <c r="E66" s="351">
        <f>$C$53</f>
        <v>4.9938461538461585</v>
      </c>
      <c r="F66" s="127">
        <f t="shared" si="12"/>
        <v>1</v>
      </c>
      <c r="G66" s="119">
        <f t="shared" si="13"/>
        <v>2496.9230769230794</v>
      </c>
      <c r="H66" s="120">
        <f t="shared" si="14"/>
        <v>2496.9230769230794</v>
      </c>
    </row>
    <row r="67" spans="1:10" ht="14.25" customHeight="1" x14ac:dyDescent="0.25">
      <c r="A67" s="295" t="s">
        <v>97</v>
      </c>
      <c r="B67" s="323" t="str">
        <f t="shared" si="11"/>
        <v>Garlic Powder - ثوم بودرة</v>
      </c>
      <c r="C67" s="124" t="str">
        <f t="shared" si="11"/>
        <v>gm</v>
      </c>
      <c r="D67" s="116">
        <f t="shared" si="11"/>
        <v>50</v>
      </c>
      <c r="E67" s="351">
        <f>$C$53</f>
        <v>4.9938461538461585</v>
      </c>
      <c r="F67" s="127">
        <f t="shared" si="12"/>
        <v>1</v>
      </c>
      <c r="G67" s="119">
        <f t="shared" si="13"/>
        <v>249.69230769230793</v>
      </c>
      <c r="H67" s="120">
        <f t="shared" si="14"/>
        <v>249.69230769230793</v>
      </c>
    </row>
    <row r="68" spans="1:10" ht="14.25" customHeight="1" x14ac:dyDescent="0.25">
      <c r="A68" s="295" t="s">
        <v>97</v>
      </c>
      <c r="B68" s="323" t="str">
        <f t="shared" si="11"/>
        <v>Onion Powder - بصل بودرة</v>
      </c>
      <c r="C68" s="124" t="str">
        <f t="shared" si="11"/>
        <v>gm</v>
      </c>
      <c r="D68" s="116">
        <f t="shared" si="11"/>
        <v>50</v>
      </c>
      <c r="E68" s="351">
        <f>$C$53</f>
        <v>4.9938461538461585</v>
      </c>
      <c r="F68" s="127">
        <f t="shared" si="12"/>
        <v>1</v>
      </c>
      <c r="G68" s="119">
        <f t="shared" si="13"/>
        <v>249.69230769230793</v>
      </c>
      <c r="H68" s="120">
        <f t="shared" si="14"/>
        <v>249.69230769230793</v>
      </c>
    </row>
    <row r="69" spans="1:10" ht="14.25" customHeight="1" x14ac:dyDescent="0.25">
      <c r="A69" s="295" t="s">
        <v>196</v>
      </c>
      <c r="B69" s="323" t="str">
        <f t="shared" si="11"/>
        <v>Tomato Ketchup - كاتشب طماطم</v>
      </c>
      <c r="C69" s="124" t="str">
        <f t="shared" si="11"/>
        <v>ml</v>
      </c>
      <c r="D69" s="116">
        <f t="shared" si="11"/>
        <v>300</v>
      </c>
      <c r="E69" s="351">
        <f>$C$53</f>
        <v>4.9938461538461585</v>
      </c>
      <c r="F69" s="127">
        <f t="shared" si="12"/>
        <v>1</v>
      </c>
      <c r="G69" s="119">
        <f t="shared" si="13"/>
        <v>1498.1538461538476</v>
      </c>
      <c r="H69" s="120">
        <f t="shared" si="14"/>
        <v>1498.1538461538476</v>
      </c>
    </row>
    <row r="70" spans="1:10" ht="14.25" customHeight="1" x14ac:dyDescent="0.25">
      <c r="A70" s="295" t="s">
        <v>196</v>
      </c>
      <c r="B70" s="323" t="str">
        <f t="shared" si="11"/>
        <v>Sriracha Sauce - صوص سريراتشا</v>
      </c>
      <c r="C70" s="124" t="str">
        <f t="shared" si="11"/>
        <v>ml</v>
      </c>
      <c r="D70" s="116">
        <f t="shared" si="11"/>
        <v>100</v>
      </c>
      <c r="E70" s="351">
        <f>$C$53</f>
        <v>4.9938461538461585</v>
      </c>
      <c r="F70" s="127">
        <f t="shared" si="12"/>
        <v>1</v>
      </c>
      <c r="G70" s="119">
        <f t="shared" si="13"/>
        <v>499.38461538461587</v>
      </c>
      <c r="H70" s="120">
        <f t="shared" si="14"/>
        <v>499.38461538461587</v>
      </c>
    </row>
    <row r="71" spans="1:10" ht="20.25" customHeight="1" x14ac:dyDescent="0.4">
      <c r="A71" s="211"/>
      <c r="B71" s="198" t="s">
        <v>299</v>
      </c>
      <c r="C71" s="200" t="s">
        <v>285</v>
      </c>
      <c r="E71" s="200" t="s">
        <v>300</v>
      </c>
      <c r="G71" s="890" t="s">
        <v>276</v>
      </c>
      <c r="H71" s="890" t="s">
        <v>733</v>
      </c>
      <c r="I71" s="204"/>
      <c r="J71" s="203"/>
    </row>
    <row r="72" spans="1:10" ht="20" x14ac:dyDescent="0.4">
      <c r="A72" s="211"/>
      <c r="B72" s="199">
        <f>$J$53</f>
        <v>16646.15384615384</v>
      </c>
      <c r="C72" s="199">
        <f>E72+G72</f>
        <v>4993.8461538461588</v>
      </c>
      <c r="D72" s="930"/>
      <c r="E72" s="199">
        <f>$D$53*$S$44</f>
        <v>4993.8461538461588</v>
      </c>
      <c r="F72" s="934"/>
      <c r="G72" s="199">
        <f>$D$53*$T$44</f>
        <v>0</v>
      </c>
      <c r="H72" s="199">
        <f>B72+E72</f>
        <v>21640</v>
      </c>
    </row>
  </sheetData>
  <mergeCells count="11">
    <mergeCell ref="AN2:AN3"/>
    <mergeCell ref="R25:U25"/>
    <mergeCell ref="B62:H62"/>
    <mergeCell ref="B2:K3"/>
    <mergeCell ref="B47:J47"/>
    <mergeCell ref="AK2:AM2"/>
    <mergeCell ref="B63:H63"/>
    <mergeCell ref="AE2:AG3"/>
    <mergeCell ref="B61:J61"/>
    <mergeCell ref="B46:J46"/>
    <mergeCell ref="R26:U26"/>
  </mergeCells>
  <printOptions horizontalCentered="1"/>
  <pageMargins left="0.4" right="0.4" top="1" bottom="0.5" header="0.3" footer="0.511811023622047"/>
  <pageSetup paperSize="9" scale="46" orientation="landscape" r:id="rId1"/>
  <legacy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rgb="FFFFFF00"/>
    <pageSetUpPr fitToPage="1"/>
  </sheetPr>
  <dimension ref="A1:AG128"/>
  <sheetViews>
    <sheetView topLeftCell="I1" zoomScale="70" zoomScaleNormal="70" workbookViewId="0">
      <selection activeCell="K2" sqref="K2"/>
    </sheetView>
  </sheetViews>
  <sheetFormatPr defaultColWidth="12.5" defaultRowHeight="12.5" x14ac:dyDescent="0.25"/>
  <cols>
    <col min="1" max="1" width="12.5" style="14" customWidth="1"/>
    <col min="2" max="2" width="31.4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9" width="6.1640625" style="14" customWidth="1"/>
    <col min="10" max="10" width="9.5" style="14" customWidth="1"/>
    <col min="11" max="11" width="6.1640625" style="14" customWidth="1"/>
    <col min="12" max="12" width="8.33203125" style="14" customWidth="1"/>
    <col min="13" max="17" width="6.1640625" style="14" customWidth="1"/>
    <col min="18" max="16384" width="12.5" style="14"/>
  </cols>
  <sheetData>
    <row r="1" spans="1:33" ht="28.5" customHeight="1" x14ac:dyDescent="0.25">
      <c r="B1" s="80" t="s">
        <v>243</v>
      </c>
      <c r="C1" s="81">
        <v>1000</v>
      </c>
      <c r="D1" s="82" t="s">
        <v>244</v>
      </c>
      <c r="E1" s="117">
        <f>S30</f>
        <v>30910</v>
      </c>
      <c r="F1" s="80" t="s">
        <v>245</v>
      </c>
      <c r="G1" s="366">
        <f>E1/C1</f>
        <v>30.91</v>
      </c>
      <c r="H1" s="80" t="s">
        <v>246</v>
      </c>
      <c r="I1" s="117">
        <f>G1/K1</f>
        <v>30.603960396039604</v>
      </c>
      <c r="J1" s="326" t="s">
        <v>247</v>
      </c>
      <c r="K1" s="327">
        <v>1.01</v>
      </c>
      <c r="L1" s="100"/>
      <c r="M1" s="100"/>
      <c r="N1" s="100"/>
      <c r="O1" s="100"/>
      <c r="P1" s="100"/>
      <c r="Q1" s="100"/>
      <c r="R1" s="100"/>
      <c r="S1" s="100"/>
      <c r="T1" s="100"/>
      <c r="U1" s="100"/>
      <c r="V1" s="100"/>
      <c r="Y1" s="91" t="s">
        <v>479</v>
      </c>
      <c r="Z1" s="847">
        <v>30910</v>
      </c>
      <c r="AA1" s="91" t="s">
        <v>600</v>
      </c>
      <c r="AB1" s="847">
        <v>0</v>
      </c>
      <c r="AC1" s="91" t="s">
        <v>587</v>
      </c>
      <c r="AD1" s="847">
        <v>209</v>
      </c>
    </row>
    <row r="2" spans="1:33" ht="12.75" customHeight="1" x14ac:dyDescent="0.25">
      <c r="A2" s="330"/>
      <c r="B2" s="1408" t="s">
        <v>355</v>
      </c>
      <c r="C2" s="1429"/>
      <c r="D2" s="1429"/>
      <c r="E2" s="1429"/>
      <c r="F2" s="1429"/>
      <c r="G2" s="1429"/>
      <c r="H2" s="1429"/>
      <c r="I2" s="100"/>
      <c r="J2" s="100"/>
      <c r="K2" s="100"/>
      <c r="L2" s="100"/>
      <c r="M2" s="100"/>
      <c r="N2" s="100"/>
      <c r="O2" s="100"/>
      <c r="P2" s="100"/>
      <c r="Q2" s="100"/>
      <c r="R2" s="100"/>
      <c r="S2" s="100"/>
      <c r="T2" s="100"/>
      <c r="U2" s="100"/>
      <c r="AE2" s="1417"/>
      <c r="AF2" s="1389"/>
      <c r="AG2" s="1389"/>
    </row>
    <row r="3" spans="1:33" ht="12.75" customHeight="1" x14ac:dyDescent="0.25">
      <c r="A3" s="330"/>
      <c r="B3" s="1388"/>
      <c r="C3" s="1388"/>
      <c r="D3" s="1388"/>
      <c r="E3" s="1388"/>
      <c r="F3" s="1388"/>
      <c r="G3" s="1388"/>
      <c r="H3" s="1388"/>
      <c r="I3" s="100"/>
      <c r="J3" s="100"/>
      <c r="K3" s="100"/>
      <c r="L3" s="100"/>
      <c r="M3" s="100"/>
      <c r="N3" s="100"/>
      <c r="O3" s="100"/>
      <c r="P3" s="100"/>
      <c r="Q3" s="100"/>
      <c r="R3" s="100"/>
      <c r="S3" s="100"/>
      <c r="T3" s="100"/>
      <c r="U3" s="100"/>
      <c r="AE3" s="1389"/>
      <c r="AF3" s="1389"/>
      <c r="AG3" s="1389"/>
    </row>
    <row r="4" spans="1:33" ht="68.75" customHeight="1" x14ac:dyDescent="0.25">
      <c r="A4" s="91" t="s">
        <v>1</v>
      </c>
      <c r="B4" s="91" t="s">
        <v>253</v>
      </c>
      <c r="C4" s="107" t="s">
        <v>254</v>
      </c>
      <c r="D4" s="91" t="s">
        <v>243</v>
      </c>
      <c r="E4" s="218" t="s">
        <v>246</v>
      </c>
      <c r="F4" s="108" t="s">
        <v>255</v>
      </c>
      <c r="G4" s="91" t="s">
        <v>256</v>
      </c>
      <c r="H4" s="107" t="s">
        <v>347</v>
      </c>
      <c r="I4" s="91" t="s">
        <v>258</v>
      </c>
      <c r="J4" s="91" t="s">
        <v>259</v>
      </c>
      <c r="K4" s="91" t="s">
        <v>260</v>
      </c>
      <c r="L4" s="91" t="s">
        <v>261</v>
      </c>
      <c r="M4" s="100"/>
      <c r="N4" s="100"/>
      <c r="O4" s="100"/>
      <c r="P4" s="100"/>
      <c r="Q4" s="100"/>
      <c r="R4" s="100"/>
      <c r="S4" s="100"/>
      <c r="T4" s="100"/>
      <c r="U4" s="100"/>
    </row>
    <row r="5" spans="1:33" ht="14.25" customHeight="1" x14ac:dyDescent="0.25">
      <c r="A5" s="219"/>
      <c r="B5" s="654"/>
      <c r="C5" s="655"/>
      <c r="D5" s="219"/>
      <c r="E5" s="656"/>
      <c r="F5" s="219"/>
      <c r="G5" s="219"/>
      <c r="H5" s="655"/>
      <c r="I5" s="81"/>
      <c r="J5" s="119"/>
      <c r="K5" s="122"/>
      <c r="L5" s="122"/>
    </row>
    <row r="6" spans="1:33" ht="14.25" customHeight="1" x14ac:dyDescent="0.25">
      <c r="A6" s="295" t="s">
        <v>13</v>
      </c>
      <c r="B6" s="22" t="s">
        <v>21</v>
      </c>
      <c r="C6" s="124" t="s">
        <v>14</v>
      </c>
      <c r="D6" s="116">
        <v>1175</v>
      </c>
      <c r="E6" s="116">
        <f t="shared" ref="E6:E12" si="0">$I$1</f>
        <v>30.603960396039604</v>
      </c>
      <c r="F6" s="127">
        <v>1</v>
      </c>
      <c r="G6" s="119">
        <f t="shared" ref="G6:G12" si="1">D6*E6</f>
        <v>35959.653465346535</v>
      </c>
      <c r="H6" s="120">
        <f t="shared" ref="H6:H12" si="2">G6*F6</f>
        <v>35959.653465346535</v>
      </c>
      <c r="I6" s="81">
        <f>VLOOKUP(B6,All_Ingredients!$A$1:$F$151,6,FALSE())</f>
        <v>0.9</v>
      </c>
      <c r="J6" s="119">
        <f>VLOOKUP(B6,All_Ingredients!$A$1:$J$151,10,FALSE())</f>
        <v>2.2999999999999998</v>
      </c>
      <c r="K6" s="122">
        <f t="shared" ref="K6" si="3">(H6/I6)/1000</f>
        <v>39.955170517051698</v>
      </c>
      <c r="L6" s="122">
        <f t="shared" ref="L6" si="4">K6*J6</f>
        <v>91.896892189218903</v>
      </c>
    </row>
    <row r="7" spans="1:33" ht="14.25" customHeight="1" x14ac:dyDescent="0.25">
      <c r="A7" s="295" t="s">
        <v>57</v>
      </c>
      <c r="B7" s="22" t="s">
        <v>56</v>
      </c>
      <c r="C7" s="124" t="s">
        <v>14</v>
      </c>
      <c r="D7" s="116">
        <v>10</v>
      </c>
      <c r="E7" s="116">
        <f t="shared" si="0"/>
        <v>30.603960396039604</v>
      </c>
      <c r="F7" s="127">
        <v>1</v>
      </c>
      <c r="G7" s="119">
        <f t="shared" si="1"/>
        <v>306.03960396039605</v>
      </c>
      <c r="H7" s="120">
        <f t="shared" si="2"/>
        <v>306.03960396039605</v>
      </c>
      <c r="I7" s="81">
        <f>VLOOKUP(B7,All_Ingredients!$A$1:$F$151,6,FALSE())</f>
        <v>0.87</v>
      </c>
      <c r="J7" s="119">
        <f>VLOOKUP(B7,All_Ingredients!$A$1:$J$151,10,FALSE())</f>
        <v>7</v>
      </c>
      <c r="K7" s="122">
        <f t="shared" ref="K7:K12" si="5">(H7/I7)/1000</f>
        <v>0.35176965972459318</v>
      </c>
      <c r="L7" s="122">
        <f t="shared" ref="L7:L12" si="6">K7*J7</f>
        <v>2.4623876180721522</v>
      </c>
      <c r="R7" s="14">
        <v>39000</v>
      </c>
      <c r="S7" s="14">
        <v>21600</v>
      </c>
    </row>
    <row r="8" spans="1:33" ht="14.25" customHeight="1" x14ac:dyDescent="0.25">
      <c r="A8" s="295" t="s">
        <v>63</v>
      </c>
      <c r="B8" s="22" t="s">
        <v>62</v>
      </c>
      <c r="C8" s="124" t="s">
        <v>14</v>
      </c>
      <c r="D8" s="116">
        <v>5</v>
      </c>
      <c r="E8" s="116">
        <f t="shared" si="0"/>
        <v>30.603960396039604</v>
      </c>
      <c r="F8" s="127">
        <v>1</v>
      </c>
      <c r="G8" s="119">
        <f t="shared" si="1"/>
        <v>153.01980198019803</v>
      </c>
      <c r="H8" s="120">
        <f t="shared" si="2"/>
        <v>153.01980198019803</v>
      </c>
      <c r="I8" s="81">
        <f>VLOOKUP(B8,All_Ingredients!$A$1:$F$151,6,FALSE())</f>
        <v>0.94</v>
      </c>
      <c r="J8" s="119">
        <f>VLOOKUP(B8,All_Ingredients!$A$1:$J$151,10,FALSE())</f>
        <v>3.6363636363636367</v>
      </c>
      <c r="K8" s="122">
        <f t="shared" si="5"/>
        <v>0.1627870233831894</v>
      </c>
      <c r="L8" s="122">
        <f t="shared" si="6"/>
        <v>0.59195281230250696</v>
      </c>
      <c r="S8" s="14">
        <v>13600</v>
      </c>
    </row>
    <row r="9" spans="1:33" ht="14.25" customHeight="1" x14ac:dyDescent="0.25">
      <c r="A9" s="295" t="s">
        <v>158</v>
      </c>
      <c r="B9" s="22" t="s">
        <v>157</v>
      </c>
      <c r="C9" s="124" t="s">
        <v>14</v>
      </c>
      <c r="D9" s="116">
        <v>10</v>
      </c>
      <c r="E9" s="116">
        <f t="shared" si="0"/>
        <v>30.603960396039604</v>
      </c>
      <c r="F9" s="127">
        <v>1</v>
      </c>
      <c r="G9" s="119">
        <f t="shared" si="1"/>
        <v>306.03960396039605</v>
      </c>
      <c r="H9" s="120">
        <f t="shared" si="2"/>
        <v>306.03960396039605</v>
      </c>
      <c r="I9" s="81">
        <f>VLOOKUP(B9,All_Ingredients!$A$1:$F$151,6,FALSE())</f>
        <v>1</v>
      </c>
      <c r="J9" s="119">
        <f>VLOOKUP(B9,All_Ingredients!$A$1:$J$151,10,FALSE())</f>
        <v>30</v>
      </c>
      <c r="K9" s="122">
        <f t="shared" si="5"/>
        <v>0.30603960396039603</v>
      </c>
      <c r="L9" s="122">
        <f t="shared" si="6"/>
        <v>9.1811881188118818</v>
      </c>
      <c r="S9" s="14">
        <f>S8+S7</f>
        <v>35200</v>
      </c>
    </row>
    <row r="10" spans="1:33" ht="14.25" customHeight="1" x14ac:dyDescent="0.25">
      <c r="A10" s="295" t="s">
        <v>97</v>
      </c>
      <c r="B10" s="22" t="s">
        <v>104</v>
      </c>
      <c r="C10" s="124" t="s">
        <v>14</v>
      </c>
      <c r="D10" s="116">
        <v>2</v>
      </c>
      <c r="E10" s="116">
        <f t="shared" si="0"/>
        <v>30.603960396039604</v>
      </c>
      <c r="F10" s="127">
        <v>0.75</v>
      </c>
      <c r="G10" s="119">
        <f t="shared" si="1"/>
        <v>61.207920792079207</v>
      </c>
      <c r="H10" s="120">
        <f t="shared" si="2"/>
        <v>45.905940594059402</v>
      </c>
      <c r="I10" s="81">
        <f>VLOOKUP(B10,All_Ingredients!$A$1:$F$151,6,FALSE())</f>
        <v>1</v>
      </c>
      <c r="J10" s="119">
        <f>VLOOKUP(B10,All_Ingredients!$A$1:$J$151,10,FALSE())</f>
        <v>47</v>
      </c>
      <c r="K10" s="122">
        <f t="shared" si="5"/>
        <v>4.5905940594059405E-2</v>
      </c>
      <c r="L10" s="122">
        <f t="shared" si="6"/>
        <v>2.1575792079207918</v>
      </c>
    </row>
    <row r="11" spans="1:33" ht="14.25" customHeight="1" x14ac:dyDescent="0.25">
      <c r="A11" s="295" t="s">
        <v>97</v>
      </c>
      <c r="B11" s="22" t="s">
        <v>96</v>
      </c>
      <c r="C11" s="124" t="s">
        <v>14</v>
      </c>
      <c r="D11" s="116">
        <v>5</v>
      </c>
      <c r="E11" s="116">
        <f t="shared" si="0"/>
        <v>30.603960396039604</v>
      </c>
      <c r="F11" s="127">
        <v>0.75</v>
      </c>
      <c r="G11" s="119">
        <f t="shared" si="1"/>
        <v>153.01980198019803</v>
      </c>
      <c r="H11" s="120">
        <f t="shared" si="2"/>
        <v>114.76485148514851</v>
      </c>
      <c r="I11" s="81">
        <f>VLOOKUP(B11,All_Ingredients!$A$1:$F$151,6,FALSE())</f>
        <v>1</v>
      </c>
      <c r="J11" s="119">
        <f>VLOOKUP(B11,All_Ingredients!$A$1:$J$151,10,FALSE())</f>
        <v>0.74</v>
      </c>
      <c r="K11" s="122">
        <f t="shared" si="5"/>
        <v>0.11476485148514851</v>
      </c>
      <c r="L11" s="122">
        <f t="shared" si="6"/>
        <v>8.492599009900989E-2</v>
      </c>
    </row>
    <row r="12" spans="1:33" ht="14.25" customHeight="1" x14ac:dyDescent="0.25">
      <c r="A12" s="295" t="s">
        <v>97</v>
      </c>
      <c r="B12" s="22" t="s">
        <v>108</v>
      </c>
      <c r="C12" s="124" t="s">
        <v>14</v>
      </c>
      <c r="D12" s="116">
        <v>1</v>
      </c>
      <c r="E12" s="116">
        <f t="shared" si="0"/>
        <v>30.603960396039604</v>
      </c>
      <c r="F12" s="127">
        <v>0.75</v>
      </c>
      <c r="G12" s="119">
        <f t="shared" si="1"/>
        <v>30.603960396039604</v>
      </c>
      <c r="H12" s="120">
        <f t="shared" si="2"/>
        <v>22.952970297029701</v>
      </c>
      <c r="I12" s="81">
        <f>VLOOKUP(B12,All_Ingredients!$A$1:$F$151,6,FALSE())</f>
        <v>1</v>
      </c>
      <c r="J12" s="119">
        <f>VLOOKUP(B12,All_Ingredients!$A$1:$J$151,10,FALSE())</f>
        <v>15</v>
      </c>
      <c r="K12" s="122">
        <f t="shared" si="5"/>
        <v>2.2952970297029703E-2</v>
      </c>
      <c r="L12" s="122">
        <f t="shared" si="6"/>
        <v>0.34429455445544555</v>
      </c>
    </row>
    <row r="13" spans="1:33" ht="14.25" customHeight="1" x14ac:dyDescent="0.25">
      <c r="B13" s="349"/>
      <c r="C13" s="133"/>
      <c r="D13" s="254"/>
      <c r="E13" s="225"/>
      <c r="F13" s="136"/>
      <c r="G13" s="140"/>
      <c r="H13" s="138"/>
    </row>
    <row r="14" spans="1:33" ht="14.25" customHeight="1" x14ac:dyDescent="0.25">
      <c r="E14" s="100"/>
      <c r="F14" s="100"/>
    </row>
    <row r="15" spans="1:33" ht="14.25" customHeight="1" x14ac:dyDescent="0.25">
      <c r="E15" s="100"/>
      <c r="F15" s="100"/>
    </row>
    <row r="16" spans="1:33" ht="14.25" customHeight="1" x14ac:dyDescent="0.25">
      <c r="E16" s="100"/>
      <c r="F16" s="100"/>
    </row>
    <row r="17" spans="2:29" ht="14.25" customHeight="1" x14ac:dyDescent="0.25">
      <c r="E17" s="100"/>
      <c r="F17" s="100"/>
    </row>
    <row r="18" spans="2:29" ht="14.25" customHeight="1" x14ac:dyDescent="0.25">
      <c r="E18" s="100"/>
      <c r="F18" s="100"/>
    </row>
    <row r="19" spans="2:29" ht="14.25" customHeight="1" x14ac:dyDescent="0.3">
      <c r="E19" s="100"/>
      <c r="F19" s="100"/>
      <c r="M19" s="1"/>
      <c r="N19"/>
      <c r="O19"/>
    </row>
    <row r="20" spans="2:29" ht="14.25" customHeight="1" x14ac:dyDescent="0.3">
      <c r="E20" s="100"/>
      <c r="F20" s="100"/>
      <c r="M20" s="179"/>
      <c r="N20" s="492"/>
      <c r="O20"/>
    </row>
    <row r="21" spans="2:29" ht="14.25" customHeight="1" x14ac:dyDescent="0.25">
      <c r="E21" s="100"/>
      <c r="F21" s="100"/>
    </row>
    <row r="22" spans="2:29" ht="14.25" customHeight="1" x14ac:dyDescent="0.3">
      <c r="B22" s="11"/>
      <c r="C22" s="336"/>
      <c r="D22" s="337"/>
      <c r="E22" s="100"/>
      <c r="F22" s="100"/>
    </row>
    <row r="23" spans="2:29" ht="14.25" customHeight="1" x14ac:dyDescent="0.3">
      <c r="B23" s="11"/>
      <c r="C23" s="336"/>
      <c r="D23" s="337"/>
      <c r="E23" s="100"/>
      <c r="F23" s="100"/>
    </row>
    <row r="24" spans="2:29" ht="14.25" customHeight="1" x14ac:dyDescent="0.3">
      <c r="B24" s="11"/>
      <c r="C24" s="336"/>
      <c r="D24" s="337"/>
      <c r="E24" s="100"/>
      <c r="F24" s="100"/>
      <c r="Z24" s="1234"/>
    </row>
    <row r="25" spans="2:29" ht="14.25" customHeight="1" x14ac:dyDescent="0.3">
      <c r="B25" s="11"/>
      <c r="C25" s="336"/>
      <c r="D25" s="337"/>
      <c r="E25" s="100"/>
      <c r="F25" s="100"/>
      <c r="R25" s="1430" t="s">
        <v>357</v>
      </c>
      <c r="S25" s="1388"/>
      <c r="T25" s="1388"/>
      <c r="Z25" s="141" t="s">
        <v>14</v>
      </c>
      <c r="AA25" s="142">
        <v>34960</v>
      </c>
      <c r="AB25" s="141" t="s">
        <v>261</v>
      </c>
      <c r="AC25" s="143">
        <f>(S31/S30)*AA25</f>
        <v>120.70216591268809</v>
      </c>
    </row>
    <row r="26" spans="2:29" ht="14.25" customHeight="1" x14ac:dyDescent="0.3">
      <c r="B26" s="11"/>
      <c r="C26" s="336"/>
      <c r="D26" s="337"/>
      <c r="E26" s="100"/>
      <c r="F26" s="100"/>
      <c r="R26" s="365" t="s">
        <v>350</v>
      </c>
      <c r="S26" s="365"/>
      <c r="T26" s="365"/>
    </row>
    <row r="27" spans="2:29" ht="14.25" customHeight="1" x14ac:dyDescent="0.3">
      <c r="B27" s="11"/>
      <c r="C27" s="336"/>
      <c r="D27" s="337"/>
      <c r="E27" s="100"/>
      <c r="F27" s="100"/>
      <c r="R27" s="145" t="s">
        <v>266</v>
      </c>
      <c r="S27" s="145" t="s">
        <v>351</v>
      </c>
      <c r="T27" s="145" t="s">
        <v>269</v>
      </c>
    </row>
    <row r="28" spans="2:29" ht="14.25" customHeight="1" x14ac:dyDescent="0.3">
      <c r="B28" s="11"/>
      <c r="C28" s="336"/>
      <c r="D28" s="337"/>
      <c r="E28" s="100"/>
      <c r="F28" s="100"/>
      <c r="R28" s="145" t="s">
        <v>275</v>
      </c>
      <c r="S28" s="791">
        <f>T28</f>
        <v>30910</v>
      </c>
      <c r="T28" s="790">
        <f>Z1</f>
        <v>30910</v>
      </c>
    </row>
    <row r="29" spans="2:29" ht="14.25" customHeight="1" x14ac:dyDescent="0.3">
      <c r="B29" s="11"/>
      <c r="C29" s="336"/>
      <c r="D29" s="337"/>
      <c r="E29" s="100"/>
      <c r="F29" s="100"/>
      <c r="R29" s="145" t="s">
        <v>277</v>
      </c>
      <c r="S29" s="790">
        <f>AB1</f>
        <v>0</v>
      </c>
      <c r="T29" s="793">
        <f>S29</f>
        <v>0</v>
      </c>
    </row>
    <row r="30" spans="2:29" ht="14.25" customHeight="1" thickBot="1" x14ac:dyDescent="0.35">
      <c r="B30" s="11"/>
      <c r="C30" s="336"/>
      <c r="D30" s="337"/>
      <c r="E30" s="100"/>
      <c r="F30" s="100"/>
      <c r="R30" s="145" t="s">
        <v>269</v>
      </c>
      <c r="S30" s="339">
        <f>SUM(S28:S29)</f>
        <v>30910</v>
      </c>
      <c r="T30" s="339">
        <f>S30</f>
        <v>30910</v>
      </c>
    </row>
    <row r="31" spans="2:29" ht="14.25" customHeight="1" thickBot="1" x14ac:dyDescent="0.35">
      <c r="B31" s="11"/>
      <c r="C31" s="336"/>
      <c r="D31" s="337"/>
      <c r="E31" s="100"/>
      <c r="F31" s="100"/>
      <c r="R31" s="163" t="s">
        <v>261</v>
      </c>
      <c r="S31" s="1144">
        <f>SUM(L6:L12)</f>
        <v>106.71922049088069</v>
      </c>
      <c r="T31" s="1220">
        <f>S31</f>
        <v>106.71922049088069</v>
      </c>
    </row>
    <row r="32" spans="2:29" ht="14.25" customHeight="1" x14ac:dyDescent="0.25">
      <c r="B32" s="100"/>
      <c r="E32" s="100"/>
      <c r="F32" s="100"/>
    </row>
    <row r="41" ht="14" customHeight="1" x14ac:dyDescent="0.25"/>
    <row r="42" ht="14" customHeight="1" x14ac:dyDescent="0.25"/>
    <row r="50" spans="1:8" ht="14" x14ac:dyDescent="0.3">
      <c r="B50" s="226"/>
      <c r="C50" s="226" t="s">
        <v>245</v>
      </c>
      <c r="D50" s="226" t="s">
        <v>291</v>
      </c>
    </row>
    <row r="51" spans="1:8" ht="14" x14ac:dyDescent="0.3">
      <c r="B51" s="180" t="s">
        <v>295</v>
      </c>
      <c r="C51" s="181">
        <f>10/$K$1</f>
        <v>9.9009900990099009</v>
      </c>
      <c r="D51" s="182">
        <f>$C$1*10</f>
        <v>10000</v>
      </c>
    </row>
    <row r="52" spans="1:8" ht="14" x14ac:dyDescent="0.3">
      <c r="B52" s="231" t="s">
        <v>269</v>
      </c>
      <c r="C52" s="232">
        <f>G1</f>
        <v>30.91</v>
      </c>
      <c r="D52" s="233">
        <f>E1</f>
        <v>30910</v>
      </c>
    </row>
    <row r="53" spans="1:8" ht="14" x14ac:dyDescent="0.3">
      <c r="B53" s="231" t="s">
        <v>296</v>
      </c>
      <c r="C53" s="234">
        <f>MIN($C$52, $C$51)</f>
        <v>9.9009900990099009</v>
      </c>
      <c r="D53" s="233">
        <f>(C53*$K$1)*$C$1</f>
        <v>10000</v>
      </c>
    </row>
    <row r="54" spans="1:8" ht="14" x14ac:dyDescent="0.3">
      <c r="B54" s="231" t="s">
        <v>297</v>
      </c>
      <c r="C54" s="234">
        <f>MIN($C$52-C53, $C$51)</f>
        <v>9.9009900990099009</v>
      </c>
      <c r="D54" s="233">
        <f>(C54*$K$1)*$C$1</f>
        <v>10000</v>
      </c>
    </row>
    <row r="55" spans="1:8" ht="14" x14ac:dyDescent="0.3">
      <c r="B55" s="231" t="s">
        <v>298</v>
      </c>
      <c r="C55" s="234">
        <f>MIN($C$52-C53-C54, $C$51)</f>
        <v>9.9009900990099009</v>
      </c>
      <c r="D55" s="233">
        <f>(C55*$K$1)*$C$1</f>
        <v>10000</v>
      </c>
    </row>
    <row r="56" spans="1:8" ht="14" x14ac:dyDescent="0.3">
      <c r="B56" s="231" t="s">
        <v>305</v>
      </c>
      <c r="C56" s="234">
        <f>MIN($C$52-C53-C54-C55, $C$51)</f>
        <v>1.2070297029702992</v>
      </c>
      <c r="D56" s="233">
        <f>(C56*$K$1)*$C$1</f>
        <v>1219.1000000000022</v>
      </c>
    </row>
    <row r="57" spans="1:8" ht="14" x14ac:dyDescent="0.3">
      <c r="B57" s="231" t="s">
        <v>356</v>
      </c>
      <c r="C57" s="234">
        <f>MIN($C$52-C53-C54-C55-C56, $C$51)</f>
        <v>0</v>
      </c>
      <c r="D57" s="233">
        <f>(C57*$K$1)*$C$1</f>
        <v>0</v>
      </c>
    </row>
    <row r="62" spans="1:8" ht="17.75" customHeight="1" x14ac:dyDescent="0.3">
      <c r="A62" s="942"/>
      <c r="B62" s="1382" t="s">
        <v>636</v>
      </c>
      <c r="C62" s="1383"/>
      <c r="D62" s="1383"/>
      <c r="E62" s="1383"/>
      <c r="F62" s="1383"/>
      <c r="G62" s="1383"/>
      <c r="H62" s="1383"/>
    </row>
    <row r="63" spans="1:8" ht="14" customHeight="1" x14ac:dyDescent="0.3">
      <c r="A63" s="942"/>
      <c r="B63" s="1384" t="s">
        <v>355</v>
      </c>
      <c r="C63" s="1385"/>
      <c r="D63" s="1385"/>
      <c r="E63" s="1385"/>
      <c r="F63" s="1385"/>
      <c r="G63" s="1385"/>
      <c r="H63" s="1385"/>
    </row>
    <row r="64" spans="1:8" ht="50.75" customHeight="1" x14ac:dyDescent="0.25">
      <c r="A64" s="91"/>
      <c r="B64" s="243" t="s">
        <v>253</v>
      </c>
      <c r="C64" s="244" t="s">
        <v>254</v>
      </c>
      <c r="D64" s="245" t="s">
        <v>243</v>
      </c>
      <c r="E64" s="218" t="s">
        <v>246</v>
      </c>
      <c r="F64" s="218" t="s">
        <v>255</v>
      </c>
      <c r="G64" s="245" t="s">
        <v>256</v>
      </c>
      <c r="H64" s="218" t="s">
        <v>257</v>
      </c>
    </row>
    <row r="65" spans="1:8" ht="27.5" customHeight="1" x14ac:dyDescent="0.25">
      <c r="A65" s="295" t="s">
        <v>13</v>
      </c>
      <c r="B65" s="323" t="str">
        <f t="shared" ref="B65:D71" si="7">B6</f>
        <v>Potato - بطاطس</v>
      </c>
      <c r="C65" s="124" t="str">
        <f t="shared" si="7"/>
        <v>gm</v>
      </c>
      <c r="D65" s="125">
        <f t="shared" si="7"/>
        <v>1175</v>
      </c>
      <c r="E65" s="116">
        <f>$C$52</f>
        <v>30.91</v>
      </c>
      <c r="F65" s="127">
        <f t="shared" ref="F65:F71" si="8">F6</f>
        <v>1</v>
      </c>
      <c r="G65" s="119">
        <f t="shared" ref="G65:G71" si="9">D65*E65</f>
        <v>36319.25</v>
      </c>
      <c r="H65" s="120">
        <f t="shared" ref="H65:H71" si="10">G65*F65</f>
        <v>36319.25</v>
      </c>
    </row>
    <row r="66" spans="1:8" ht="14.25" customHeight="1" x14ac:dyDescent="0.25">
      <c r="A66" s="295" t="s">
        <v>57</v>
      </c>
      <c r="B66" s="323" t="str">
        <f t="shared" si="7"/>
        <v>Ginger - زنجبيل</v>
      </c>
      <c r="C66" s="124" t="str">
        <f t="shared" si="7"/>
        <v>gm</v>
      </c>
      <c r="D66" s="125">
        <f t="shared" si="7"/>
        <v>10</v>
      </c>
      <c r="E66" s="116">
        <f t="shared" ref="E66:E71" si="11">$C$52</f>
        <v>30.91</v>
      </c>
      <c r="F66" s="127">
        <f t="shared" si="8"/>
        <v>1</v>
      </c>
      <c r="G66" s="119">
        <f t="shared" si="9"/>
        <v>309.10000000000002</v>
      </c>
      <c r="H66" s="120">
        <f t="shared" si="10"/>
        <v>309.10000000000002</v>
      </c>
    </row>
    <row r="67" spans="1:8" ht="14.25" customHeight="1" x14ac:dyDescent="0.25">
      <c r="A67" s="295" t="s">
        <v>63</v>
      </c>
      <c r="B67" s="323" t="str">
        <f t="shared" si="7"/>
        <v>Coriander Leaves - كزبرة خضراء</v>
      </c>
      <c r="C67" s="124" t="str">
        <f t="shared" si="7"/>
        <v>gm</v>
      </c>
      <c r="D67" s="125">
        <f t="shared" si="7"/>
        <v>5</v>
      </c>
      <c r="E67" s="116">
        <f t="shared" si="11"/>
        <v>30.91</v>
      </c>
      <c r="F67" s="127">
        <f t="shared" si="8"/>
        <v>1</v>
      </c>
      <c r="G67" s="119">
        <f t="shared" si="9"/>
        <v>154.55000000000001</v>
      </c>
      <c r="H67" s="120">
        <f t="shared" si="10"/>
        <v>154.55000000000001</v>
      </c>
    </row>
    <row r="68" spans="1:8" ht="14.25" customHeight="1" x14ac:dyDescent="0.25">
      <c r="A68" s="295" t="s">
        <v>158</v>
      </c>
      <c r="B68" s="323" t="str">
        <f t="shared" si="7"/>
        <v>Butter - زبدة</v>
      </c>
      <c r="C68" s="124" t="str">
        <f t="shared" si="7"/>
        <v>gm</v>
      </c>
      <c r="D68" s="125">
        <f t="shared" si="7"/>
        <v>10</v>
      </c>
      <c r="E68" s="116">
        <f t="shared" si="11"/>
        <v>30.91</v>
      </c>
      <c r="F68" s="127">
        <f t="shared" si="8"/>
        <v>1</v>
      </c>
      <c r="G68" s="119">
        <f t="shared" si="9"/>
        <v>309.10000000000002</v>
      </c>
      <c r="H68" s="120">
        <f t="shared" si="10"/>
        <v>309.10000000000002</v>
      </c>
    </row>
    <row r="69" spans="1:8" ht="14.25" customHeight="1" x14ac:dyDescent="0.25">
      <c r="A69" s="295" t="s">
        <v>97</v>
      </c>
      <c r="B69" s="323" t="str">
        <f t="shared" si="7"/>
        <v>White Pepper - فلفل أبيض</v>
      </c>
      <c r="C69" s="124" t="str">
        <f t="shared" si="7"/>
        <v>gm</v>
      </c>
      <c r="D69" s="125">
        <f t="shared" si="7"/>
        <v>2</v>
      </c>
      <c r="E69" s="116">
        <f t="shared" si="11"/>
        <v>30.91</v>
      </c>
      <c r="F69" s="127">
        <f t="shared" si="8"/>
        <v>0.75</v>
      </c>
      <c r="G69" s="119">
        <f t="shared" si="9"/>
        <v>61.82</v>
      </c>
      <c r="H69" s="120">
        <f t="shared" si="10"/>
        <v>46.365000000000002</v>
      </c>
    </row>
    <row r="70" spans="1:8" ht="14.25" customHeight="1" x14ac:dyDescent="0.25">
      <c r="A70" s="295" t="s">
        <v>97</v>
      </c>
      <c r="B70" s="323" t="str">
        <f t="shared" si="7"/>
        <v>Salt - ملح</v>
      </c>
      <c r="C70" s="124" t="str">
        <f t="shared" si="7"/>
        <v>gm</v>
      </c>
      <c r="D70" s="125">
        <f t="shared" si="7"/>
        <v>5</v>
      </c>
      <c r="E70" s="116">
        <f t="shared" si="11"/>
        <v>30.91</v>
      </c>
      <c r="F70" s="127">
        <f t="shared" si="8"/>
        <v>0.75</v>
      </c>
      <c r="G70" s="119">
        <f t="shared" si="9"/>
        <v>154.55000000000001</v>
      </c>
      <c r="H70" s="120">
        <f t="shared" si="10"/>
        <v>115.91250000000001</v>
      </c>
    </row>
    <row r="71" spans="1:8" ht="14.25" customHeight="1" x14ac:dyDescent="0.25">
      <c r="A71" s="295" t="s">
        <v>97</v>
      </c>
      <c r="B71" s="323" t="str">
        <f t="shared" si="7"/>
        <v>Cumin Powder - كمون مطحون</v>
      </c>
      <c r="C71" s="124" t="str">
        <f t="shared" si="7"/>
        <v>gm</v>
      </c>
      <c r="D71" s="125">
        <f t="shared" si="7"/>
        <v>1</v>
      </c>
      <c r="E71" s="116">
        <f t="shared" si="11"/>
        <v>30.91</v>
      </c>
      <c r="F71" s="127">
        <f t="shared" si="8"/>
        <v>0.75</v>
      </c>
      <c r="G71" s="119">
        <f t="shared" si="9"/>
        <v>30.91</v>
      </c>
      <c r="H71" s="120">
        <f t="shared" si="10"/>
        <v>23.182500000000001</v>
      </c>
    </row>
    <row r="72" spans="1:8" ht="23" customHeight="1" x14ac:dyDescent="0.25">
      <c r="B72" s="198" t="s">
        <v>769</v>
      </c>
      <c r="E72" s="100"/>
      <c r="F72" s="100"/>
    </row>
    <row r="73" spans="1:8" ht="25.5" customHeight="1" x14ac:dyDescent="0.4">
      <c r="B73" s="199">
        <f>D52</f>
        <v>30910</v>
      </c>
      <c r="C73" s="208"/>
      <c r="D73" s="4"/>
      <c r="E73" s="100"/>
      <c r="F73" s="183"/>
    </row>
    <row r="74" spans="1:8" ht="12.75" customHeight="1" x14ac:dyDescent="0.25">
      <c r="B74" s="100"/>
      <c r="E74" s="100"/>
      <c r="F74" s="100"/>
    </row>
    <row r="75" spans="1:8" ht="12.75" customHeight="1" x14ac:dyDescent="0.25">
      <c r="B75" s="100"/>
      <c r="C75" s="100"/>
      <c r="D75" s="100"/>
      <c r="E75" s="100"/>
      <c r="F75" s="100"/>
      <c r="G75" s="100"/>
      <c r="H75" s="100"/>
    </row>
    <row r="76" spans="1:8" ht="17.75" customHeight="1" x14ac:dyDescent="0.25">
      <c r="A76" s="1253"/>
      <c r="B76" s="1439"/>
      <c r="C76" s="1439"/>
      <c r="D76" s="1439"/>
      <c r="E76" s="1439"/>
      <c r="F76" s="1439"/>
      <c r="G76" s="1439"/>
      <c r="H76" s="1439"/>
    </row>
    <row r="77" spans="1:8" ht="17.75" customHeight="1" x14ac:dyDescent="0.25">
      <c r="A77" s="1253"/>
      <c r="B77" s="1439"/>
      <c r="C77" s="1439"/>
      <c r="D77" s="1439"/>
      <c r="E77" s="1439"/>
      <c r="F77" s="1439"/>
      <c r="G77" s="1439"/>
      <c r="H77" s="1439"/>
    </row>
    <row r="78" spans="1:8" ht="25.5" customHeight="1" x14ac:dyDescent="0.25">
      <c r="A78" s="1258"/>
      <c r="B78" s="1268"/>
      <c r="C78" s="1269"/>
      <c r="D78" s="1268"/>
      <c r="E78" s="1270"/>
      <c r="F78" s="1270"/>
      <c r="G78" s="1268"/>
      <c r="H78" s="1270"/>
    </row>
    <row r="79" spans="1:8" ht="31.5" customHeight="1" x14ac:dyDescent="0.25">
      <c r="A79" s="881"/>
      <c r="B79" s="1271"/>
      <c r="C79" s="1271"/>
      <c r="D79" s="1271"/>
      <c r="E79" s="1272"/>
      <c r="F79" s="1273"/>
      <c r="G79" s="1274"/>
      <c r="H79" s="1275"/>
    </row>
    <row r="80" spans="1:8" ht="14.25" customHeight="1" x14ac:dyDescent="0.25">
      <c r="A80" s="881"/>
      <c r="B80" s="1271"/>
      <c r="C80" s="1271"/>
      <c r="D80" s="1271"/>
      <c r="E80" s="1272"/>
      <c r="F80" s="1273"/>
      <c r="G80" s="1274"/>
      <c r="H80" s="1275"/>
    </row>
    <row r="81" spans="1:8" ht="14.25" customHeight="1" x14ac:dyDescent="0.25">
      <c r="A81" s="881"/>
      <c r="B81" s="1271"/>
      <c r="C81" s="1271"/>
      <c r="D81" s="1271"/>
      <c r="E81" s="1272"/>
      <c r="F81" s="1273"/>
      <c r="G81" s="1274"/>
      <c r="H81" s="1275"/>
    </row>
    <row r="82" spans="1:8" ht="14.25" customHeight="1" x14ac:dyDescent="0.25">
      <c r="A82" s="881"/>
      <c r="B82" s="1271"/>
      <c r="C82" s="1271"/>
      <c r="D82" s="1271"/>
      <c r="E82" s="1272"/>
      <c r="F82" s="1273"/>
      <c r="G82" s="1274"/>
      <c r="H82" s="1275"/>
    </row>
    <row r="83" spans="1:8" ht="14.25" customHeight="1" x14ac:dyDescent="0.25">
      <c r="A83" s="881"/>
      <c r="B83" s="1271"/>
      <c r="C83" s="1271"/>
      <c r="D83" s="1271"/>
      <c r="E83" s="1272"/>
      <c r="F83" s="1273"/>
      <c r="G83" s="1274"/>
      <c r="H83" s="1275"/>
    </row>
    <row r="84" spans="1:8" ht="14.25" customHeight="1" x14ac:dyDescent="0.25">
      <c r="A84" s="881"/>
      <c r="B84" s="1271"/>
      <c r="C84" s="1271"/>
      <c r="D84" s="1271"/>
      <c r="E84" s="1272"/>
      <c r="F84" s="1273"/>
      <c r="G84" s="1274"/>
      <c r="H84" s="1275"/>
    </row>
    <row r="85" spans="1:8" ht="14.25" customHeight="1" x14ac:dyDescent="0.25">
      <c r="A85" s="881"/>
      <c r="B85" s="1271"/>
      <c r="C85" s="1271"/>
      <c r="D85" s="1271"/>
      <c r="E85" s="1272"/>
      <c r="F85" s="1273"/>
      <c r="G85" s="1274"/>
      <c r="H85" s="1275"/>
    </row>
    <row r="86" spans="1:8" ht="12.75" customHeight="1" x14ac:dyDescent="0.25">
      <c r="A86" s="881"/>
      <c r="B86" s="900"/>
      <c r="C86" s="881"/>
      <c r="D86" s="881"/>
      <c r="E86" s="875"/>
      <c r="F86" s="875"/>
      <c r="G86" s="881"/>
      <c r="H86" s="881"/>
    </row>
    <row r="87" spans="1:8" ht="21.5" customHeight="1" x14ac:dyDescent="0.4">
      <c r="A87" s="881"/>
      <c r="B87" s="901"/>
      <c r="C87" s="905"/>
      <c r="D87" s="1279"/>
      <c r="E87" s="875"/>
      <c r="F87" s="1280"/>
      <c r="G87" s="881"/>
      <c r="H87" s="881"/>
    </row>
    <row r="88" spans="1:8" ht="12.75" customHeight="1" x14ac:dyDescent="0.25">
      <c r="A88" s="881"/>
      <c r="B88" s="875"/>
      <c r="C88" s="875"/>
      <c r="D88" s="875"/>
      <c r="E88" s="875"/>
      <c r="F88" s="875"/>
      <c r="G88" s="875"/>
      <c r="H88" s="875"/>
    </row>
    <row r="89" spans="1:8" ht="12.75" customHeight="1" x14ac:dyDescent="0.25">
      <c r="A89" s="881"/>
      <c r="B89" s="875"/>
      <c r="C89" s="875"/>
      <c r="D89" s="875"/>
      <c r="E89" s="875"/>
      <c r="F89" s="875"/>
      <c r="G89" s="875"/>
      <c r="H89" s="875"/>
    </row>
    <row r="90" spans="1:8" ht="17.75" customHeight="1" x14ac:dyDescent="0.3">
      <c r="A90" s="1253"/>
      <c r="B90" s="1439"/>
      <c r="C90" s="1440"/>
      <c r="D90" s="1440"/>
      <c r="E90" s="1440"/>
      <c r="F90" s="1440"/>
      <c r="G90" s="1440"/>
      <c r="H90" s="1440"/>
    </row>
    <row r="91" spans="1:8" ht="17.75" customHeight="1" x14ac:dyDescent="0.3">
      <c r="A91" s="1253"/>
      <c r="B91" s="1439"/>
      <c r="C91" s="1440"/>
      <c r="D91" s="1440"/>
      <c r="E91" s="1440"/>
      <c r="F91" s="1440"/>
      <c r="G91" s="1440"/>
      <c r="H91" s="1440"/>
    </row>
    <row r="92" spans="1:8" ht="25.5" customHeight="1" x14ac:dyDescent="0.25">
      <c r="A92" s="1258"/>
      <c r="B92" s="1268"/>
      <c r="C92" s="1269"/>
      <c r="D92" s="1268"/>
      <c r="E92" s="1270"/>
      <c r="F92" s="1270"/>
      <c r="G92" s="1268"/>
      <c r="H92" s="1270"/>
    </row>
    <row r="93" spans="1:8" ht="55.25" customHeight="1" x14ac:dyDescent="0.25">
      <c r="A93" s="881"/>
      <c r="B93" s="1271"/>
      <c r="C93" s="1271"/>
      <c r="D93" s="1271"/>
      <c r="E93" s="1272"/>
      <c r="F93" s="1273"/>
      <c r="G93" s="1274"/>
      <c r="H93" s="1275"/>
    </row>
    <row r="94" spans="1:8" ht="14.25" customHeight="1" x14ac:dyDescent="0.25">
      <c r="A94" s="881"/>
      <c r="B94" s="1271"/>
      <c r="C94" s="1271"/>
      <c r="D94" s="1271"/>
      <c r="E94" s="1272"/>
      <c r="F94" s="1273"/>
      <c r="G94" s="1274"/>
      <c r="H94" s="1275"/>
    </row>
    <row r="95" spans="1:8" ht="14.25" customHeight="1" x14ac:dyDescent="0.25">
      <c r="A95" s="881"/>
      <c r="B95" s="1271"/>
      <c r="C95" s="1271"/>
      <c r="D95" s="1271"/>
      <c r="E95" s="1272"/>
      <c r="F95" s="1273"/>
      <c r="G95" s="1274"/>
      <c r="H95" s="1275"/>
    </row>
    <row r="96" spans="1:8" ht="14.25" customHeight="1" x14ac:dyDescent="0.25">
      <c r="A96" s="881"/>
      <c r="B96" s="1271"/>
      <c r="C96" s="1271"/>
      <c r="D96" s="1271"/>
      <c r="E96" s="1272"/>
      <c r="F96" s="1273"/>
      <c r="G96" s="1274"/>
      <c r="H96" s="1275"/>
    </row>
    <row r="97" spans="1:8" ht="14.25" customHeight="1" x14ac:dyDescent="0.25">
      <c r="A97" s="881"/>
      <c r="B97" s="1271"/>
      <c r="C97" s="1271"/>
      <c r="D97" s="1271"/>
      <c r="E97" s="1272"/>
      <c r="F97" s="1273"/>
      <c r="G97" s="1274"/>
      <c r="H97" s="1275"/>
    </row>
    <row r="98" spans="1:8" ht="14.25" customHeight="1" x14ac:dyDescent="0.25">
      <c r="A98" s="881"/>
      <c r="B98" s="1271"/>
      <c r="C98" s="1271"/>
      <c r="D98" s="1271"/>
      <c r="E98" s="1272"/>
      <c r="F98" s="1273"/>
      <c r="G98" s="1274"/>
      <c r="H98" s="1275"/>
    </row>
    <row r="99" spans="1:8" ht="14.25" customHeight="1" x14ac:dyDescent="0.25">
      <c r="A99" s="881"/>
      <c r="B99" s="1271"/>
      <c r="C99" s="1271"/>
      <c r="D99" s="1271"/>
      <c r="E99" s="1272"/>
      <c r="F99" s="1273"/>
      <c r="G99" s="1274"/>
      <c r="H99" s="1275"/>
    </row>
    <row r="100" spans="1:8" ht="12.75" customHeight="1" x14ac:dyDescent="0.25">
      <c r="A100" s="881"/>
      <c r="B100" s="900"/>
      <c r="C100" s="881"/>
      <c r="D100" s="881"/>
      <c r="E100" s="875"/>
      <c r="F100" s="875"/>
      <c r="G100" s="881"/>
      <c r="H100" s="881"/>
    </row>
    <row r="101" spans="1:8" ht="22.25" customHeight="1" x14ac:dyDescent="0.4">
      <c r="A101" s="881"/>
      <c r="B101" s="901"/>
      <c r="C101" s="905"/>
      <c r="D101" s="1279"/>
      <c r="E101" s="875"/>
      <c r="F101" s="1280"/>
      <c r="G101" s="881"/>
      <c r="H101" s="881"/>
    </row>
    <row r="102" spans="1:8" ht="19.25" customHeight="1" x14ac:dyDescent="0.25">
      <c r="A102" s="881"/>
      <c r="B102" s="881"/>
      <c r="C102" s="881"/>
      <c r="D102" s="881"/>
      <c r="E102" s="881"/>
      <c r="F102" s="881"/>
      <c r="G102" s="881"/>
      <c r="H102" s="881"/>
    </row>
    <row r="103" spans="1:8" x14ac:dyDescent="0.25">
      <c r="A103" s="881"/>
      <c r="B103" s="881"/>
      <c r="C103" s="881"/>
      <c r="D103" s="881"/>
      <c r="E103" s="881"/>
      <c r="F103" s="881"/>
      <c r="G103" s="881"/>
      <c r="H103" s="881"/>
    </row>
    <row r="104" spans="1:8" ht="17.75" customHeight="1" x14ac:dyDescent="0.3">
      <c r="A104" s="1253"/>
      <c r="B104" s="1439"/>
      <c r="C104" s="1440"/>
      <c r="D104" s="1440"/>
      <c r="E104" s="1440"/>
      <c r="F104" s="1440"/>
      <c r="G104" s="1440"/>
      <c r="H104" s="1440"/>
    </row>
    <row r="105" spans="1:8" ht="17.75" customHeight="1" x14ac:dyDescent="0.3">
      <c r="A105" s="1253"/>
      <c r="B105" s="1439"/>
      <c r="C105" s="1440"/>
      <c r="D105" s="1440"/>
      <c r="E105" s="1440"/>
      <c r="F105" s="1440"/>
      <c r="G105" s="1440"/>
      <c r="H105" s="1440"/>
    </row>
    <row r="106" spans="1:8" ht="25.5" customHeight="1" x14ac:dyDescent="0.25">
      <c r="A106" s="1258"/>
      <c r="B106" s="1268"/>
      <c r="C106" s="1269"/>
      <c r="D106" s="1268"/>
      <c r="E106" s="1270"/>
      <c r="F106" s="1270"/>
      <c r="G106" s="1268"/>
      <c r="H106" s="1270"/>
    </row>
    <row r="107" spans="1:8" ht="35" customHeight="1" x14ac:dyDescent="0.25">
      <c r="A107" s="881"/>
      <c r="B107" s="1271"/>
      <c r="C107" s="1271"/>
      <c r="D107" s="1271"/>
      <c r="E107" s="1272"/>
      <c r="F107" s="1273"/>
      <c r="G107" s="1274"/>
      <c r="H107" s="1275"/>
    </row>
    <row r="108" spans="1:8" ht="14.25" customHeight="1" x14ac:dyDescent="0.25">
      <c r="A108" s="881"/>
      <c r="B108" s="1271"/>
      <c r="C108" s="1271"/>
      <c r="D108" s="1271"/>
      <c r="E108" s="1272"/>
      <c r="F108" s="1273"/>
      <c r="G108" s="1274"/>
      <c r="H108" s="1275"/>
    </row>
    <row r="109" spans="1:8" ht="14.25" customHeight="1" x14ac:dyDescent="0.25">
      <c r="A109" s="881"/>
      <c r="B109" s="1271"/>
      <c r="C109" s="1271"/>
      <c r="D109" s="1271"/>
      <c r="E109" s="1272"/>
      <c r="F109" s="1273"/>
      <c r="G109" s="1274"/>
      <c r="H109" s="1275"/>
    </row>
    <row r="110" spans="1:8" ht="14.25" customHeight="1" x14ac:dyDescent="0.25">
      <c r="A110" s="881"/>
      <c r="B110" s="1271"/>
      <c r="C110" s="1271"/>
      <c r="D110" s="1271"/>
      <c r="E110" s="1272"/>
      <c r="F110" s="1273"/>
      <c r="G110" s="1274"/>
      <c r="H110" s="1275"/>
    </row>
    <row r="111" spans="1:8" ht="14.25" customHeight="1" x14ac:dyDescent="0.25">
      <c r="A111" s="881"/>
      <c r="B111" s="1271"/>
      <c r="C111" s="1271"/>
      <c r="D111" s="1271"/>
      <c r="E111" s="1272"/>
      <c r="F111" s="1273"/>
      <c r="G111" s="1274"/>
      <c r="H111" s="1275"/>
    </row>
    <row r="112" spans="1:8" ht="14.25" customHeight="1" x14ac:dyDescent="0.25">
      <c r="A112" s="881"/>
      <c r="B112" s="1271"/>
      <c r="C112" s="1271"/>
      <c r="D112" s="1271"/>
      <c r="E112" s="1272"/>
      <c r="F112" s="1273"/>
      <c r="G112" s="1274"/>
      <c r="H112" s="1275"/>
    </row>
    <row r="113" spans="1:8" ht="14.25" customHeight="1" x14ac:dyDescent="0.25">
      <c r="A113" s="881"/>
      <c r="B113" s="1271"/>
      <c r="C113" s="1271"/>
      <c r="D113" s="1271"/>
      <c r="E113" s="1272"/>
      <c r="F113" s="1273"/>
      <c r="G113" s="1274"/>
      <c r="H113" s="1275"/>
    </row>
    <row r="114" spans="1:8" ht="12.75" customHeight="1" x14ac:dyDescent="0.25">
      <c r="A114" s="881"/>
      <c r="B114" s="900"/>
      <c r="C114" s="881"/>
      <c r="D114" s="881"/>
      <c r="E114" s="875"/>
      <c r="F114" s="875"/>
      <c r="G114" s="881"/>
      <c r="H114" s="881"/>
    </row>
    <row r="115" spans="1:8" ht="19.25" customHeight="1" x14ac:dyDescent="0.4">
      <c r="A115" s="881"/>
      <c r="B115" s="901"/>
      <c r="C115" s="905"/>
      <c r="D115" s="1279"/>
      <c r="E115" s="875"/>
      <c r="F115" s="1280"/>
      <c r="G115" s="881"/>
      <c r="H115" s="881"/>
    </row>
    <row r="116" spans="1:8" x14ac:dyDescent="0.25">
      <c r="A116" s="881"/>
      <c r="B116" s="881"/>
      <c r="C116" s="881"/>
      <c r="D116" s="881"/>
      <c r="E116" s="881"/>
      <c r="F116" s="881"/>
      <c r="G116" s="881"/>
      <c r="H116" s="881"/>
    </row>
    <row r="117" spans="1:8" ht="17.75" customHeight="1" x14ac:dyDescent="0.3">
      <c r="A117" s="1253"/>
      <c r="B117" s="1439"/>
      <c r="C117" s="1440"/>
      <c r="D117" s="1440"/>
      <c r="E117" s="1440"/>
      <c r="F117" s="1440"/>
      <c r="G117" s="1440"/>
      <c r="H117" s="1440"/>
    </row>
    <row r="118" spans="1:8" ht="17.75" customHeight="1" x14ac:dyDescent="0.3">
      <c r="A118" s="1253"/>
      <c r="B118" s="1439"/>
      <c r="C118" s="1440"/>
      <c r="D118" s="1440"/>
      <c r="E118" s="1440"/>
      <c r="F118" s="1440"/>
      <c r="G118" s="1440"/>
      <c r="H118" s="1440"/>
    </row>
    <row r="119" spans="1:8" ht="25.5" customHeight="1" x14ac:dyDescent="0.25">
      <c r="A119" s="1258"/>
      <c r="B119" s="1268"/>
      <c r="C119" s="1269"/>
      <c r="D119" s="1268"/>
      <c r="E119" s="1270"/>
      <c r="F119" s="1270"/>
      <c r="G119" s="1268"/>
      <c r="H119" s="1270"/>
    </row>
    <row r="120" spans="1:8" ht="43.25" customHeight="1" x14ac:dyDescent="0.25">
      <c r="A120" s="881"/>
      <c r="B120" s="1271"/>
      <c r="C120" s="1271"/>
      <c r="D120" s="1271"/>
      <c r="E120" s="1272"/>
      <c r="F120" s="1273"/>
      <c r="G120" s="1274"/>
      <c r="H120" s="1275"/>
    </row>
    <row r="121" spans="1:8" ht="14.25" customHeight="1" x14ac:dyDescent="0.25">
      <c r="A121" s="881"/>
      <c r="B121" s="1271"/>
      <c r="C121" s="1271"/>
      <c r="D121" s="1271"/>
      <c r="E121" s="1272"/>
      <c r="F121" s="1273"/>
      <c r="G121" s="1274"/>
      <c r="H121" s="1275"/>
    </row>
    <row r="122" spans="1:8" ht="14.25" customHeight="1" x14ac:dyDescent="0.25">
      <c r="A122" s="881"/>
      <c r="B122" s="1271"/>
      <c r="C122" s="1271"/>
      <c r="D122" s="1271"/>
      <c r="E122" s="1272"/>
      <c r="F122" s="1273"/>
      <c r="G122" s="1274"/>
      <c r="H122" s="1275"/>
    </row>
    <row r="123" spans="1:8" ht="14.25" customHeight="1" x14ac:dyDescent="0.25">
      <c r="A123" s="881"/>
      <c r="B123" s="1271"/>
      <c r="C123" s="1271"/>
      <c r="D123" s="1271"/>
      <c r="E123" s="1272"/>
      <c r="F123" s="1273"/>
      <c r="G123" s="1274"/>
      <c r="H123" s="1275"/>
    </row>
    <row r="124" spans="1:8" ht="14.25" customHeight="1" x14ac:dyDescent="0.25">
      <c r="A124" s="881"/>
      <c r="B124" s="1271"/>
      <c r="C124" s="1271"/>
      <c r="D124" s="1271"/>
      <c r="E124" s="1272"/>
      <c r="F124" s="1273"/>
      <c r="G124" s="1274"/>
      <c r="H124" s="1275"/>
    </row>
    <row r="125" spans="1:8" ht="14.25" customHeight="1" x14ac:dyDescent="0.25">
      <c r="A125" s="881"/>
      <c r="B125" s="1271"/>
      <c r="C125" s="1271"/>
      <c r="D125" s="1271"/>
      <c r="E125" s="1272"/>
      <c r="F125" s="1273"/>
      <c r="G125" s="1274"/>
      <c r="H125" s="1275"/>
    </row>
    <row r="126" spans="1:8" ht="14.25" customHeight="1" x14ac:dyDescent="0.25">
      <c r="A126" s="881"/>
      <c r="B126" s="1271"/>
      <c r="C126" s="1271"/>
      <c r="D126" s="1271"/>
      <c r="E126" s="1272"/>
      <c r="F126" s="1273"/>
      <c r="G126" s="1274"/>
      <c r="H126" s="1275"/>
    </row>
    <row r="127" spans="1:8" ht="15.5" x14ac:dyDescent="0.25">
      <c r="A127" s="881"/>
      <c r="B127" s="900"/>
      <c r="C127" s="881"/>
      <c r="D127" s="881"/>
      <c r="E127" s="881"/>
      <c r="F127" s="881"/>
      <c r="G127" s="881"/>
      <c r="H127" s="881"/>
    </row>
    <row r="128" spans="1:8" ht="20" x14ac:dyDescent="0.4">
      <c r="A128" s="881"/>
      <c r="B128" s="901"/>
      <c r="C128" s="881"/>
      <c r="D128" s="881"/>
      <c r="E128" s="881"/>
      <c r="F128" s="881"/>
      <c r="G128" s="881"/>
      <c r="H128" s="881"/>
    </row>
  </sheetData>
  <mergeCells count="13">
    <mergeCell ref="AE2:AG3"/>
    <mergeCell ref="B118:H118"/>
    <mergeCell ref="B90:H90"/>
    <mergeCell ref="B105:H105"/>
    <mergeCell ref="B77:H77"/>
    <mergeCell ref="B91:H91"/>
    <mergeCell ref="B62:H62"/>
    <mergeCell ref="B117:H117"/>
    <mergeCell ref="B2:H3"/>
    <mergeCell ref="B104:H104"/>
    <mergeCell ref="R25:T25"/>
    <mergeCell ref="B76:H76"/>
    <mergeCell ref="B63:H63"/>
  </mergeCells>
  <printOptions horizontalCentered="1"/>
  <pageMargins left="0.5" right="0.5" top="1" bottom="0.5" header="0.3" footer="0.511811023622047"/>
  <pageSetup paperSize="9" scale="36"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tabColor rgb="FFFFFF00"/>
    <pageSetUpPr fitToPage="1"/>
  </sheetPr>
  <dimension ref="A1:AG108"/>
  <sheetViews>
    <sheetView zoomScale="55" zoomScaleNormal="55" workbookViewId="0">
      <selection activeCell="K2" sqref="K2"/>
    </sheetView>
  </sheetViews>
  <sheetFormatPr defaultColWidth="12.5" defaultRowHeight="12.5" x14ac:dyDescent="0.25"/>
  <cols>
    <col min="1" max="1" width="12.5" style="14" customWidth="1"/>
    <col min="2" max="2" width="31.4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9" width="12.5" style="14" customWidth="1"/>
    <col min="10" max="10" width="9.6640625" style="14" customWidth="1"/>
    <col min="11" max="11" width="9" style="14" customWidth="1"/>
    <col min="12" max="12" width="8.33203125" style="14" customWidth="1"/>
    <col min="13" max="17" width="6.9140625" style="14" customWidth="1"/>
    <col min="18" max="16384" width="12.5" style="14"/>
  </cols>
  <sheetData>
    <row r="1" spans="1:33" ht="28.5" customHeight="1" x14ac:dyDescent="0.25">
      <c r="B1" s="80" t="s">
        <v>243</v>
      </c>
      <c r="C1" s="81">
        <v>1000</v>
      </c>
      <c r="D1" s="82" t="s">
        <v>244</v>
      </c>
      <c r="E1" s="117">
        <f>S30</f>
        <v>15300</v>
      </c>
      <c r="F1" s="80" t="s">
        <v>245</v>
      </c>
      <c r="G1" s="117">
        <f>E1/C1</f>
        <v>15.3</v>
      </c>
      <c r="H1" s="80" t="s">
        <v>246</v>
      </c>
      <c r="I1" s="117">
        <f>G1/K1</f>
        <v>15.3</v>
      </c>
      <c r="J1" s="326" t="s">
        <v>247</v>
      </c>
      <c r="K1" s="327">
        <v>1</v>
      </c>
      <c r="L1" s="100"/>
      <c r="M1" s="100" t="s">
        <v>352</v>
      </c>
      <c r="N1" s="100"/>
      <c r="O1" s="100"/>
      <c r="P1" s="100"/>
      <c r="Q1" s="100"/>
      <c r="R1" s="100"/>
      <c r="S1" s="100"/>
      <c r="T1" s="100"/>
      <c r="U1" s="100"/>
      <c r="V1" s="100"/>
      <c r="Y1" s="91" t="s">
        <v>479</v>
      </c>
      <c r="Z1" s="847">
        <v>15300</v>
      </c>
      <c r="AA1" s="91" t="s">
        <v>600</v>
      </c>
      <c r="AB1" s="847">
        <v>0</v>
      </c>
      <c r="AC1" s="91" t="s">
        <v>587</v>
      </c>
      <c r="AD1" s="847">
        <v>102</v>
      </c>
    </row>
    <row r="2" spans="1:33" ht="12.75" customHeight="1" x14ac:dyDescent="0.25">
      <c r="A2" s="330"/>
      <c r="B2" s="1408" t="s">
        <v>353</v>
      </c>
      <c r="C2" s="1429"/>
      <c r="D2" s="1429"/>
      <c r="E2" s="1429"/>
      <c r="F2" s="1429"/>
      <c r="G2" s="1429"/>
      <c r="H2" s="1429"/>
      <c r="I2" s="100"/>
      <c r="J2" s="100"/>
      <c r="K2" s="100"/>
      <c r="L2" s="100"/>
      <c r="M2" s="100"/>
      <c r="N2" s="100"/>
      <c r="O2" s="100"/>
      <c r="P2" s="100"/>
      <c r="Q2" s="100"/>
      <c r="R2" s="100"/>
      <c r="S2" s="100"/>
      <c r="T2" s="100"/>
      <c r="U2" s="100"/>
      <c r="AE2" s="1417"/>
      <c r="AF2" s="1389"/>
      <c r="AG2" s="1389"/>
    </row>
    <row r="3" spans="1:33" ht="12.75" customHeight="1" x14ac:dyDescent="0.25">
      <c r="A3" s="330"/>
      <c r="B3" s="1388"/>
      <c r="C3" s="1388"/>
      <c r="D3" s="1388"/>
      <c r="E3" s="1388"/>
      <c r="F3" s="1388"/>
      <c r="G3" s="1388"/>
      <c r="H3" s="1388"/>
      <c r="I3" s="100"/>
      <c r="J3" s="100"/>
      <c r="K3" s="100"/>
      <c r="L3" s="100"/>
      <c r="M3" s="100"/>
      <c r="N3" s="100"/>
      <c r="O3" s="100"/>
      <c r="P3" s="100"/>
      <c r="Q3" s="100"/>
      <c r="R3" s="100"/>
      <c r="S3" s="100"/>
      <c r="T3" s="100"/>
      <c r="U3" s="100"/>
      <c r="AE3" s="1389"/>
      <c r="AF3" s="1389"/>
      <c r="AG3" s="1389"/>
    </row>
    <row r="4" spans="1:33" ht="68.75" customHeight="1" x14ac:dyDescent="0.25">
      <c r="A4" s="91" t="s">
        <v>1</v>
      </c>
      <c r="B4" s="91" t="s">
        <v>253</v>
      </c>
      <c r="C4" s="107" t="s">
        <v>254</v>
      </c>
      <c r="D4" s="91" t="s">
        <v>243</v>
      </c>
      <c r="E4" s="218" t="s">
        <v>246</v>
      </c>
      <c r="F4" s="108" t="s">
        <v>255</v>
      </c>
      <c r="G4" s="91" t="s">
        <v>256</v>
      </c>
      <c r="H4" s="107" t="s">
        <v>347</v>
      </c>
      <c r="I4" s="91" t="s">
        <v>258</v>
      </c>
      <c r="J4" s="91" t="s">
        <v>259</v>
      </c>
      <c r="K4" s="91" t="s">
        <v>260</v>
      </c>
      <c r="L4" s="91" t="s">
        <v>261</v>
      </c>
      <c r="N4" s="100"/>
      <c r="O4" s="100"/>
      <c r="P4" s="100"/>
      <c r="Q4" s="100"/>
      <c r="R4" s="100"/>
      <c r="S4" s="100"/>
      <c r="T4" s="100"/>
      <c r="U4" s="100"/>
    </row>
    <row r="5" spans="1:33" ht="14.25" customHeight="1" x14ac:dyDescent="0.25">
      <c r="A5" s="219"/>
      <c r="B5" s="654"/>
      <c r="C5" s="655"/>
      <c r="D5" s="219"/>
      <c r="E5" s="656"/>
      <c r="F5" s="219"/>
      <c r="G5" s="219"/>
      <c r="H5" s="655"/>
      <c r="I5" s="81"/>
      <c r="J5" s="119"/>
      <c r="K5" s="122"/>
      <c r="L5" s="122"/>
    </row>
    <row r="6" spans="1:33" ht="14.25" customHeight="1" x14ac:dyDescent="0.25">
      <c r="A6" s="295" t="s">
        <v>13</v>
      </c>
      <c r="B6" s="22" t="s">
        <v>19</v>
      </c>
      <c r="C6" s="124" t="s">
        <v>14</v>
      </c>
      <c r="D6" s="1142">
        <v>450</v>
      </c>
      <c r="E6" s="116">
        <f t="shared" ref="E6:E14" si="0">$I$1</f>
        <v>15.3</v>
      </c>
      <c r="F6" s="127">
        <v>1</v>
      </c>
      <c r="G6" s="119">
        <f t="shared" ref="G6:G14" si="1">D6*E6</f>
        <v>6885</v>
      </c>
      <c r="H6" s="120">
        <f t="shared" ref="H6:H14" si="2">G6*F6</f>
        <v>6885</v>
      </c>
      <c r="I6" s="81">
        <f>VLOOKUP(B6,All_Ingredients!$A$1:$F$151,6,FALSE())</f>
        <v>0.84</v>
      </c>
      <c r="J6" s="119">
        <f>VLOOKUP(B6,All_Ingredients!$A$1:$J$151,10,FALSE())</f>
        <v>2.6</v>
      </c>
      <c r="K6" s="122">
        <f t="shared" ref="K6:K14" si="3">(H6/I6)/1000</f>
        <v>8.196428571428573</v>
      </c>
      <c r="L6" s="122">
        <f t="shared" ref="L6:L14" si="4">K6*J6</f>
        <v>21.31071428571429</v>
      </c>
    </row>
    <row r="7" spans="1:33" ht="14.25" customHeight="1" x14ac:dyDescent="0.25">
      <c r="A7" s="295" t="s">
        <v>13</v>
      </c>
      <c r="B7" s="22" t="s">
        <v>47</v>
      </c>
      <c r="C7" s="124" t="s">
        <v>14</v>
      </c>
      <c r="D7" s="1142">
        <v>450</v>
      </c>
      <c r="E7" s="116">
        <f t="shared" si="0"/>
        <v>15.3</v>
      </c>
      <c r="F7" s="127">
        <v>1</v>
      </c>
      <c r="G7" s="119">
        <f t="shared" si="1"/>
        <v>6885</v>
      </c>
      <c r="H7" s="120">
        <f t="shared" si="2"/>
        <v>6885</v>
      </c>
      <c r="I7" s="81">
        <f>VLOOKUP(B7,All_Ingredients!$A$1:$F$151,6,FALSE())</f>
        <v>0.78</v>
      </c>
      <c r="J7" s="119">
        <f>VLOOKUP(B7,All_Ingredients!$A$1:$J$151,10,FALSE())</f>
        <v>3.7</v>
      </c>
      <c r="K7" s="122">
        <f t="shared" si="3"/>
        <v>8.8269230769230766</v>
      </c>
      <c r="L7" s="122">
        <f t="shared" si="4"/>
        <v>32.659615384615385</v>
      </c>
    </row>
    <row r="8" spans="1:33" ht="14.25" customHeight="1" x14ac:dyDescent="0.25">
      <c r="A8" s="295" t="s">
        <v>13</v>
      </c>
      <c r="B8" s="22" t="s">
        <v>28</v>
      </c>
      <c r="C8" s="124" t="s">
        <v>14</v>
      </c>
      <c r="D8" s="1142">
        <v>80</v>
      </c>
      <c r="E8" s="116">
        <f t="shared" si="0"/>
        <v>15.3</v>
      </c>
      <c r="F8" s="127">
        <v>1</v>
      </c>
      <c r="G8" s="119">
        <f t="shared" si="1"/>
        <v>1224</v>
      </c>
      <c r="H8" s="120">
        <f t="shared" si="2"/>
        <v>1224</v>
      </c>
      <c r="I8" s="81">
        <f>VLOOKUP(B8,All_Ingredients!$A$1:$F$151,6,FALSE())</f>
        <v>0.56999999999999995</v>
      </c>
      <c r="J8" s="119">
        <f>VLOOKUP(B8,All_Ingredients!$A$1:$J$151,10,FALSE())</f>
        <v>8.5</v>
      </c>
      <c r="K8" s="122">
        <f t="shared" si="3"/>
        <v>2.1473684210526316</v>
      </c>
      <c r="L8" s="122">
        <f t="shared" si="4"/>
        <v>18.252631578947369</v>
      </c>
    </row>
    <row r="9" spans="1:33" ht="14.25" customHeight="1" x14ac:dyDescent="0.25">
      <c r="A9" s="295" t="s">
        <v>13</v>
      </c>
      <c r="B9" s="22" t="s">
        <v>30</v>
      </c>
      <c r="C9" s="124" t="s">
        <v>14</v>
      </c>
      <c r="D9" s="1142">
        <v>80</v>
      </c>
      <c r="E9" s="116">
        <f t="shared" si="0"/>
        <v>15.3</v>
      </c>
      <c r="F9" s="127">
        <v>1</v>
      </c>
      <c r="G9" s="119">
        <f t="shared" si="1"/>
        <v>1224</v>
      </c>
      <c r="H9" s="120">
        <f t="shared" si="2"/>
        <v>1224</v>
      </c>
      <c r="I9" s="81">
        <f>VLOOKUP(B9,All_Ingredients!$A$1:$F$151,6,FALSE())</f>
        <v>0.56999999999999995</v>
      </c>
      <c r="J9" s="119">
        <f>VLOOKUP(B9,All_Ingredients!$A$1:$J$151,10,FALSE())</f>
        <v>8.5</v>
      </c>
      <c r="K9" s="122">
        <f t="shared" si="3"/>
        <v>2.1473684210526316</v>
      </c>
      <c r="L9" s="122">
        <f t="shared" si="4"/>
        <v>18.252631578947369</v>
      </c>
    </row>
    <row r="10" spans="1:33" ht="14.25" customHeight="1" x14ac:dyDescent="0.25">
      <c r="A10" s="295" t="s">
        <v>13</v>
      </c>
      <c r="B10" s="22" t="s">
        <v>32</v>
      </c>
      <c r="C10" s="124" t="s">
        <v>14</v>
      </c>
      <c r="D10" s="1142">
        <v>80</v>
      </c>
      <c r="E10" s="116">
        <f t="shared" si="0"/>
        <v>15.3</v>
      </c>
      <c r="F10" s="127">
        <v>1</v>
      </c>
      <c r="G10" s="119">
        <f t="shared" si="1"/>
        <v>1224</v>
      </c>
      <c r="H10" s="120">
        <f t="shared" si="2"/>
        <v>1224</v>
      </c>
      <c r="I10" s="81">
        <f>VLOOKUP(B10,All_Ingredients!$A$1:$F$151,6,FALSE())</f>
        <v>0.96</v>
      </c>
      <c r="J10" s="119">
        <f>VLOOKUP(B10,All_Ingredients!$A$1:$J$151,10,FALSE())</f>
        <v>4</v>
      </c>
      <c r="K10" s="122">
        <f t="shared" si="3"/>
        <v>1.2749999999999999</v>
      </c>
      <c r="L10" s="122">
        <f t="shared" si="4"/>
        <v>5.0999999999999996</v>
      </c>
      <c r="O10" s="14" t="s">
        <v>836</v>
      </c>
      <c r="P10" s="14" t="s">
        <v>834</v>
      </c>
      <c r="Q10" s="14" t="s">
        <v>835</v>
      </c>
      <c r="R10" s="14" t="s">
        <v>867</v>
      </c>
      <c r="S10" s="14" t="s">
        <v>868</v>
      </c>
    </row>
    <row r="11" spans="1:33" ht="14.25" customHeight="1" x14ac:dyDescent="0.25">
      <c r="A11" s="295" t="s">
        <v>13</v>
      </c>
      <c r="B11" s="22" t="s">
        <v>51</v>
      </c>
      <c r="C11" s="124" t="s">
        <v>14</v>
      </c>
      <c r="D11" s="1142">
        <v>80</v>
      </c>
      <c r="E11" s="116">
        <f t="shared" si="0"/>
        <v>15.3</v>
      </c>
      <c r="F11" s="127">
        <v>1</v>
      </c>
      <c r="G11" s="119">
        <f t="shared" si="1"/>
        <v>1224</v>
      </c>
      <c r="H11" s="120">
        <f t="shared" si="2"/>
        <v>1224</v>
      </c>
      <c r="I11" s="81">
        <f>VLOOKUP(B11,All_Ingredients!$A$1:$F$151,6,FALSE())</f>
        <v>0.75</v>
      </c>
      <c r="J11" s="119">
        <f>VLOOKUP(B11,All_Ingredients!$A$1:$J$151,10,FALSE())</f>
        <v>20</v>
      </c>
      <c r="K11" s="122">
        <f t="shared" si="3"/>
        <v>1.6319999999999999</v>
      </c>
      <c r="L11" s="122">
        <f t="shared" si="4"/>
        <v>32.64</v>
      </c>
      <c r="O11" s="14">
        <v>1100</v>
      </c>
      <c r="P11" s="14">
        <v>4800</v>
      </c>
      <c r="Q11" s="14">
        <v>4500</v>
      </c>
      <c r="R11" s="14">
        <v>2700</v>
      </c>
      <c r="S11" s="14">
        <v>1000</v>
      </c>
    </row>
    <row r="12" spans="1:33" ht="14.25" customHeight="1" x14ac:dyDescent="0.25">
      <c r="A12" s="295" t="s">
        <v>225</v>
      </c>
      <c r="B12" s="22" t="s">
        <v>563</v>
      </c>
      <c r="C12" s="124" t="s">
        <v>14</v>
      </c>
      <c r="D12" s="1142">
        <v>80</v>
      </c>
      <c r="E12" s="116">
        <f t="shared" si="0"/>
        <v>15.3</v>
      </c>
      <c r="F12" s="127">
        <v>1</v>
      </c>
      <c r="G12" s="119">
        <f t="shared" si="1"/>
        <v>1224</v>
      </c>
      <c r="H12" s="120">
        <f t="shared" si="2"/>
        <v>1224</v>
      </c>
      <c r="I12" s="81">
        <f>VLOOKUP(B12,All_Ingredients!$A$1:$F$151,6,FALSE())</f>
        <v>1</v>
      </c>
      <c r="J12" s="119">
        <f>VLOOKUP(B12,All_Ingredients!$A$1:$J$151,10,FALSE())</f>
        <v>10.196078431372548</v>
      </c>
      <c r="K12" s="122">
        <f t="shared" si="3"/>
        <v>1.224</v>
      </c>
      <c r="L12" s="122">
        <f t="shared" si="4"/>
        <v>12.479999999999999</v>
      </c>
      <c r="O12" s="14">
        <v>800</v>
      </c>
      <c r="P12" s="14">
        <v>4200</v>
      </c>
      <c r="Q12" s="14">
        <v>4500</v>
      </c>
      <c r="R12" s="14">
        <v>2600</v>
      </c>
      <c r="S12" s="14">
        <v>700</v>
      </c>
    </row>
    <row r="13" spans="1:33" ht="14.25" customHeight="1" x14ac:dyDescent="0.25">
      <c r="A13" s="295" t="s">
        <v>97</v>
      </c>
      <c r="B13" s="323" t="s">
        <v>96</v>
      </c>
      <c r="C13" s="124" t="s">
        <v>14</v>
      </c>
      <c r="D13" s="116">
        <v>4</v>
      </c>
      <c r="E13" s="116">
        <f t="shared" si="0"/>
        <v>15.3</v>
      </c>
      <c r="F13" s="127">
        <v>0.75</v>
      </c>
      <c r="G13" s="119">
        <f t="shared" si="1"/>
        <v>61.2</v>
      </c>
      <c r="H13" s="120">
        <f t="shared" si="2"/>
        <v>45.900000000000006</v>
      </c>
      <c r="I13" s="81">
        <f>VLOOKUP(B13,All_Ingredients!$A$1:$F$151,6,FALSE())</f>
        <v>1</v>
      </c>
      <c r="J13" s="119">
        <f>VLOOKUP(B13,All_Ingredients!$A$1:$J$151,10,FALSE())</f>
        <v>0.74</v>
      </c>
      <c r="K13" s="122">
        <f t="shared" si="3"/>
        <v>4.5900000000000003E-2</v>
      </c>
      <c r="L13" s="122">
        <f t="shared" si="4"/>
        <v>3.3966000000000003E-2</v>
      </c>
      <c r="O13" s="14">
        <f>O11+O12</f>
        <v>1900</v>
      </c>
      <c r="P13" s="14">
        <f t="shared" ref="P13:S13" si="5">P11+P12</f>
        <v>9000</v>
      </c>
      <c r="Q13" s="14">
        <f t="shared" si="5"/>
        <v>9000</v>
      </c>
      <c r="R13" s="14">
        <f t="shared" si="5"/>
        <v>5300</v>
      </c>
      <c r="S13" s="14">
        <f t="shared" si="5"/>
        <v>1700</v>
      </c>
      <c r="T13" s="14">
        <f>SUM(O13:S13)</f>
        <v>26900</v>
      </c>
    </row>
    <row r="14" spans="1:33" ht="14.25" customHeight="1" x14ac:dyDescent="0.25">
      <c r="A14" s="295" t="s">
        <v>97</v>
      </c>
      <c r="B14" s="323" t="s">
        <v>102</v>
      </c>
      <c r="C14" s="124" t="s">
        <v>14</v>
      </c>
      <c r="D14" s="197">
        <v>0.5</v>
      </c>
      <c r="E14" s="116">
        <f t="shared" si="0"/>
        <v>15.3</v>
      </c>
      <c r="F14" s="127">
        <v>1</v>
      </c>
      <c r="G14" s="119">
        <f t="shared" si="1"/>
        <v>7.65</v>
      </c>
      <c r="H14" s="120">
        <f t="shared" si="2"/>
        <v>7.65</v>
      </c>
      <c r="I14" s="81">
        <f>VLOOKUP(B14,All_Ingredients!$A$1:$F$151,6,FALSE())</f>
        <v>1</v>
      </c>
      <c r="J14" s="119">
        <f>VLOOKUP(B14,All_Ingredients!$A$1:$J$151,10,FALSE())</f>
        <v>31</v>
      </c>
      <c r="K14" s="122">
        <f t="shared" si="3"/>
        <v>7.6500000000000005E-3</v>
      </c>
      <c r="L14" s="122">
        <f t="shared" si="4"/>
        <v>0.23715000000000003</v>
      </c>
    </row>
    <row r="15" spans="1:33" ht="14.25" customHeight="1" x14ac:dyDescent="0.25">
      <c r="B15" s="356"/>
      <c r="C15" s="357"/>
      <c r="D15" s="359"/>
      <c r="E15" s="359"/>
      <c r="F15" s="360"/>
      <c r="G15" s="361"/>
      <c r="H15" s="362"/>
    </row>
    <row r="16" spans="1:33" ht="14.25" customHeight="1" x14ac:dyDescent="0.25">
      <c r="E16" s="225"/>
      <c r="F16" s="136"/>
      <c r="G16" s="140"/>
      <c r="H16" s="138"/>
      <c r="P16" s="14">
        <v>12000</v>
      </c>
      <c r="R16" s="14">
        <v>22300</v>
      </c>
      <c r="S16" s="14">
        <f>R16/T13</f>
        <v>0.82899628252788105</v>
      </c>
    </row>
    <row r="17" spans="2:29" ht="14.25" customHeight="1" x14ac:dyDescent="0.25">
      <c r="E17" s="100"/>
      <c r="F17" s="100"/>
      <c r="P17" s="14">
        <v>10300</v>
      </c>
    </row>
    <row r="18" spans="2:29" ht="14.25" customHeight="1" x14ac:dyDescent="0.25">
      <c r="E18" s="100"/>
      <c r="F18" s="100"/>
    </row>
    <row r="19" spans="2:29" ht="14.25" customHeight="1" x14ac:dyDescent="0.25">
      <c r="E19" s="100"/>
      <c r="F19" s="100"/>
    </row>
    <row r="20" spans="2:29" ht="14.25" customHeight="1" x14ac:dyDescent="0.25">
      <c r="E20" s="100"/>
      <c r="F20" s="100"/>
    </row>
    <row r="21" spans="2:29" ht="14.25" customHeight="1" x14ac:dyDescent="0.25">
      <c r="E21" s="100"/>
      <c r="F21" s="100"/>
    </row>
    <row r="22" spans="2:29" ht="14.25" customHeight="1" x14ac:dyDescent="0.3">
      <c r="B22" s="11"/>
      <c r="C22" s="336"/>
      <c r="D22" s="337"/>
      <c r="E22" s="100"/>
      <c r="F22" s="100"/>
      <c r="M22" s="1"/>
      <c r="N22"/>
      <c r="O22"/>
    </row>
    <row r="23" spans="2:29" ht="14.25" customHeight="1" x14ac:dyDescent="0.3">
      <c r="B23" s="11"/>
      <c r="C23" s="336"/>
      <c r="D23" s="337"/>
      <c r="E23" s="100"/>
      <c r="F23" s="100"/>
      <c r="M23" s="179"/>
      <c r="N23" s="492"/>
      <c r="O23"/>
    </row>
    <row r="24" spans="2:29" ht="14.25" customHeight="1" x14ac:dyDescent="0.3">
      <c r="B24" s="11"/>
      <c r="C24" s="336"/>
      <c r="D24" s="337"/>
      <c r="E24" s="100"/>
      <c r="F24" s="100"/>
      <c r="Z24" s="1234"/>
    </row>
    <row r="25" spans="2:29" ht="14.25" customHeight="1" x14ac:dyDescent="0.3">
      <c r="B25" s="11"/>
      <c r="C25" s="336"/>
      <c r="D25" s="337"/>
      <c r="E25" s="100"/>
      <c r="F25" s="100"/>
      <c r="R25" s="1430" t="s">
        <v>354</v>
      </c>
      <c r="S25" s="1388"/>
      <c r="T25" s="1388"/>
      <c r="Z25" s="141" t="s">
        <v>14</v>
      </c>
      <c r="AA25" s="142">
        <v>17850</v>
      </c>
      <c r="AB25" s="141" t="s">
        <v>261</v>
      </c>
      <c r="AC25" s="143">
        <f>(S31/S30)*AA25</f>
        <v>164.46116029959515</v>
      </c>
    </row>
    <row r="26" spans="2:29" ht="14.25" customHeight="1" x14ac:dyDescent="0.3">
      <c r="B26" s="11"/>
      <c r="C26" s="336"/>
      <c r="D26" s="337"/>
      <c r="E26" s="100"/>
      <c r="F26" s="100"/>
      <c r="R26" s="1438" t="s">
        <v>350</v>
      </c>
      <c r="S26" s="1410"/>
      <c r="T26" s="1410"/>
    </row>
    <row r="27" spans="2:29" ht="14.25" customHeight="1" x14ac:dyDescent="0.3">
      <c r="B27" s="11"/>
      <c r="C27" s="336"/>
      <c r="D27" s="337"/>
      <c r="E27" s="100"/>
      <c r="F27" s="100"/>
      <c r="R27" s="145" t="s">
        <v>266</v>
      </c>
      <c r="S27" s="145" t="s">
        <v>351</v>
      </c>
      <c r="T27" s="145" t="s">
        <v>269</v>
      </c>
    </row>
    <row r="28" spans="2:29" ht="14.25" customHeight="1" x14ac:dyDescent="0.3">
      <c r="B28" s="11"/>
      <c r="C28" s="336"/>
      <c r="D28" s="337"/>
      <c r="E28" s="100"/>
      <c r="F28" s="100"/>
      <c r="R28" s="145" t="s">
        <v>275</v>
      </c>
      <c r="S28" s="792">
        <f>T28</f>
        <v>15300</v>
      </c>
      <c r="T28" s="790">
        <f>Z1</f>
        <v>15300</v>
      </c>
    </row>
    <row r="29" spans="2:29" ht="14.25" customHeight="1" x14ac:dyDescent="0.3">
      <c r="B29" s="11"/>
      <c r="C29" s="336"/>
      <c r="D29" s="337"/>
      <c r="E29" s="100"/>
      <c r="F29" s="100"/>
      <c r="N29" s="338"/>
      <c r="R29" s="145" t="s">
        <v>277</v>
      </c>
      <c r="S29" s="790">
        <f>AB1</f>
        <v>0</v>
      </c>
      <c r="T29" s="793">
        <f>S29</f>
        <v>0</v>
      </c>
    </row>
    <row r="30" spans="2:29" ht="14.25" customHeight="1" thickBot="1" x14ac:dyDescent="0.35">
      <c r="B30" s="100"/>
      <c r="E30" s="100"/>
      <c r="F30" s="100"/>
      <c r="R30" s="145" t="s">
        <v>269</v>
      </c>
      <c r="S30" s="339">
        <f>SUM(S28:S29)</f>
        <v>15300</v>
      </c>
      <c r="T30" s="339">
        <f>S30</f>
        <v>15300</v>
      </c>
    </row>
    <row r="31" spans="2:29" ht="14.25" customHeight="1" thickBot="1" x14ac:dyDescent="0.35">
      <c r="B31" s="100"/>
      <c r="E31" s="100"/>
      <c r="F31" s="100"/>
      <c r="R31" s="163" t="s">
        <v>261</v>
      </c>
      <c r="S31" s="1144">
        <f>SUM(L6:L14)</f>
        <v>140.96670882822443</v>
      </c>
      <c r="T31" s="1220">
        <f>S31</f>
        <v>140.96670882822443</v>
      </c>
    </row>
    <row r="32" spans="2:29" ht="14.25" customHeight="1" x14ac:dyDescent="0.25">
      <c r="B32" s="100"/>
      <c r="E32" s="100"/>
      <c r="F32" s="100"/>
    </row>
    <row r="43" ht="14" customHeight="1" x14ac:dyDescent="0.25"/>
    <row r="44" ht="14" customHeight="1" x14ac:dyDescent="0.25"/>
    <row r="50" spans="1:8" ht="14" x14ac:dyDescent="0.3">
      <c r="B50" s="226"/>
      <c r="C50" s="226" t="s">
        <v>245</v>
      </c>
      <c r="D50" s="226" t="s">
        <v>291</v>
      </c>
    </row>
    <row r="51" spans="1:8" ht="14" x14ac:dyDescent="0.3">
      <c r="B51" s="180" t="s">
        <v>295</v>
      </c>
      <c r="C51" s="181">
        <f>10/$K$1</f>
        <v>10</v>
      </c>
      <c r="D51" s="182">
        <f>$C$1*10</f>
        <v>10000</v>
      </c>
    </row>
    <row r="52" spans="1:8" ht="14" x14ac:dyDescent="0.3">
      <c r="B52" s="231" t="s">
        <v>269</v>
      </c>
      <c r="C52" s="233">
        <f>G1</f>
        <v>15.3</v>
      </c>
      <c r="D52" s="233">
        <f>E1</f>
        <v>15300</v>
      </c>
    </row>
    <row r="53" spans="1:8" ht="14" x14ac:dyDescent="0.3">
      <c r="B53" s="231" t="s">
        <v>296</v>
      </c>
      <c r="C53" s="234">
        <f>MIN($C$52, $C$51)</f>
        <v>10</v>
      </c>
      <c r="D53" s="233">
        <f>(C53*$K$1)*$C$1</f>
        <v>10000</v>
      </c>
    </row>
    <row r="54" spans="1:8" ht="14" x14ac:dyDescent="0.3">
      <c r="B54" s="231" t="s">
        <v>297</v>
      </c>
      <c r="C54" s="234">
        <f>MIN(MAX($C$52-C53,0),$C$51)</f>
        <v>5.3000000000000007</v>
      </c>
      <c r="D54" s="233">
        <f>(C54*$K$1)*$C$1</f>
        <v>5300.0000000000009</v>
      </c>
    </row>
    <row r="55" spans="1:8" ht="14" x14ac:dyDescent="0.3">
      <c r="B55" s="231" t="s">
        <v>298</v>
      </c>
      <c r="C55" s="234">
        <f>MIN(MAX($C$52-C53-C54,0),$C$51)</f>
        <v>0</v>
      </c>
      <c r="D55" s="233">
        <f>(C55*$K$1)*$C$1</f>
        <v>0</v>
      </c>
    </row>
    <row r="62" spans="1:8" ht="17.75" customHeight="1" x14ac:dyDescent="0.25"/>
    <row r="63" spans="1:8" ht="17.75" customHeight="1" x14ac:dyDescent="0.3">
      <c r="A63" s="942"/>
      <c r="B63" s="1382" t="s">
        <v>856</v>
      </c>
      <c r="C63" s="1383"/>
      <c r="D63" s="1383"/>
      <c r="E63" s="1383"/>
      <c r="F63" s="1383"/>
      <c r="G63" s="1383"/>
      <c r="H63" s="1383"/>
    </row>
    <row r="64" spans="1:8" ht="14" x14ac:dyDescent="0.3">
      <c r="A64" s="942"/>
      <c r="B64" s="1384" t="s">
        <v>353</v>
      </c>
      <c r="C64" s="1385"/>
      <c r="D64" s="1385"/>
      <c r="E64" s="1385"/>
      <c r="F64" s="1385"/>
      <c r="G64" s="1385"/>
      <c r="H64" s="1385"/>
    </row>
    <row r="65" spans="1:8" ht="39.5" customHeight="1" x14ac:dyDescent="0.25">
      <c r="A65" s="91"/>
      <c r="B65" s="243" t="s">
        <v>253</v>
      </c>
      <c r="C65" s="244" t="s">
        <v>254</v>
      </c>
      <c r="D65" s="245" t="s">
        <v>243</v>
      </c>
      <c r="E65" s="218" t="s">
        <v>246</v>
      </c>
      <c r="F65" s="218" t="s">
        <v>255</v>
      </c>
      <c r="G65" s="245" t="s">
        <v>256</v>
      </c>
      <c r="H65" s="218" t="s">
        <v>257</v>
      </c>
    </row>
    <row r="66" spans="1:8" ht="14.25" customHeight="1" x14ac:dyDescent="0.25">
      <c r="A66" s="295" t="s">
        <v>13</v>
      </c>
      <c r="B66" s="323" t="str">
        <f t="shared" ref="B66:D74" si="6">B6</f>
        <v>Carrot - جزر</v>
      </c>
      <c r="C66" s="124" t="str">
        <f t="shared" si="6"/>
        <v>gm</v>
      </c>
      <c r="D66" s="116">
        <f t="shared" si="6"/>
        <v>450</v>
      </c>
      <c r="E66" s="116">
        <f>$C$52</f>
        <v>15.3</v>
      </c>
      <c r="F66" s="127">
        <f t="shared" ref="F66:F74" si="7">F6</f>
        <v>1</v>
      </c>
      <c r="G66" s="119">
        <f t="shared" ref="G66:G74" si="8">D66*E66</f>
        <v>6885</v>
      </c>
      <c r="H66" s="120">
        <f t="shared" ref="H66:H74" si="9">G66*F66</f>
        <v>6885</v>
      </c>
    </row>
    <row r="67" spans="1:8" ht="14.25" customHeight="1" x14ac:dyDescent="0.25">
      <c r="A67" s="295" t="s">
        <v>13</v>
      </c>
      <c r="B67" s="323" t="str">
        <f t="shared" si="6"/>
        <v>Zucchini - كوسة</v>
      </c>
      <c r="C67" s="124" t="str">
        <f t="shared" si="6"/>
        <v>gm</v>
      </c>
      <c r="D67" s="116">
        <f t="shared" si="6"/>
        <v>450</v>
      </c>
      <c r="E67" s="116">
        <f t="shared" ref="E67:E74" si="10">$C$52</f>
        <v>15.3</v>
      </c>
      <c r="F67" s="127">
        <f t="shared" si="7"/>
        <v>1</v>
      </c>
      <c r="G67" s="119">
        <f t="shared" si="8"/>
        <v>6885</v>
      </c>
      <c r="H67" s="120">
        <f t="shared" si="9"/>
        <v>6885</v>
      </c>
    </row>
    <row r="68" spans="1:8" ht="14.25" customHeight="1" x14ac:dyDescent="0.25">
      <c r="A68" s="295" t="s">
        <v>13</v>
      </c>
      <c r="B68" s="323" t="str">
        <f t="shared" si="6"/>
        <v xml:space="preserve">Red Bell Pepper - فلفل أحمر </v>
      </c>
      <c r="C68" s="124" t="str">
        <f t="shared" si="6"/>
        <v>gm</v>
      </c>
      <c r="D68" s="116">
        <f t="shared" si="6"/>
        <v>80</v>
      </c>
      <c r="E68" s="116">
        <f t="shared" si="10"/>
        <v>15.3</v>
      </c>
      <c r="F68" s="127">
        <f t="shared" si="7"/>
        <v>1</v>
      </c>
      <c r="G68" s="119">
        <f t="shared" si="8"/>
        <v>1224</v>
      </c>
      <c r="H68" s="120">
        <f t="shared" si="9"/>
        <v>1224</v>
      </c>
    </row>
    <row r="69" spans="1:8" ht="14.25" customHeight="1" x14ac:dyDescent="0.25">
      <c r="A69" s="295" t="s">
        <v>13</v>
      </c>
      <c r="B69" s="323" t="str">
        <f t="shared" si="6"/>
        <v xml:space="preserve">Yellow Bell Pepper - فلفل أصفر </v>
      </c>
      <c r="C69" s="124" t="str">
        <f t="shared" si="6"/>
        <v>gm</v>
      </c>
      <c r="D69" s="116">
        <f t="shared" si="6"/>
        <v>80</v>
      </c>
      <c r="E69" s="116">
        <f t="shared" si="10"/>
        <v>15.3</v>
      </c>
      <c r="F69" s="127">
        <f t="shared" si="7"/>
        <v>1</v>
      </c>
      <c r="G69" s="119">
        <f t="shared" si="8"/>
        <v>1224</v>
      </c>
      <c r="H69" s="120">
        <f t="shared" si="9"/>
        <v>1224</v>
      </c>
    </row>
    <row r="70" spans="1:8" ht="14.25" customHeight="1" x14ac:dyDescent="0.25">
      <c r="A70" s="295" t="s">
        <v>13</v>
      </c>
      <c r="B70" s="323" t="str">
        <f t="shared" si="6"/>
        <v>Green Bell Pepper - فلفل أخضر رومى</v>
      </c>
      <c r="C70" s="124" t="str">
        <f t="shared" si="6"/>
        <v>gm</v>
      </c>
      <c r="D70" s="116">
        <f t="shared" si="6"/>
        <v>80</v>
      </c>
      <c r="E70" s="116">
        <f t="shared" si="10"/>
        <v>15.3</v>
      </c>
      <c r="F70" s="127">
        <f t="shared" si="7"/>
        <v>1</v>
      </c>
      <c r="G70" s="119">
        <f t="shared" si="8"/>
        <v>1224</v>
      </c>
      <c r="H70" s="120">
        <f t="shared" si="9"/>
        <v>1224</v>
      </c>
    </row>
    <row r="71" spans="1:8" ht="14.25" customHeight="1" x14ac:dyDescent="0.25">
      <c r="A71" s="295" t="s">
        <v>13</v>
      </c>
      <c r="B71" s="323" t="str">
        <f t="shared" si="6"/>
        <v>Chinese Cabbage - ملفوف صيني</v>
      </c>
      <c r="C71" s="124" t="str">
        <f t="shared" si="6"/>
        <v>gm</v>
      </c>
      <c r="D71" s="116">
        <f t="shared" si="6"/>
        <v>80</v>
      </c>
      <c r="E71" s="116">
        <f t="shared" si="10"/>
        <v>15.3</v>
      </c>
      <c r="F71" s="127">
        <f t="shared" si="7"/>
        <v>1</v>
      </c>
      <c r="G71" s="119">
        <f t="shared" si="8"/>
        <v>1224</v>
      </c>
      <c r="H71" s="120">
        <f t="shared" si="9"/>
        <v>1224</v>
      </c>
    </row>
    <row r="72" spans="1:8" ht="14.25" customHeight="1" x14ac:dyDescent="0.25">
      <c r="A72" s="295" t="s">
        <v>225</v>
      </c>
      <c r="B72" s="323" t="str">
        <f t="shared" si="6"/>
        <v>Sweet Corn - ذرة حلوة</v>
      </c>
      <c r="C72" s="124" t="str">
        <f t="shared" si="6"/>
        <v>gm</v>
      </c>
      <c r="D72" s="116">
        <f t="shared" si="6"/>
        <v>80</v>
      </c>
      <c r="E72" s="116">
        <f t="shared" si="10"/>
        <v>15.3</v>
      </c>
      <c r="F72" s="127">
        <f t="shared" si="7"/>
        <v>1</v>
      </c>
      <c r="G72" s="119">
        <f t="shared" si="8"/>
        <v>1224</v>
      </c>
      <c r="H72" s="120">
        <f t="shared" si="9"/>
        <v>1224</v>
      </c>
    </row>
    <row r="73" spans="1:8" ht="14.25" customHeight="1" x14ac:dyDescent="0.25">
      <c r="A73" s="295" t="s">
        <v>97</v>
      </c>
      <c r="B73" s="323" t="str">
        <f t="shared" si="6"/>
        <v>Salt - ملح</v>
      </c>
      <c r="C73" s="124" t="str">
        <f t="shared" si="6"/>
        <v>gm</v>
      </c>
      <c r="D73" s="116">
        <f t="shared" si="6"/>
        <v>4</v>
      </c>
      <c r="E73" s="116">
        <f t="shared" si="10"/>
        <v>15.3</v>
      </c>
      <c r="F73" s="127">
        <f t="shared" si="7"/>
        <v>0.75</v>
      </c>
      <c r="G73" s="119">
        <f t="shared" si="8"/>
        <v>61.2</v>
      </c>
      <c r="H73" s="120">
        <f t="shared" si="9"/>
        <v>45.900000000000006</v>
      </c>
    </row>
    <row r="74" spans="1:8" ht="12.75" customHeight="1" x14ac:dyDescent="0.25">
      <c r="A74" s="295" t="s">
        <v>97</v>
      </c>
      <c r="B74" s="323" t="str">
        <f t="shared" si="6"/>
        <v>Black Pepper Powder - فلفل أسود مطحون</v>
      </c>
      <c r="C74" s="124" t="str">
        <f t="shared" si="6"/>
        <v>gm</v>
      </c>
      <c r="D74" s="197">
        <f t="shared" si="6"/>
        <v>0.5</v>
      </c>
      <c r="E74" s="116">
        <f t="shared" si="10"/>
        <v>15.3</v>
      </c>
      <c r="F74" s="127">
        <f t="shared" si="7"/>
        <v>1</v>
      </c>
      <c r="G74" s="119">
        <f t="shared" si="8"/>
        <v>7.65</v>
      </c>
      <c r="H74" s="120">
        <f t="shared" si="9"/>
        <v>7.65</v>
      </c>
    </row>
    <row r="75" spans="1:8" ht="14.25" customHeight="1" x14ac:dyDescent="0.25">
      <c r="B75" s="198" t="s">
        <v>770</v>
      </c>
      <c r="E75" s="100"/>
      <c r="F75" s="100"/>
    </row>
    <row r="76" spans="1:8" ht="22.5" customHeight="1" x14ac:dyDescent="0.4">
      <c r="B76" s="199">
        <f>D52</f>
        <v>15300</v>
      </c>
      <c r="C76" s="208"/>
      <c r="D76" s="4"/>
      <c r="E76" s="100"/>
      <c r="F76" s="183"/>
    </row>
    <row r="77" spans="1:8" ht="12.75" customHeight="1" x14ac:dyDescent="0.25">
      <c r="B77" s="100"/>
      <c r="E77" s="100"/>
      <c r="F77" s="100"/>
    </row>
    <row r="78" spans="1:8" x14ac:dyDescent="0.25">
      <c r="B78" s="100"/>
      <c r="C78" s="100"/>
      <c r="D78" s="346"/>
      <c r="E78" s="100"/>
      <c r="F78" s="100"/>
      <c r="G78" s="100"/>
      <c r="H78" s="100"/>
    </row>
    <row r="79" spans="1:8" ht="17.75" customHeight="1" x14ac:dyDescent="0.25"/>
    <row r="80" spans="1:8" ht="17.75" customHeight="1" x14ac:dyDescent="0.3">
      <c r="A80" s="1253"/>
      <c r="B80" s="1439"/>
      <c r="C80" s="1440"/>
      <c r="D80" s="1440"/>
      <c r="E80" s="1440"/>
      <c r="F80" s="1440"/>
      <c r="G80" s="1440"/>
      <c r="H80" s="1440"/>
    </row>
    <row r="81" spans="1:8" ht="25.5" customHeight="1" x14ac:dyDescent="0.3">
      <c r="A81" s="1253"/>
      <c r="B81" s="1439"/>
      <c r="C81" s="1440"/>
      <c r="D81" s="1440"/>
      <c r="E81" s="1440"/>
      <c r="F81" s="1440"/>
      <c r="G81" s="1440"/>
      <c r="H81" s="1440"/>
    </row>
    <row r="82" spans="1:8" ht="13" x14ac:dyDescent="0.25">
      <c r="A82" s="1258"/>
      <c r="B82" s="1268"/>
      <c r="C82" s="1269"/>
      <c r="D82" s="1268"/>
      <c r="E82" s="1270"/>
      <c r="F82" s="1270"/>
      <c r="G82" s="1268"/>
      <c r="H82" s="1270"/>
    </row>
    <row r="83" spans="1:8" ht="14.25" customHeight="1" x14ac:dyDescent="0.25">
      <c r="A83" s="881"/>
      <c r="B83" s="1271"/>
      <c r="C83" s="1271"/>
      <c r="D83" s="1276"/>
      <c r="E83" s="1277"/>
      <c r="F83" s="1273"/>
      <c r="G83" s="1274"/>
      <c r="H83" s="1275"/>
    </row>
    <row r="84" spans="1:8" ht="14.25" customHeight="1" x14ac:dyDescent="0.25">
      <c r="A84" s="881"/>
      <c r="B84" s="1271"/>
      <c r="C84" s="1271"/>
      <c r="D84" s="1276"/>
      <c r="E84" s="1277"/>
      <c r="F84" s="1273"/>
      <c r="G84" s="1274"/>
      <c r="H84" s="1275"/>
    </row>
    <row r="85" spans="1:8" ht="14.25" customHeight="1" x14ac:dyDescent="0.25">
      <c r="A85" s="881"/>
      <c r="B85" s="1271"/>
      <c r="C85" s="1271"/>
      <c r="D85" s="1276"/>
      <c r="E85" s="1277"/>
      <c r="F85" s="1273"/>
      <c r="G85" s="1274"/>
      <c r="H85" s="1275"/>
    </row>
    <row r="86" spans="1:8" ht="14.25" customHeight="1" x14ac:dyDescent="0.25">
      <c r="A86" s="881"/>
      <c r="B86" s="1271"/>
      <c r="C86" s="1271"/>
      <c r="D86" s="1276"/>
      <c r="E86" s="1277"/>
      <c r="F86" s="1273"/>
      <c r="G86" s="1274"/>
      <c r="H86" s="1275"/>
    </row>
    <row r="87" spans="1:8" ht="14.25" customHeight="1" x14ac:dyDescent="0.25">
      <c r="A87" s="881"/>
      <c r="B87" s="1271"/>
      <c r="C87" s="1271"/>
      <c r="D87" s="1276"/>
      <c r="E87" s="1277"/>
      <c r="F87" s="1273"/>
      <c r="G87" s="1274"/>
      <c r="H87" s="1275"/>
    </row>
    <row r="88" spans="1:8" ht="14.25" customHeight="1" x14ac:dyDescent="0.25">
      <c r="A88" s="881"/>
      <c r="B88" s="1271"/>
      <c r="C88" s="1271"/>
      <c r="D88" s="1276"/>
      <c r="E88" s="1277"/>
      <c r="F88" s="1273"/>
      <c r="G88" s="1274"/>
      <c r="H88" s="1275"/>
    </row>
    <row r="89" spans="1:8" ht="14.25" customHeight="1" x14ac:dyDescent="0.25">
      <c r="A89" s="881"/>
      <c r="B89" s="1271"/>
      <c r="C89" s="1271"/>
      <c r="D89" s="1276"/>
      <c r="E89" s="1277"/>
      <c r="F89" s="1273"/>
      <c r="G89" s="1274"/>
      <c r="H89" s="1275"/>
    </row>
    <row r="90" spans="1:8" ht="14.25" customHeight="1" x14ac:dyDescent="0.25">
      <c r="A90" s="881"/>
      <c r="B90" s="1271"/>
      <c r="C90" s="1271"/>
      <c r="D90" s="1276"/>
      <c r="E90" s="1277"/>
      <c r="F90" s="1273"/>
      <c r="G90" s="1274"/>
      <c r="H90" s="1275"/>
    </row>
    <row r="91" spans="1:8" ht="12.75" customHeight="1" x14ac:dyDescent="0.25">
      <c r="A91" s="881"/>
      <c r="B91" s="1271"/>
      <c r="C91" s="1271"/>
      <c r="D91" s="1278"/>
      <c r="E91" s="1277"/>
      <c r="F91" s="1273"/>
      <c r="G91" s="1274"/>
      <c r="H91" s="1275"/>
    </row>
    <row r="92" spans="1:8" ht="14.25" customHeight="1" x14ac:dyDescent="0.25">
      <c r="A92" s="881"/>
      <c r="B92" s="900"/>
      <c r="C92" s="881"/>
      <c r="D92" s="881"/>
      <c r="E92" s="875"/>
      <c r="F92" s="875"/>
      <c r="G92" s="881"/>
      <c r="H92" s="881"/>
    </row>
    <row r="93" spans="1:8" ht="21.5" customHeight="1" x14ac:dyDescent="0.4">
      <c r="A93" s="881"/>
      <c r="B93" s="901"/>
      <c r="C93" s="905"/>
      <c r="D93" s="1279"/>
      <c r="E93" s="875"/>
      <c r="F93" s="1280"/>
      <c r="G93" s="881"/>
      <c r="H93" s="881"/>
    </row>
    <row r="94" spans="1:8" ht="17.75" customHeight="1" x14ac:dyDescent="0.25">
      <c r="A94" s="881"/>
      <c r="B94" s="875"/>
      <c r="C94" s="875"/>
      <c r="D94" s="875"/>
      <c r="E94" s="875"/>
      <c r="F94" s="875"/>
      <c r="G94" s="875"/>
      <c r="H94" s="875"/>
    </row>
    <row r="95" spans="1:8" ht="17.75" customHeight="1" x14ac:dyDescent="0.3">
      <c r="A95" s="1253"/>
      <c r="B95" s="1439"/>
      <c r="C95" s="1440"/>
      <c r="D95" s="1440"/>
      <c r="E95" s="1440"/>
      <c r="F95" s="1440"/>
      <c r="G95" s="1440"/>
      <c r="H95" s="1440"/>
    </row>
    <row r="96" spans="1:8" ht="25.5" customHeight="1" x14ac:dyDescent="0.3">
      <c r="A96" s="1253"/>
      <c r="B96" s="1439"/>
      <c r="C96" s="1440"/>
      <c r="D96" s="1440"/>
      <c r="E96" s="1440"/>
      <c r="F96" s="1440"/>
      <c r="G96" s="1440"/>
      <c r="H96" s="1440"/>
    </row>
    <row r="97" spans="1:8" ht="13" x14ac:dyDescent="0.25">
      <c r="A97" s="1258"/>
      <c r="B97" s="1268"/>
      <c r="C97" s="1269"/>
      <c r="D97" s="1268"/>
      <c r="E97" s="1270"/>
      <c r="F97" s="1270"/>
      <c r="G97" s="1268"/>
      <c r="H97" s="1270"/>
    </row>
    <row r="98" spans="1:8" ht="14.25" customHeight="1" x14ac:dyDescent="0.25">
      <c r="A98" s="881"/>
      <c r="B98" s="1271"/>
      <c r="C98" s="1271"/>
      <c r="D98" s="1271"/>
      <c r="E98" s="1272"/>
      <c r="F98" s="1273"/>
      <c r="G98" s="1274"/>
      <c r="H98" s="1275"/>
    </row>
    <row r="99" spans="1:8" ht="14.25" customHeight="1" x14ac:dyDescent="0.25">
      <c r="A99" s="881"/>
      <c r="B99" s="1271"/>
      <c r="C99" s="1271"/>
      <c r="D99" s="1271"/>
      <c r="E99" s="1272"/>
      <c r="F99" s="1273"/>
      <c r="G99" s="1274"/>
      <c r="H99" s="1275"/>
    </row>
    <row r="100" spans="1:8" ht="14.25" customHeight="1" x14ac:dyDescent="0.25">
      <c r="A100" s="881"/>
      <c r="B100" s="1271"/>
      <c r="C100" s="1271"/>
      <c r="D100" s="1271"/>
      <c r="E100" s="1272"/>
      <c r="F100" s="1273"/>
      <c r="G100" s="1274"/>
      <c r="H100" s="1275"/>
    </row>
    <row r="101" spans="1:8" ht="14.25" customHeight="1" x14ac:dyDescent="0.25">
      <c r="A101" s="881"/>
      <c r="B101" s="1271"/>
      <c r="C101" s="1271"/>
      <c r="D101" s="1271"/>
      <c r="E101" s="1272"/>
      <c r="F101" s="1273"/>
      <c r="G101" s="1274"/>
      <c r="H101" s="1275"/>
    </row>
    <row r="102" spans="1:8" ht="14.25" customHeight="1" x14ac:dyDescent="0.25">
      <c r="A102" s="881"/>
      <c r="B102" s="1271"/>
      <c r="C102" s="1271"/>
      <c r="D102" s="1271"/>
      <c r="E102" s="1272"/>
      <c r="F102" s="1273"/>
      <c r="G102" s="1274"/>
      <c r="H102" s="1275"/>
    </row>
    <row r="103" spans="1:8" ht="14.25" customHeight="1" x14ac:dyDescent="0.25">
      <c r="A103" s="881"/>
      <c r="B103" s="1271"/>
      <c r="C103" s="1271"/>
      <c r="D103" s="1271"/>
      <c r="E103" s="1272"/>
      <c r="F103" s="1273"/>
      <c r="G103" s="1274"/>
      <c r="H103" s="1275"/>
    </row>
    <row r="104" spans="1:8" ht="14.25" customHeight="1" x14ac:dyDescent="0.25">
      <c r="A104" s="881"/>
      <c r="B104" s="1271"/>
      <c r="C104" s="1271"/>
      <c r="D104" s="1271"/>
      <c r="E104" s="1272"/>
      <c r="F104" s="1273"/>
      <c r="G104" s="1274"/>
      <c r="H104" s="1275"/>
    </row>
    <row r="105" spans="1:8" ht="14.25" customHeight="1" x14ac:dyDescent="0.25">
      <c r="A105" s="881"/>
      <c r="B105" s="1271"/>
      <c r="C105" s="1271"/>
      <c r="D105" s="1271"/>
      <c r="E105" s="1272"/>
      <c r="F105" s="1273"/>
      <c r="G105" s="1274"/>
      <c r="H105" s="1275"/>
    </row>
    <row r="106" spans="1:8" ht="14" x14ac:dyDescent="0.25">
      <c r="A106" s="881"/>
      <c r="B106" s="1271"/>
      <c r="C106" s="1271"/>
      <c r="D106" s="1271"/>
      <c r="E106" s="1272"/>
      <c r="F106" s="1273"/>
      <c r="G106" s="1285"/>
      <c r="H106" s="1286"/>
    </row>
    <row r="107" spans="1:8" ht="15.5" x14ac:dyDescent="0.25">
      <c r="A107" s="881"/>
      <c r="B107" s="900"/>
      <c r="C107" s="881"/>
      <c r="D107" s="881"/>
      <c r="E107" s="881"/>
      <c r="F107" s="881"/>
      <c r="G107" s="881"/>
      <c r="H107" s="881"/>
    </row>
    <row r="108" spans="1:8" ht="20" x14ac:dyDescent="0.4">
      <c r="A108" s="881"/>
      <c r="B108" s="901"/>
      <c r="C108" s="881"/>
      <c r="D108" s="881"/>
      <c r="E108" s="881"/>
      <c r="F108" s="881"/>
      <c r="G108" s="881"/>
      <c r="H108" s="881"/>
    </row>
  </sheetData>
  <mergeCells count="10">
    <mergeCell ref="B96:H96"/>
    <mergeCell ref="B2:H3"/>
    <mergeCell ref="R25:T25"/>
    <mergeCell ref="B64:H64"/>
    <mergeCell ref="AE2:AG3"/>
    <mergeCell ref="B95:H95"/>
    <mergeCell ref="B80:H80"/>
    <mergeCell ref="B81:H81"/>
    <mergeCell ref="B63:H63"/>
    <mergeCell ref="R26:T26"/>
  </mergeCells>
  <printOptions horizontalCentered="1"/>
  <pageMargins left="0.5" right="0.5" top="1" bottom="0.5" header="0.3" footer="0.511811023622047"/>
  <pageSetup paperSize="9" scale="34" orientation="portrait" r:id="rId1"/>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tabColor theme="5" tint="-0.249977111117893"/>
    <pageSetUpPr fitToPage="1"/>
  </sheetPr>
  <dimension ref="A1:AT99"/>
  <sheetViews>
    <sheetView topLeftCell="R11" zoomScale="85" zoomScaleNormal="85" workbookViewId="0">
      <selection activeCell="X40" sqref="X40"/>
    </sheetView>
  </sheetViews>
  <sheetFormatPr defaultColWidth="12.5" defaultRowHeight="14" x14ac:dyDescent="0.3"/>
  <cols>
    <col min="1" max="1" width="12.5" style="79" customWidth="1"/>
    <col min="2" max="2" width="28.4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4.58203125" style="14" customWidth="1"/>
    <col min="15" max="17" width="12.5" style="14" customWidth="1"/>
    <col min="18" max="18" width="35.08203125" style="14" customWidth="1"/>
    <col min="19" max="19" width="12.5" style="14" customWidth="1"/>
    <col min="20" max="23" width="12.5" style="14"/>
    <col min="24" max="24" width="21.6640625" style="14" bestFit="1" customWidth="1"/>
    <col min="25" max="26" width="12.5" style="14"/>
    <col min="27" max="28" width="11" style="14" bestFit="1" customWidth="1"/>
    <col min="29" max="29" width="11.75" style="14" bestFit="1" customWidth="1"/>
    <col min="30" max="30" width="13.25" style="14" bestFit="1" customWidth="1"/>
    <col min="31" max="31" width="11.33203125" style="14" bestFit="1" customWidth="1"/>
    <col min="32" max="34" width="5.4140625" style="14" customWidth="1"/>
    <col min="35" max="35" width="12.5" style="14"/>
    <col min="36" max="36" width="40" style="14" customWidth="1"/>
    <col min="37" max="16384" width="12.5" style="14"/>
  </cols>
  <sheetData>
    <row r="1" spans="1:46" ht="35.25" customHeight="1" x14ac:dyDescent="0.3">
      <c r="B1" s="80" t="s">
        <v>243</v>
      </c>
      <c r="C1" s="81">
        <v>1000</v>
      </c>
      <c r="D1" s="82" t="s">
        <v>244</v>
      </c>
      <c r="E1" s="117">
        <f>T32</f>
        <v>7005.9000000000005</v>
      </c>
      <c r="F1" s="80" t="s">
        <v>245</v>
      </c>
      <c r="G1" s="81">
        <f>E1/C1</f>
        <v>7.0059000000000005</v>
      </c>
      <c r="H1" s="80" t="s">
        <v>246</v>
      </c>
      <c r="I1" s="249">
        <f>(G1/K1)</f>
        <v>7.3746315789473691</v>
      </c>
      <c r="J1" s="86" t="s">
        <v>247</v>
      </c>
      <c r="K1" s="81">
        <v>0.95</v>
      </c>
      <c r="L1" s="100"/>
      <c r="M1" s="89"/>
      <c r="N1" s="90"/>
      <c r="O1" s="91" t="s">
        <v>248</v>
      </c>
      <c r="P1" s="92" t="s">
        <v>249</v>
      </c>
      <c r="Q1" s="93" t="s">
        <v>250</v>
      </c>
      <c r="R1" s="92">
        <v>0.59</v>
      </c>
      <c r="Y1" s="91" t="s">
        <v>479</v>
      </c>
      <c r="Z1" s="847">
        <v>20230</v>
      </c>
      <c r="AA1" s="91" t="s">
        <v>600</v>
      </c>
      <c r="AB1" s="847">
        <v>1000</v>
      </c>
      <c r="AC1" s="91" t="s">
        <v>587</v>
      </c>
      <c r="AD1" s="847">
        <v>139</v>
      </c>
      <c r="AE1" s="250"/>
      <c r="AF1" s="252"/>
      <c r="AG1" s="92"/>
      <c r="AI1" s="79"/>
      <c r="AJ1" s="94" t="s">
        <v>262</v>
      </c>
      <c r="AK1" s="94">
        <v>10000</v>
      </c>
      <c r="AL1" s="628" t="s">
        <v>520</v>
      </c>
      <c r="AM1" s="629">
        <f>$S$32</f>
        <v>16347.1</v>
      </c>
      <c r="AN1" s="94" t="s">
        <v>251</v>
      </c>
      <c r="AO1" s="329">
        <f>((S32)/$R$1)/$AK$1</f>
        <v>2.7706949152542375</v>
      </c>
      <c r="AP1" s="95"/>
    </row>
    <row r="2" spans="1:46" ht="15.75" customHeight="1" x14ac:dyDescent="0.3">
      <c r="A2" s="97"/>
      <c r="B2" s="98"/>
      <c r="C2" s="98"/>
      <c r="D2" s="98"/>
      <c r="E2" s="98"/>
      <c r="F2" s="1453" t="s">
        <v>127</v>
      </c>
      <c r="G2" s="98"/>
      <c r="H2" s="98"/>
      <c r="I2" s="98"/>
      <c r="J2" s="98"/>
      <c r="K2" s="98"/>
      <c r="L2" s="293"/>
      <c r="M2" s="100"/>
      <c r="N2" s="100"/>
      <c r="O2" s="100"/>
      <c r="P2" s="100"/>
      <c r="Q2" s="100"/>
      <c r="R2" s="100"/>
      <c r="AC2" s="99"/>
      <c r="AD2" s="99"/>
      <c r="AE2" s="1391"/>
      <c r="AF2" s="1389"/>
      <c r="AG2" s="1389"/>
      <c r="AI2" s="79"/>
      <c r="AJ2" s="101"/>
      <c r="AK2" s="1386" t="s">
        <v>458</v>
      </c>
      <c r="AL2" s="1386"/>
      <c r="AM2" s="1386"/>
      <c r="AN2" s="1386"/>
      <c r="AO2" s="101"/>
      <c r="AP2" s="101"/>
    </row>
    <row r="3" spans="1:46" ht="15.75" customHeight="1" x14ac:dyDescent="0.3">
      <c r="A3" s="97"/>
      <c r="B3" s="103"/>
      <c r="C3" s="103"/>
      <c r="D3" s="103"/>
      <c r="E3" s="103"/>
      <c r="F3" s="1388"/>
      <c r="G3" s="103"/>
      <c r="H3" s="103"/>
      <c r="I3" s="103"/>
      <c r="J3" s="103"/>
      <c r="K3" s="103"/>
      <c r="L3" s="293"/>
      <c r="M3" s="100"/>
      <c r="N3" s="100"/>
      <c r="O3" s="100"/>
      <c r="P3" s="100"/>
      <c r="Q3" s="100"/>
      <c r="R3" s="100"/>
      <c r="AC3" s="99"/>
      <c r="AD3" s="99"/>
      <c r="AE3" s="1389"/>
      <c r="AF3" s="1389"/>
      <c r="AG3" s="1389"/>
      <c r="AI3" s="79"/>
      <c r="AJ3" s="101"/>
      <c r="AK3" s="101"/>
      <c r="AL3" s="101"/>
      <c r="AM3" s="101"/>
      <c r="AN3" s="1389"/>
      <c r="AO3" s="101"/>
      <c r="AP3" s="101"/>
    </row>
    <row r="4" spans="1:46" ht="46.5" customHeight="1" x14ac:dyDescent="0.3">
      <c r="A4" s="91" t="s">
        <v>1</v>
      </c>
      <c r="B4" s="91" t="s">
        <v>253</v>
      </c>
      <c r="C4" s="107" t="s">
        <v>254</v>
      </c>
      <c r="D4" s="91" t="s">
        <v>243</v>
      </c>
      <c r="E4" s="108" t="s">
        <v>246</v>
      </c>
      <c r="F4" s="108" t="s">
        <v>255</v>
      </c>
      <c r="G4" s="91" t="s">
        <v>256</v>
      </c>
      <c r="H4" s="331" t="s">
        <v>347</v>
      </c>
      <c r="I4" s="91" t="s">
        <v>258</v>
      </c>
      <c r="J4" s="91" t="s">
        <v>259</v>
      </c>
      <c r="K4" s="91" t="s">
        <v>260</v>
      </c>
      <c r="L4" s="91" t="s">
        <v>261</v>
      </c>
      <c r="M4" s="100"/>
      <c r="N4" s="100"/>
      <c r="O4" s="100"/>
      <c r="P4" s="100"/>
      <c r="AC4" s="251"/>
      <c r="AD4" s="253"/>
      <c r="AE4" s="251"/>
      <c r="AF4" s="251"/>
      <c r="AG4" s="251"/>
      <c r="AI4" s="79"/>
      <c r="AJ4" s="94" t="s">
        <v>253</v>
      </c>
      <c r="AK4" s="530" t="s">
        <v>254</v>
      </c>
      <c r="AL4" s="94" t="s">
        <v>262</v>
      </c>
      <c r="AM4" s="94" t="s">
        <v>246</v>
      </c>
      <c r="AN4" s="94" t="s">
        <v>255</v>
      </c>
      <c r="AO4" s="94" t="s">
        <v>256</v>
      </c>
      <c r="AP4" s="94" t="s">
        <v>347</v>
      </c>
      <c r="AQ4" s="91" t="s">
        <v>258</v>
      </c>
      <c r="AR4" s="91" t="s">
        <v>259</v>
      </c>
      <c r="AS4" s="91" t="s">
        <v>260</v>
      </c>
      <c r="AT4" s="91" t="s">
        <v>261</v>
      </c>
    </row>
    <row r="5" spans="1:46" ht="14.25" customHeight="1" x14ac:dyDescent="0.3">
      <c r="A5" s="266" t="s">
        <v>230</v>
      </c>
      <c r="B5" s="309" t="s">
        <v>229</v>
      </c>
      <c r="C5" s="115" t="s">
        <v>14</v>
      </c>
      <c r="D5" s="121">
        <f>I51/10</f>
        <v>5649.8305084745762</v>
      </c>
      <c r="E5" s="117">
        <f>H52</f>
        <v>4.9040319193616133</v>
      </c>
      <c r="F5" s="299">
        <v>1</v>
      </c>
      <c r="G5" s="119">
        <f t="shared" ref="G5:G16" si="0">D5*E5</f>
        <v>27706.949152542376</v>
      </c>
      <c r="H5" s="207">
        <f t="shared" ref="H5:H16" si="1">G5*F5</f>
        <v>27706.949152542376</v>
      </c>
      <c r="I5" s="81">
        <f>VLOOKUP(B5,All_Ingredients!$A$1:$F$151,6,FALSE())</f>
        <v>0.86</v>
      </c>
      <c r="J5" s="119">
        <f>VLOOKUP(B5,All_Ingredients!$A$1:$J$151,10,FALSE())</f>
        <v>17.100000000000001</v>
      </c>
      <c r="K5" s="122">
        <f t="shared" ref="K5" si="2">(H5/I5)/1000</f>
        <v>32.217382735514391</v>
      </c>
      <c r="L5" s="122">
        <f t="shared" ref="L5" si="3">K5*J5</f>
        <v>550.9172447772961</v>
      </c>
      <c r="M5" s="100"/>
      <c r="N5" s="100"/>
      <c r="O5" s="100"/>
      <c r="P5" s="100"/>
      <c r="AC5" s="92"/>
      <c r="AD5" s="133"/>
      <c r="AE5" s="254"/>
      <c r="AF5" s="135"/>
      <c r="AG5" s="136"/>
      <c r="AI5" s="79"/>
      <c r="AJ5" s="374" t="s">
        <v>229</v>
      </c>
      <c r="AK5" s="115" t="s">
        <v>238</v>
      </c>
      <c r="AL5" s="125">
        <v>10</v>
      </c>
      <c r="AM5" s="197">
        <f t="shared" ref="AM5:AM13" si="4">$AO$1</f>
        <v>2.7706949152542375</v>
      </c>
      <c r="AN5" s="299">
        <v>1</v>
      </c>
      <c r="AO5" s="119">
        <f t="shared" ref="AO5:AO13" si="5">AL5*AM5</f>
        <v>27.706949152542375</v>
      </c>
      <c r="AP5" s="207">
        <f t="shared" ref="AP5:AP13" si="6">AO5*AN5</f>
        <v>27.706949152542375</v>
      </c>
      <c r="AQ5" s="295"/>
      <c r="AR5" s="1171"/>
      <c r="AS5" s="175"/>
      <c r="AT5" s="1172"/>
    </row>
    <row r="6" spans="1:46" ht="14.25" customHeight="1" x14ac:dyDescent="0.35">
      <c r="A6" s="128" t="s">
        <v>196</v>
      </c>
      <c r="B6" s="256" t="s">
        <v>204</v>
      </c>
      <c r="C6" s="1010" t="s">
        <v>165</v>
      </c>
      <c r="D6" s="125">
        <v>500</v>
      </c>
      <c r="E6" s="197">
        <f t="shared" ref="E6:E17" si="7">$I$1</f>
        <v>7.3746315789473691</v>
      </c>
      <c r="F6" s="299">
        <v>1</v>
      </c>
      <c r="G6" s="119">
        <f t="shared" si="0"/>
        <v>3687.3157894736846</v>
      </c>
      <c r="H6" s="207">
        <f t="shared" si="1"/>
        <v>3687.3157894736846</v>
      </c>
      <c r="I6" s="81">
        <f>VLOOKUP(B6,All_Ingredients!$A$1:$F$151,6,FALSE())</f>
        <v>1</v>
      </c>
      <c r="J6" s="119">
        <f>VLOOKUP(B6,All_Ingredients!$A$1:$J$151,10,FALSE())</f>
        <v>3.25</v>
      </c>
      <c r="K6" s="122">
        <f t="shared" ref="K6:K17" si="8">(H6/I6)/1000</f>
        <v>3.6873157894736845</v>
      </c>
      <c r="L6" s="122">
        <f t="shared" ref="L6:L17" si="9">K6*J6</f>
        <v>11.983776315789475</v>
      </c>
      <c r="AI6" s="79" t="s">
        <v>57</v>
      </c>
      <c r="AJ6" s="256" t="s">
        <v>56</v>
      </c>
      <c r="AK6" s="115" t="s">
        <v>14</v>
      </c>
      <c r="AL6" s="125">
        <v>100</v>
      </c>
      <c r="AM6" s="197">
        <f t="shared" si="4"/>
        <v>2.7706949152542375</v>
      </c>
      <c r="AN6" s="299">
        <v>1</v>
      </c>
      <c r="AO6" s="119">
        <f t="shared" si="5"/>
        <v>277.06949152542376</v>
      </c>
      <c r="AP6" s="207">
        <f t="shared" si="6"/>
        <v>277.06949152542376</v>
      </c>
      <c r="AQ6" s="1172">
        <f>VLOOKUP(AJ6,Marination_Ordering!$A:$J,6,FALSE)</f>
        <v>0.87</v>
      </c>
      <c r="AR6" s="1172">
        <f>VLOOKUP(AJ6,Marination_Ordering!$A:$J,10,FALSE)</f>
        <v>3.2</v>
      </c>
      <c r="AS6" s="175">
        <f>AP6/AQ6</f>
        <v>318.4706799142802</v>
      </c>
      <c r="AT6" s="1172">
        <f>AR6*(AS6/1000)</f>
        <v>1.0191061757256967</v>
      </c>
    </row>
    <row r="7" spans="1:46" ht="14.25" customHeight="1" x14ac:dyDescent="0.3">
      <c r="A7" s="128" t="s">
        <v>196</v>
      </c>
      <c r="B7" s="256" t="s">
        <v>198</v>
      </c>
      <c r="C7" s="115" t="s">
        <v>165</v>
      </c>
      <c r="D7" s="125">
        <v>40</v>
      </c>
      <c r="E7" s="197">
        <f t="shared" si="7"/>
        <v>7.3746315789473691</v>
      </c>
      <c r="F7" s="299">
        <v>0.75</v>
      </c>
      <c r="G7" s="119">
        <f t="shared" si="0"/>
        <v>294.98526315789479</v>
      </c>
      <c r="H7" s="207">
        <f t="shared" si="1"/>
        <v>221.23894736842109</v>
      </c>
      <c r="I7" s="81">
        <f>VLOOKUP(B7,All_Ingredients!$A$1:$F$151,6,FALSE())</f>
        <v>1</v>
      </c>
      <c r="J7" s="119">
        <f>VLOOKUP(B7,All_Ingredients!$A$1:$J$151,10,FALSE())</f>
        <v>58.685446009389672</v>
      </c>
      <c r="K7" s="122">
        <f t="shared" si="8"/>
        <v>0.22123894736842109</v>
      </c>
      <c r="L7" s="122">
        <f t="shared" si="9"/>
        <v>12.983506300963679</v>
      </c>
      <c r="AI7" s="79" t="s">
        <v>13</v>
      </c>
      <c r="AJ7" s="256" t="s">
        <v>792</v>
      </c>
      <c r="AK7" s="115" t="s">
        <v>14</v>
      </c>
      <c r="AL7" s="125">
        <v>100</v>
      </c>
      <c r="AM7" s="197">
        <f t="shared" si="4"/>
        <v>2.7706949152542375</v>
      </c>
      <c r="AN7" s="299">
        <v>1</v>
      </c>
      <c r="AO7" s="119">
        <f t="shared" si="5"/>
        <v>277.06949152542376</v>
      </c>
      <c r="AP7" s="207">
        <f t="shared" si="6"/>
        <v>277.06949152542376</v>
      </c>
      <c r="AQ7" s="1172">
        <f>VLOOKUP(AJ7,Marination_Ordering!$A:$J,6,FALSE)</f>
        <v>1</v>
      </c>
      <c r="AR7" s="1172">
        <f>VLOOKUP(AJ7,Marination_Ordering!$A:$J,10,FALSE)</f>
        <v>10.5</v>
      </c>
      <c r="AS7" s="175">
        <f t="shared" ref="AS7:AS8" si="10">AP7/AQ7</f>
        <v>277.06949152542376</v>
      </c>
      <c r="AT7" s="1172">
        <f t="shared" ref="AT7:AT8" si="11">AR7*(AS7/1000)</f>
        <v>2.9092296610169495</v>
      </c>
    </row>
    <row r="8" spans="1:46" x14ac:dyDescent="0.3">
      <c r="A8" s="128" t="s">
        <v>196</v>
      </c>
      <c r="B8" s="256" t="s">
        <v>199</v>
      </c>
      <c r="C8" s="115" t="s">
        <v>165</v>
      </c>
      <c r="D8" s="125">
        <v>60</v>
      </c>
      <c r="E8" s="197">
        <f t="shared" si="7"/>
        <v>7.3746315789473691</v>
      </c>
      <c r="F8" s="299">
        <v>0.9</v>
      </c>
      <c r="G8" s="119">
        <f t="shared" si="0"/>
        <v>442.47789473684213</v>
      </c>
      <c r="H8" s="207">
        <f t="shared" si="1"/>
        <v>398.23010526315795</v>
      </c>
      <c r="I8" s="81">
        <f>VLOOKUP(B8,All_Ingredients!$A$1:$F$151,6,FALSE())</f>
        <v>1</v>
      </c>
      <c r="J8" s="119">
        <f>VLOOKUP(B8,All_Ingredients!$A$1:$J$151,10,FALSE())</f>
        <v>37.001287001286997</v>
      </c>
      <c r="K8" s="122">
        <f t="shared" si="8"/>
        <v>0.39823010526315794</v>
      </c>
      <c r="L8" s="122">
        <f t="shared" si="9"/>
        <v>14.735026417394838</v>
      </c>
      <c r="AI8" s="79" t="s">
        <v>210</v>
      </c>
      <c r="AJ8" s="533" t="s">
        <v>219</v>
      </c>
      <c r="AK8" s="115" t="s">
        <v>165</v>
      </c>
      <c r="AL8" s="125">
        <v>200</v>
      </c>
      <c r="AM8" s="197">
        <f t="shared" si="4"/>
        <v>2.7706949152542375</v>
      </c>
      <c r="AN8" s="299">
        <v>1</v>
      </c>
      <c r="AO8" s="119">
        <f t="shared" si="5"/>
        <v>554.13898305084751</v>
      </c>
      <c r="AP8" s="207">
        <f t="shared" si="6"/>
        <v>554.13898305084751</v>
      </c>
      <c r="AQ8" s="1172">
        <f>VLOOKUP(AJ8,Marination_Ordering!$A:$J,6,FALSE)</f>
        <v>1</v>
      </c>
      <c r="AR8" s="1172">
        <f>VLOOKUP(AJ8,Marination_Ordering!$A:$J,10,FALSE)</f>
        <v>5</v>
      </c>
      <c r="AS8" s="175">
        <f t="shared" si="10"/>
        <v>554.13898305084751</v>
      </c>
      <c r="AT8" s="1172">
        <f t="shared" si="11"/>
        <v>2.7706949152542375</v>
      </c>
    </row>
    <row r="9" spans="1:46" ht="14.25" customHeight="1" x14ac:dyDescent="0.3">
      <c r="A9" s="128" t="s">
        <v>196</v>
      </c>
      <c r="B9" s="256" t="s">
        <v>200</v>
      </c>
      <c r="C9" s="115" t="s">
        <v>165</v>
      </c>
      <c r="D9" s="125">
        <v>40</v>
      </c>
      <c r="E9" s="197">
        <f t="shared" si="7"/>
        <v>7.3746315789473691</v>
      </c>
      <c r="F9" s="299">
        <v>1</v>
      </c>
      <c r="G9" s="119">
        <f t="shared" si="0"/>
        <v>294.98526315789479</v>
      </c>
      <c r="H9" s="207">
        <f t="shared" si="1"/>
        <v>294.98526315789479</v>
      </c>
      <c r="I9" s="81">
        <f>VLOOKUP(B9,All_Ingredients!$A$1:$F$151,6,FALSE())</f>
        <v>1</v>
      </c>
      <c r="J9" s="119">
        <f>VLOOKUP(B9,All_Ingredients!$A$1:$J$151,10,FALSE())</f>
        <v>22.666666666666668</v>
      </c>
      <c r="K9" s="122">
        <f t="shared" si="8"/>
        <v>0.29498526315789481</v>
      </c>
      <c r="L9" s="122">
        <f t="shared" si="9"/>
        <v>6.6863326315789493</v>
      </c>
      <c r="AI9" s="79" t="s">
        <v>210</v>
      </c>
      <c r="AJ9" s="533" t="s">
        <v>215</v>
      </c>
      <c r="AK9" s="124" t="s">
        <v>165</v>
      </c>
      <c r="AL9" s="125">
        <v>150</v>
      </c>
      <c r="AM9" s="197">
        <f t="shared" si="4"/>
        <v>2.7706949152542375</v>
      </c>
      <c r="AN9" s="299">
        <v>1</v>
      </c>
      <c r="AO9" s="119">
        <f t="shared" si="5"/>
        <v>415.60423728813561</v>
      </c>
      <c r="AP9" s="207">
        <f t="shared" si="6"/>
        <v>415.60423728813561</v>
      </c>
      <c r="AQ9" s="1172">
        <f>VLOOKUP(AJ9,Marination_Ordering!$A:$J,6,FALSE)</f>
        <v>1</v>
      </c>
      <c r="AR9" s="1172">
        <f>VLOOKUP(AJ9,Marination_Ordering!$A:$J,10,FALSE)</f>
        <v>2.1621621621621623</v>
      </c>
      <c r="AS9" s="175">
        <f t="shared" ref="AS9:AS13" si="12">AP9/AQ9</f>
        <v>415.60423728813561</v>
      </c>
      <c r="AT9" s="1172">
        <f t="shared" ref="AT9:AT13" si="13">AR9*(AS9/1000)</f>
        <v>0.89860375629867162</v>
      </c>
    </row>
    <row r="10" spans="1:46" ht="14.25" customHeight="1" x14ac:dyDescent="0.3">
      <c r="A10" s="128" t="s">
        <v>13</v>
      </c>
      <c r="B10" s="256" t="s">
        <v>792</v>
      </c>
      <c r="C10" s="115" t="s">
        <v>14</v>
      </c>
      <c r="D10" s="125">
        <v>40</v>
      </c>
      <c r="E10" s="197">
        <f t="shared" si="7"/>
        <v>7.3746315789473691</v>
      </c>
      <c r="F10" s="299">
        <v>1</v>
      </c>
      <c r="G10" s="119">
        <f t="shared" si="0"/>
        <v>294.98526315789479</v>
      </c>
      <c r="H10" s="207">
        <f t="shared" si="1"/>
        <v>294.98526315789479</v>
      </c>
      <c r="I10" s="81">
        <f>VLOOKUP(B10,All_Ingredients!$A$1:$F$151,6,FALSE())</f>
        <v>1</v>
      </c>
      <c r="J10" s="119">
        <f>VLOOKUP(B10,All_Ingredients!$A$1:$J$151,10,FALSE())</f>
        <v>10.5</v>
      </c>
      <c r="K10" s="122">
        <f t="shared" si="8"/>
        <v>0.29498526315789481</v>
      </c>
      <c r="L10" s="122">
        <f t="shared" si="9"/>
        <v>3.0973452631578953</v>
      </c>
      <c r="AI10" s="79" t="s">
        <v>97</v>
      </c>
      <c r="AJ10" s="533" t="s">
        <v>96</v>
      </c>
      <c r="AK10" s="115" t="s">
        <v>14</v>
      </c>
      <c r="AL10" s="125">
        <v>2</v>
      </c>
      <c r="AM10" s="197">
        <f t="shared" si="4"/>
        <v>2.7706949152542375</v>
      </c>
      <c r="AN10" s="299">
        <v>1</v>
      </c>
      <c r="AO10" s="119">
        <f t="shared" si="5"/>
        <v>5.541389830508475</v>
      </c>
      <c r="AP10" s="207">
        <f t="shared" si="6"/>
        <v>5.541389830508475</v>
      </c>
      <c r="AQ10" s="1172">
        <f>VLOOKUP(AJ10,Marination_Ordering!$A:$J,6,FALSE)</f>
        <v>1</v>
      </c>
      <c r="AR10" s="1172">
        <f>VLOOKUP(AJ10,Marination_Ordering!$A:$J,10,FALSE)</f>
        <v>0.74</v>
      </c>
      <c r="AS10" s="175">
        <f t="shared" si="12"/>
        <v>5.541389830508475</v>
      </c>
      <c r="AT10" s="1172">
        <f t="shared" si="13"/>
        <v>4.1006284745762718E-3</v>
      </c>
    </row>
    <row r="11" spans="1:46" x14ac:dyDescent="0.3">
      <c r="A11" s="128" t="s">
        <v>192</v>
      </c>
      <c r="B11" s="534" t="s">
        <v>193</v>
      </c>
      <c r="C11" s="115" t="s">
        <v>14</v>
      </c>
      <c r="D11" s="125">
        <v>40</v>
      </c>
      <c r="E11" s="197">
        <f t="shared" si="7"/>
        <v>7.3746315789473691</v>
      </c>
      <c r="F11" s="299">
        <v>0.95</v>
      </c>
      <c r="G11" s="119">
        <f t="shared" si="0"/>
        <v>294.98526315789479</v>
      </c>
      <c r="H11" s="207">
        <f t="shared" si="1"/>
        <v>280.23600000000005</v>
      </c>
      <c r="I11" s="81">
        <f>VLOOKUP(B11,All_Ingredients!$A$1:$F$151,6,FALSE())</f>
        <v>0.9</v>
      </c>
      <c r="J11" s="119">
        <f>VLOOKUP(B11,All_Ingredients!$A$1:$J$151,10,FALSE())</f>
        <v>2.3199999999999998</v>
      </c>
      <c r="K11" s="122">
        <f t="shared" si="8"/>
        <v>0.31137333333333339</v>
      </c>
      <c r="L11" s="122">
        <f t="shared" si="9"/>
        <v>0.72238613333333346</v>
      </c>
      <c r="AI11" s="79" t="s">
        <v>97</v>
      </c>
      <c r="AJ11" s="533" t="s">
        <v>102</v>
      </c>
      <c r="AK11" s="115" t="s">
        <v>14</v>
      </c>
      <c r="AL11" s="125">
        <v>5</v>
      </c>
      <c r="AM11" s="197">
        <f t="shared" si="4"/>
        <v>2.7706949152542375</v>
      </c>
      <c r="AN11" s="299">
        <v>1</v>
      </c>
      <c r="AO11" s="119">
        <f t="shared" si="5"/>
        <v>13.853474576271188</v>
      </c>
      <c r="AP11" s="207">
        <f t="shared" si="6"/>
        <v>13.853474576271188</v>
      </c>
      <c r="AQ11" s="1172">
        <f>VLOOKUP(AJ11,Marination_Ordering!$A:$J,6,FALSE)</f>
        <v>1</v>
      </c>
      <c r="AR11" s="1172">
        <f>VLOOKUP(AJ11,Marination_Ordering!$A:$J,10,FALSE)</f>
        <v>31</v>
      </c>
      <c r="AS11" s="175">
        <f t="shared" si="12"/>
        <v>13.853474576271188</v>
      </c>
      <c r="AT11" s="1172">
        <f t="shared" si="13"/>
        <v>0.42945771186440684</v>
      </c>
    </row>
    <row r="12" spans="1:46" ht="15" customHeight="1" x14ac:dyDescent="0.3">
      <c r="A12" s="128" t="s">
        <v>97</v>
      </c>
      <c r="B12" s="256" t="s">
        <v>96</v>
      </c>
      <c r="C12" s="115" t="s">
        <v>14</v>
      </c>
      <c r="D12" s="125">
        <v>11</v>
      </c>
      <c r="E12" s="197">
        <f t="shared" si="7"/>
        <v>7.3746315789473691</v>
      </c>
      <c r="F12" s="299">
        <v>0.75</v>
      </c>
      <c r="G12" s="119">
        <f t="shared" si="0"/>
        <v>81.120947368421056</v>
      </c>
      <c r="H12" s="207">
        <f t="shared" si="1"/>
        <v>60.840710526315789</v>
      </c>
      <c r="I12" s="81">
        <f>VLOOKUP(B12,All_Ingredients!$A$1:$F$151,6,FALSE())</f>
        <v>1</v>
      </c>
      <c r="J12" s="119">
        <f>VLOOKUP(B12,All_Ingredients!$A$1:$J$151,10,FALSE())</f>
        <v>0.74</v>
      </c>
      <c r="K12" s="122">
        <f t="shared" si="8"/>
        <v>6.0840710526315789E-2</v>
      </c>
      <c r="L12" s="122">
        <f t="shared" si="9"/>
        <v>4.5022125789473684E-2</v>
      </c>
      <c r="AI12" s="79" t="s">
        <v>220</v>
      </c>
      <c r="AJ12" s="533" t="s">
        <v>221</v>
      </c>
      <c r="AK12" s="115" t="s">
        <v>14</v>
      </c>
      <c r="AL12" s="125">
        <v>25</v>
      </c>
      <c r="AM12" s="197">
        <f t="shared" si="4"/>
        <v>2.7706949152542375</v>
      </c>
      <c r="AN12" s="299">
        <v>1</v>
      </c>
      <c r="AO12" s="119">
        <f t="shared" si="5"/>
        <v>69.267372881355939</v>
      </c>
      <c r="AP12" s="207">
        <f t="shared" si="6"/>
        <v>69.267372881355939</v>
      </c>
      <c r="AQ12" s="1172">
        <f>VLOOKUP(AJ12,Marination_Ordering!$A:$J,6,FALSE)</f>
        <v>1</v>
      </c>
      <c r="AR12" s="1172">
        <f>VLOOKUP(AJ12,Marination_Ordering!$A:$J,10,FALSE)</f>
        <v>35</v>
      </c>
      <c r="AS12" s="175">
        <f t="shared" si="12"/>
        <v>69.267372881355939</v>
      </c>
      <c r="AT12" s="1172">
        <f t="shared" si="13"/>
        <v>2.424358050847458</v>
      </c>
    </row>
    <row r="13" spans="1:46" ht="17.75" customHeight="1" x14ac:dyDescent="0.3">
      <c r="A13" s="128" t="s">
        <v>57</v>
      </c>
      <c r="B13" s="256" t="s">
        <v>56</v>
      </c>
      <c r="C13" s="115" t="s">
        <v>14</v>
      </c>
      <c r="D13" s="125">
        <v>40</v>
      </c>
      <c r="E13" s="197">
        <f t="shared" si="7"/>
        <v>7.3746315789473691</v>
      </c>
      <c r="F13" s="299">
        <v>1</v>
      </c>
      <c r="G13" s="119">
        <f t="shared" si="0"/>
        <v>294.98526315789479</v>
      </c>
      <c r="H13" s="207">
        <f t="shared" si="1"/>
        <v>294.98526315789479</v>
      </c>
      <c r="I13" s="81">
        <f>VLOOKUP(B13,All_Ingredients!$A$1:$F$151,6,FALSE())</f>
        <v>0.87</v>
      </c>
      <c r="J13" s="119">
        <f>VLOOKUP(B13,All_Ingredients!$A$1:$J$151,10,FALSE())</f>
        <v>7</v>
      </c>
      <c r="K13" s="122">
        <f t="shared" si="8"/>
        <v>0.33906352087114344</v>
      </c>
      <c r="L13" s="122">
        <f t="shared" si="9"/>
        <v>2.3734446460980041</v>
      </c>
      <c r="AI13" s="79" t="s">
        <v>196</v>
      </c>
      <c r="AJ13" s="533" t="s">
        <v>198</v>
      </c>
      <c r="AK13" s="115" t="s">
        <v>14</v>
      </c>
      <c r="AL13" s="125">
        <v>20</v>
      </c>
      <c r="AM13" s="197">
        <f t="shared" si="4"/>
        <v>2.7706949152542375</v>
      </c>
      <c r="AN13" s="299">
        <v>1</v>
      </c>
      <c r="AO13" s="119">
        <f t="shared" si="5"/>
        <v>55.41389830508475</v>
      </c>
      <c r="AP13" s="207">
        <f t="shared" si="6"/>
        <v>55.41389830508475</v>
      </c>
      <c r="AQ13" s="1172">
        <f>VLOOKUP(AJ13,Marination_Ordering!$A:$J,6,FALSE)</f>
        <v>1</v>
      </c>
      <c r="AR13" s="1172">
        <f>VLOOKUP(AJ13,Marination_Ordering!$A:$J,10,FALSE)</f>
        <v>58.685446009389672</v>
      </c>
      <c r="AS13" s="175">
        <f t="shared" si="12"/>
        <v>55.41389830508475</v>
      </c>
      <c r="AT13" s="1172">
        <f t="shared" si="13"/>
        <v>3.2519893371528612</v>
      </c>
    </row>
    <row r="14" spans="1:46" ht="14.25" customHeight="1" x14ac:dyDescent="0.3">
      <c r="A14" s="128" t="s">
        <v>186</v>
      </c>
      <c r="B14" s="256" t="s">
        <v>189</v>
      </c>
      <c r="C14" s="115" t="s">
        <v>14</v>
      </c>
      <c r="D14" s="125">
        <v>40</v>
      </c>
      <c r="E14" s="197">
        <f t="shared" si="7"/>
        <v>7.3746315789473691</v>
      </c>
      <c r="F14" s="299">
        <v>1</v>
      </c>
      <c r="G14" s="119">
        <f t="shared" si="0"/>
        <v>294.98526315789479</v>
      </c>
      <c r="H14" s="207">
        <f t="shared" si="1"/>
        <v>294.98526315789479</v>
      </c>
      <c r="I14" s="81">
        <f>VLOOKUP(B14,All_Ingredients!$A$1:$F$151,6,FALSE())</f>
        <v>1</v>
      </c>
      <c r="J14" s="119">
        <f>VLOOKUP(B14,All_Ingredients!$A$1:$J$151,10,FALSE())</f>
        <v>17</v>
      </c>
      <c r="K14" s="122">
        <f t="shared" si="8"/>
        <v>0.29498526315789481</v>
      </c>
      <c r="L14" s="122">
        <f t="shared" si="9"/>
        <v>5.014749473684212</v>
      </c>
    </row>
    <row r="15" spans="1:46" ht="14.25" customHeight="1" x14ac:dyDescent="0.3">
      <c r="A15" s="128" t="s">
        <v>196</v>
      </c>
      <c r="B15" s="22" t="s">
        <v>761</v>
      </c>
      <c r="C15" s="115" t="s">
        <v>14</v>
      </c>
      <c r="D15" s="125">
        <v>45</v>
      </c>
      <c r="E15" s="197">
        <f t="shared" si="7"/>
        <v>7.3746315789473691</v>
      </c>
      <c r="F15" s="299">
        <v>1</v>
      </c>
      <c r="G15" s="119">
        <f t="shared" si="0"/>
        <v>331.85842105263163</v>
      </c>
      <c r="H15" s="207">
        <f t="shared" si="1"/>
        <v>331.85842105263163</v>
      </c>
      <c r="I15" s="81">
        <f>VLOOKUP(B15,All_Ingredients!$A$1:$F$151,6,FALSE())</f>
        <v>1</v>
      </c>
      <c r="J15" s="119">
        <f>VLOOKUP(B15,All_Ingredients!$A$1:$J$151,10,FALSE())</f>
        <v>8.1520833333333336</v>
      </c>
      <c r="K15" s="122">
        <f t="shared" si="8"/>
        <v>0.33185842105263164</v>
      </c>
      <c r="L15" s="122">
        <f t="shared" si="9"/>
        <v>2.7053375032894742</v>
      </c>
    </row>
    <row r="16" spans="1:46" ht="14.25" customHeight="1" x14ac:dyDescent="0.3">
      <c r="A16" s="128" t="s">
        <v>158</v>
      </c>
      <c r="B16" s="222" t="s">
        <v>157</v>
      </c>
      <c r="C16" s="115" t="s">
        <v>14</v>
      </c>
      <c r="D16" s="125">
        <v>30</v>
      </c>
      <c r="E16" s="197">
        <f t="shared" si="7"/>
        <v>7.3746315789473691</v>
      </c>
      <c r="F16" s="299">
        <v>1</v>
      </c>
      <c r="G16" s="119">
        <f t="shared" si="0"/>
        <v>221.23894736842107</v>
      </c>
      <c r="H16" s="207">
        <f t="shared" si="1"/>
        <v>221.23894736842107</v>
      </c>
      <c r="I16" s="81">
        <f>VLOOKUP(B16,All_Ingredients!$A$1:$F$151,6,FALSE())</f>
        <v>1</v>
      </c>
      <c r="J16" s="119">
        <f>VLOOKUP(B16,All_Ingredients!$A$1:$J$151,10,FALSE())</f>
        <v>30</v>
      </c>
      <c r="K16" s="122">
        <f t="shared" si="8"/>
        <v>0.22123894736842106</v>
      </c>
      <c r="L16" s="122">
        <f t="shared" si="9"/>
        <v>6.6371684210526318</v>
      </c>
    </row>
    <row r="17" spans="2:31" ht="14.25" customHeight="1" x14ac:dyDescent="0.3">
      <c r="B17" s="222" t="s">
        <v>221</v>
      </c>
      <c r="C17" s="115" t="s">
        <v>14</v>
      </c>
      <c r="D17" s="125">
        <v>2</v>
      </c>
      <c r="E17" s="197">
        <f t="shared" si="7"/>
        <v>7.3746315789473691</v>
      </c>
      <c r="F17" s="299">
        <v>1</v>
      </c>
      <c r="G17" s="119">
        <f>D17*E17</f>
        <v>14.749263157894738</v>
      </c>
      <c r="H17" s="207">
        <f>G17*F17</f>
        <v>14.749263157894738</v>
      </c>
      <c r="I17" s="81">
        <f>VLOOKUP(B17,All_Ingredients!$A$1:$F$151,6,FALSE())</f>
        <v>1</v>
      </c>
      <c r="J17" s="119">
        <f>VLOOKUP(B17,All_Ingredients!$A$1:$J$151,10,FALSE())</f>
        <v>35</v>
      </c>
      <c r="K17" s="122">
        <f t="shared" si="8"/>
        <v>1.4749263157894738E-2</v>
      </c>
      <c r="L17" s="122">
        <f t="shared" si="9"/>
        <v>0.51622421052631584</v>
      </c>
      <c r="M17" s="131"/>
      <c r="N17" s="131"/>
    </row>
    <row r="18" spans="2:31" ht="14.25" customHeight="1" x14ac:dyDescent="0.3">
      <c r="B18"/>
      <c r="C18" s="250"/>
      <c r="D18" s="254" t="s">
        <v>596</v>
      </c>
      <c r="E18" s="296"/>
      <c r="F18" s="535"/>
      <c r="G18" s="137"/>
      <c r="H18" s="536"/>
      <c r="I18" s="92"/>
      <c r="J18" s="139"/>
      <c r="K18" s="92"/>
      <c r="L18" s="137"/>
      <c r="M18" s="131"/>
      <c r="N18" s="131"/>
    </row>
    <row r="19" spans="2:31" ht="14.25" customHeight="1" x14ac:dyDescent="0.3">
      <c r="I19" s="92"/>
      <c r="J19" s="139"/>
      <c r="K19" s="92"/>
      <c r="L19" s="137"/>
      <c r="M19" s="131"/>
      <c r="N19" s="131"/>
    </row>
    <row r="20" spans="2:31" ht="14.25" customHeight="1" x14ac:dyDescent="0.3">
      <c r="I20" s="92"/>
      <c r="J20" s="139"/>
      <c r="K20" s="92"/>
      <c r="L20" s="137"/>
      <c r="M20" s="131"/>
      <c r="N20" s="131"/>
      <c r="S20" s="129" t="s">
        <v>407</v>
      </c>
    </row>
    <row r="21" spans="2:31" ht="14.25" customHeight="1" x14ac:dyDescent="0.3">
      <c r="I21" s="92"/>
      <c r="J21" s="139"/>
      <c r="K21" s="92"/>
      <c r="L21" s="137"/>
      <c r="M21" s="131"/>
      <c r="N21" s="131"/>
    </row>
    <row r="22" spans="2:31" ht="14.25" customHeight="1" x14ac:dyDescent="0.3">
      <c r="I22" s="92"/>
      <c r="J22" s="139"/>
      <c r="K22" s="92"/>
      <c r="L22" s="137"/>
      <c r="M22" s="131"/>
      <c r="N22" s="131"/>
    </row>
    <row r="23" spans="2:31" ht="14.25" customHeight="1" x14ac:dyDescent="0.3">
      <c r="I23" s="92"/>
      <c r="J23" s="139"/>
      <c r="K23" s="92"/>
      <c r="L23" s="137"/>
      <c r="M23" s="131"/>
      <c r="N23" s="131"/>
    </row>
    <row r="24" spans="2:31" ht="14.25" customHeight="1" x14ac:dyDescent="0.3">
      <c r="I24" s="92"/>
      <c r="J24" s="139"/>
      <c r="K24" s="92"/>
      <c r="L24" s="137"/>
      <c r="M24" s="131"/>
      <c r="N24" s="131"/>
      <c r="Z24" s="1234"/>
    </row>
    <row r="25" spans="2:31" ht="14.25" customHeight="1" x14ac:dyDescent="0.35">
      <c r="B25" s="881"/>
      <c r="C25" s="881"/>
      <c r="D25" s="881"/>
      <c r="E25" s="881"/>
      <c r="F25" s="881"/>
      <c r="G25" s="881"/>
      <c r="H25" s="881"/>
      <c r="I25" s="92"/>
      <c r="J25" s="139"/>
      <c r="K25" s="92"/>
      <c r="L25" s="137"/>
      <c r="M25" s="131"/>
      <c r="N25" s="131"/>
      <c r="R25" s="1487" t="s">
        <v>458</v>
      </c>
      <c r="S25" s="1476"/>
      <c r="T25" s="1476"/>
      <c r="U25" s="1476"/>
      <c r="V25" s="1206"/>
      <c r="W25" s="1206"/>
      <c r="Z25" s="141" t="s">
        <v>264</v>
      </c>
      <c r="AA25" s="142">
        <v>21230</v>
      </c>
      <c r="AB25" s="141" t="s">
        <v>261</v>
      </c>
      <c r="AC25" s="143">
        <f>(AA25*1.1)*(AE30)+(AA30*(AB28/R1))</f>
        <v>632.79871984120473</v>
      </c>
    </row>
    <row r="26" spans="2:31" ht="14.25" customHeight="1" x14ac:dyDescent="0.3">
      <c r="B26" s="881"/>
      <c r="C26" s="881"/>
      <c r="D26" s="881"/>
      <c r="E26" s="881"/>
      <c r="F26" s="881"/>
      <c r="G26" s="881"/>
      <c r="H26" s="881"/>
      <c r="I26" s="92"/>
      <c r="J26" s="139"/>
      <c r="K26" s="92"/>
      <c r="L26" s="137"/>
      <c r="M26" s="131"/>
      <c r="N26" s="131"/>
      <c r="R26" s="1423" t="s">
        <v>459</v>
      </c>
      <c r="S26" s="1476"/>
      <c r="T26" s="1476"/>
      <c r="U26" s="1476"/>
      <c r="V26" s="1206"/>
      <c r="W26" s="1206"/>
    </row>
    <row r="27" spans="2:31" ht="14.25" customHeight="1" thickBot="1" x14ac:dyDescent="0.35">
      <c r="I27" s="92"/>
      <c r="J27" s="139"/>
      <c r="K27" s="92"/>
      <c r="L27" s="137"/>
      <c r="M27" s="131"/>
      <c r="N27" s="131"/>
      <c r="R27" s="145" t="s">
        <v>266</v>
      </c>
      <c r="S27" s="146" t="s">
        <v>267</v>
      </c>
      <c r="T27" s="146" t="s">
        <v>268</v>
      </c>
      <c r="U27" s="146" t="s">
        <v>269</v>
      </c>
      <c r="V27" s="146" t="s">
        <v>839</v>
      </c>
      <c r="W27" s="146" t="s">
        <v>848</v>
      </c>
      <c r="Z27" s="141" t="s">
        <v>270</v>
      </c>
      <c r="AA27" s="1185" t="s">
        <v>324</v>
      </c>
      <c r="AB27" s="147" t="s">
        <v>271</v>
      </c>
      <c r="AC27" s="147" t="s">
        <v>272</v>
      </c>
      <c r="AD27" s="1186" t="s">
        <v>848</v>
      </c>
      <c r="AE27" s="147" t="s">
        <v>274</v>
      </c>
    </row>
    <row r="28" spans="2:31" ht="15" customHeight="1" thickBot="1" x14ac:dyDescent="0.35">
      <c r="I28" s="92"/>
      <c r="J28" s="139"/>
      <c r="K28" s="92"/>
      <c r="L28" s="137"/>
      <c r="M28" s="131"/>
      <c r="N28" s="131"/>
      <c r="R28" s="148" t="s">
        <v>275</v>
      </c>
      <c r="S28" s="149">
        <f>U28*S40</f>
        <v>15577.1</v>
      </c>
      <c r="T28" s="1324">
        <f>U28*U40</f>
        <v>6675.9000000000005</v>
      </c>
      <c r="U28" s="150">
        <f>$Z$1</f>
        <v>20230</v>
      </c>
      <c r="V28" s="149">
        <f>SUM(AP5:AP13)</f>
        <v>1695.6652881355933</v>
      </c>
      <c r="W28" s="149">
        <f>H37</f>
        <v>9.73</v>
      </c>
      <c r="Z28" s="151"/>
      <c r="AA28" s="1188"/>
      <c r="AB28" s="152">
        <f>AA25*$S$40</f>
        <v>16347.1</v>
      </c>
      <c r="AC28" s="152">
        <f>AA25*$U$40</f>
        <v>7005.9000000000005</v>
      </c>
      <c r="AD28" s="1188"/>
      <c r="AE28" s="154">
        <f>SUM(AB28:AC28)</f>
        <v>23353</v>
      </c>
    </row>
    <row r="29" spans="2:31" ht="14.25" customHeight="1" thickBot="1" x14ac:dyDescent="0.35">
      <c r="I29" s="92"/>
      <c r="J29" s="139"/>
      <c r="K29" s="92"/>
      <c r="L29" s="137"/>
      <c r="M29" s="131"/>
      <c r="N29" s="131"/>
      <c r="R29" s="148" t="s">
        <v>276</v>
      </c>
      <c r="S29" s="155"/>
      <c r="T29" s="149"/>
      <c r="U29" s="149">
        <f>T29</f>
        <v>0</v>
      </c>
      <c r="V29" s="149"/>
      <c r="W29" s="149"/>
      <c r="Z29" s="151"/>
      <c r="AA29" s="1192"/>
      <c r="AB29" s="156">
        <f>AB28/$AE$28</f>
        <v>0.70000000000000007</v>
      </c>
      <c r="AC29" s="156">
        <f>AC28/$AE$28</f>
        <v>0.30000000000000004</v>
      </c>
      <c r="AD29" s="1192"/>
      <c r="AE29" s="156">
        <f>AE28/$AE$28</f>
        <v>1</v>
      </c>
    </row>
    <row r="30" spans="2:31" ht="14.25" customHeight="1" thickBot="1" x14ac:dyDescent="0.35">
      <c r="B30"/>
      <c r="C30" s="250"/>
      <c r="D30" s="254"/>
      <c r="E30" s="296"/>
      <c r="F30" s="535"/>
      <c r="G30" s="881"/>
      <c r="H30" s="881"/>
      <c r="I30" s="92"/>
      <c r="J30" s="139"/>
      <c r="K30" s="92"/>
      <c r="L30" s="137"/>
      <c r="M30" s="131"/>
      <c r="N30" s="131"/>
      <c r="R30" s="148" t="s">
        <v>277</v>
      </c>
      <c r="S30" s="1228">
        <f>U30*S40</f>
        <v>770</v>
      </c>
      <c r="T30" s="1228">
        <f>U30*U40</f>
        <v>330</v>
      </c>
      <c r="U30" s="150">
        <f>$AB$1</f>
        <v>1000</v>
      </c>
      <c r="V30" s="1143"/>
      <c r="W30" s="1143"/>
      <c r="Z30" s="141" t="s">
        <v>278</v>
      </c>
      <c r="AA30" s="1196">
        <f>V35/(S32/R1)</f>
        <v>4.9473293364661413E-4</v>
      </c>
      <c r="AB30" s="157">
        <f>S35/(S32)</f>
        <v>3.3701221915648408E-2</v>
      </c>
      <c r="AC30" s="158">
        <f>T35/T32</f>
        <v>9.6347820326665064E-3</v>
      </c>
      <c r="AD30" s="1199">
        <f>W35/U32</f>
        <v>2.8844918623533792E-5</v>
      </c>
      <c r="AE30" s="1201">
        <f>SUMPRODUCT(AB30:AC30,AB29:AC29)+AD30</f>
        <v>2.6510134869377373E-2</v>
      </c>
    </row>
    <row r="31" spans="2:31" ht="14.25" customHeight="1" thickBot="1" x14ac:dyDescent="0.35">
      <c r="B31" s="881"/>
      <c r="C31" s="881"/>
      <c r="D31" s="881"/>
      <c r="E31" s="881"/>
      <c r="F31" s="881"/>
      <c r="G31" s="881"/>
      <c r="H31" s="881"/>
      <c r="I31" s="92"/>
      <c r="J31" s="139"/>
      <c r="K31" s="92"/>
      <c r="L31" s="137"/>
      <c r="M31" s="131"/>
      <c r="N31" s="131"/>
      <c r="R31" s="763" t="s">
        <v>279</v>
      </c>
      <c r="S31" s="155"/>
      <c r="T31" s="149">
        <f>T28+T29</f>
        <v>6675.9000000000005</v>
      </c>
      <c r="U31" s="149">
        <f>T31</f>
        <v>6675.9000000000005</v>
      </c>
      <c r="V31" s="149"/>
      <c r="W31" s="149"/>
    </row>
    <row r="32" spans="2:31" ht="14.25" customHeight="1" thickBot="1" x14ac:dyDescent="0.35">
      <c r="B32"/>
      <c r="C32" s="250"/>
      <c r="D32" s="254"/>
      <c r="E32" s="296"/>
      <c r="F32" s="535"/>
      <c r="G32" s="137"/>
      <c r="H32" s="536"/>
      <c r="I32" s="92"/>
      <c r="J32" s="139"/>
      <c r="K32" s="92"/>
      <c r="L32" s="137"/>
      <c r="M32" s="131"/>
      <c r="N32" s="131"/>
      <c r="R32" s="160" t="s">
        <v>269</v>
      </c>
      <c r="S32" s="1222">
        <f>SUM(S28:S30)</f>
        <v>16347.1</v>
      </c>
      <c r="T32" s="1222">
        <f>SUM(T28:T30)</f>
        <v>7005.9000000000005</v>
      </c>
      <c r="U32" s="149">
        <f>SUM(S32:T32)</f>
        <v>23353</v>
      </c>
      <c r="V32" s="149"/>
      <c r="W32" s="149">
        <f>SUM(W28:W30)</f>
        <v>9.73</v>
      </c>
    </row>
    <row r="33" spans="2:24" ht="14.25" customHeight="1" thickBot="1" x14ac:dyDescent="0.35">
      <c r="B33"/>
      <c r="C33" s="250"/>
      <c r="D33" s="254"/>
      <c r="E33" s="296"/>
      <c r="F33" s="535"/>
      <c r="G33" s="137"/>
      <c r="H33" s="536"/>
      <c r="I33" s="92"/>
      <c r="J33" s="139"/>
      <c r="K33" s="92"/>
      <c r="L33" s="137"/>
      <c r="M33" s="131"/>
      <c r="N33" s="131"/>
      <c r="R33" s="161" t="s">
        <v>280</v>
      </c>
      <c r="S33" s="155"/>
      <c r="T33" s="155">
        <f>F79+F99</f>
        <v>0</v>
      </c>
      <c r="U33" s="155"/>
      <c r="V33" s="155"/>
      <c r="W33" s="155"/>
    </row>
    <row r="34" spans="2:24" ht="14.25" customHeight="1" thickBot="1" x14ac:dyDescent="0.35">
      <c r="B34"/>
      <c r="C34" s="250"/>
      <c r="D34" s="254"/>
      <c r="E34" s="296"/>
      <c r="F34" s="535"/>
      <c r="G34" s="137"/>
      <c r="H34" s="536"/>
      <c r="I34" s="92"/>
      <c r="J34" s="139"/>
      <c r="K34" s="92"/>
      <c r="L34" s="137"/>
      <c r="M34" s="131"/>
      <c r="N34" s="131"/>
      <c r="R34" s="162" t="s">
        <v>281</v>
      </c>
      <c r="S34" s="155"/>
      <c r="T34" s="149">
        <f>T33-(T28+T29)</f>
        <v>-6675.9000000000005</v>
      </c>
      <c r="U34" s="155"/>
      <c r="V34" s="155"/>
      <c r="W34" s="155"/>
    </row>
    <row r="35" spans="2:24" ht="14.25" customHeight="1" thickBot="1" x14ac:dyDescent="0.35">
      <c r="B35" s="1394" t="s">
        <v>720</v>
      </c>
      <c r="C35" s="1394"/>
      <c r="D35" s="1394"/>
      <c r="E35" s="1394"/>
      <c r="F35" s="1394"/>
      <c r="G35" s="882"/>
      <c r="H35" s="882"/>
      <c r="I35" s="889"/>
      <c r="J35" s="889"/>
      <c r="K35" s="889"/>
      <c r="L35" s="889"/>
      <c r="M35" s="131"/>
      <c r="N35" s="131"/>
      <c r="R35" s="163" t="s">
        <v>261</v>
      </c>
      <c r="S35" s="1203">
        <f>$L$5</f>
        <v>550.9172447772961</v>
      </c>
      <c r="T35" s="1203">
        <f>SUM(L6:L17)</f>
        <v>67.500319442658281</v>
      </c>
      <c r="U35" s="1144">
        <f>S35+T35+V35+W35</f>
        <v>632.7987198412045</v>
      </c>
      <c r="V35" s="1144">
        <f>SUM(AT6:AT13)</f>
        <v>13.707540236634859</v>
      </c>
      <c r="W35" s="1203">
        <f>L37</f>
        <v>0.67361538461538462</v>
      </c>
    </row>
    <row r="36" spans="2:24" ht="14.25" customHeight="1" x14ac:dyDescent="0.3">
      <c r="B36" s="860" t="s">
        <v>253</v>
      </c>
      <c r="C36" s="860" t="s">
        <v>329</v>
      </c>
      <c r="D36" s="862" t="s">
        <v>671</v>
      </c>
      <c r="E36" s="859" t="s">
        <v>672</v>
      </c>
      <c r="F36" s="862" t="s">
        <v>673</v>
      </c>
      <c r="G36" s="882"/>
      <c r="H36" s="862" t="s">
        <v>673</v>
      </c>
      <c r="I36" s="862" t="s">
        <v>258</v>
      </c>
      <c r="J36" s="862" t="s">
        <v>259</v>
      </c>
      <c r="K36" s="862" t="s">
        <v>260</v>
      </c>
      <c r="L36" s="862" t="s">
        <v>261</v>
      </c>
      <c r="M36" s="131"/>
      <c r="N36" s="131"/>
    </row>
    <row r="37" spans="2:24" ht="14.25" customHeight="1" x14ac:dyDescent="0.3">
      <c r="B37" s="855" t="s">
        <v>746</v>
      </c>
      <c r="C37" s="856" t="s">
        <v>14</v>
      </c>
      <c r="D37" s="857">
        <v>7.0000000000000007E-2</v>
      </c>
      <c r="E37" s="855">
        <f>$AD$1</f>
        <v>139</v>
      </c>
      <c r="F37" s="855">
        <f>D37*E37</f>
        <v>9.73</v>
      </c>
      <c r="G37" s="881"/>
      <c r="H37" s="855">
        <f>F37</f>
        <v>9.73</v>
      </c>
      <c r="I37" s="855">
        <f>VLOOKUP(B37,All_Ingredients!$A$1:$F$151,6,FALSE())</f>
        <v>0.65</v>
      </c>
      <c r="J37" s="855">
        <f>VLOOKUP(B37,All_Ingredients!$A$1:$J$151,10,FALSE())</f>
        <v>45</v>
      </c>
      <c r="K37" s="855">
        <f>(H37/I37)/1000</f>
        <v>1.4969230769230769E-2</v>
      </c>
      <c r="L37" s="855">
        <f>K37*J37</f>
        <v>0.67361538461538462</v>
      </c>
      <c r="M37" s="131"/>
      <c r="N37" s="131"/>
    </row>
    <row r="38" spans="2:24" ht="14.25" customHeight="1" x14ac:dyDescent="0.3">
      <c r="B38"/>
      <c r="C38" s="250"/>
      <c r="D38" s="254"/>
      <c r="E38" s="296"/>
      <c r="F38" s="535"/>
      <c r="G38" s="137"/>
      <c r="H38" s="536"/>
      <c r="I38" s="92"/>
      <c r="J38" s="139"/>
      <c r="K38" s="92"/>
      <c r="L38" s="137"/>
      <c r="M38" s="131"/>
      <c r="N38" s="131"/>
    </row>
    <row r="39" spans="2:24" ht="14.25" customHeight="1" x14ac:dyDescent="0.3">
      <c r="B39"/>
      <c r="C39" s="250"/>
      <c r="D39" s="254"/>
      <c r="E39" s="296"/>
      <c r="F39" s="535"/>
      <c r="G39" s="137"/>
      <c r="H39" s="536"/>
      <c r="I39" s="92"/>
      <c r="J39" s="139"/>
      <c r="K39" s="92"/>
      <c r="L39" s="137"/>
      <c r="M39" s="131"/>
      <c r="N39" s="131"/>
    </row>
    <row r="40" spans="2:24" ht="18.75" customHeight="1" x14ac:dyDescent="0.3">
      <c r="B40"/>
      <c r="C40" s="250"/>
      <c r="D40" s="254"/>
      <c r="E40" s="296"/>
      <c r="F40" s="535"/>
      <c r="G40" s="137"/>
      <c r="H40" s="536"/>
      <c r="I40" s="92"/>
      <c r="J40" s="139"/>
      <c r="K40" s="92"/>
      <c r="L40" s="137"/>
      <c r="M40" s="131"/>
      <c r="N40" s="131"/>
      <c r="R40" s="165" t="s">
        <v>282</v>
      </c>
      <c r="S40" s="239">
        <v>0.77</v>
      </c>
      <c r="T40" s="165" t="s">
        <v>283</v>
      </c>
      <c r="U40" s="239">
        <v>0.33</v>
      </c>
      <c r="V40" s="168">
        <f>U40+S40</f>
        <v>1.1000000000000001</v>
      </c>
      <c r="W40" s="414">
        <v>1.1000000000000001</v>
      </c>
      <c r="X40" s="1325"/>
    </row>
    <row r="41" spans="2:24" ht="14.25" customHeight="1" x14ac:dyDescent="0.3">
      <c r="B41"/>
      <c r="C41" s="250"/>
      <c r="D41" s="254"/>
      <c r="E41" s="296"/>
      <c r="F41" s="535"/>
      <c r="G41" s="137"/>
      <c r="H41" s="536"/>
      <c r="I41" s="92"/>
      <c r="J41" s="139"/>
      <c r="K41" s="92"/>
      <c r="L41" s="137"/>
      <c r="M41" s="131"/>
      <c r="N41" s="131"/>
      <c r="U41" s="169"/>
    </row>
    <row r="43" spans="2:24" ht="14.25" customHeight="1" x14ac:dyDescent="0.3">
      <c r="L43" s="297"/>
      <c r="Q43" s="170" t="s">
        <v>284</v>
      </c>
      <c r="R43" s="170" t="s">
        <v>285</v>
      </c>
      <c r="S43" s="170" t="s">
        <v>286</v>
      </c>
      <c r="T43" s="170" t="s">
        <v>287</v>
      </c>
      <c r="U43" s="170" t="s">
        <v>288</v>
      </c>
      <c r="V43" s="170" t="s">
        <v>289</v>
      </c>
      <c r="W43" s="258" t="s">
        <v>290</v>
      </c>
    </row>
    <row r="44" spans="2:24" ht="14.25" customHeight="1" x14ac:dyDescent="0.3">
      <c r="L44" s="297"/>
      <c r="Q44" s="172">
        <v>43334</v>
      </c>
      <c r="R44" s="173">
        <f>D51</f>
        <v>10000</v>
      </c>
      <c r="S44" s="174">
        <v>1</v>
      </c>
      <c r="T44" s="174">
        <v>0</v>
      </c>
      <c r="U44" s="242">
        <f>R44*S44</f>
        <v>10000</v>
      </c>
      <c r="V44" s="176">
        <f>R44*T44</f>
        <v>0</v>
      </c>
      <c r="W44" s="260">
        <f>Q44-U44</f>
        <v>33334</v>
      </c>
    </row>
    <row r="45" spans="2:24" ht="14.25" customHeight="1" x14ac:dyDescent="0.3">
      <c r="L45" s="297"/>
    </row>
    <row r="46" spans="2:24" ht="14.25" customHeight="1" x14ac:dyDescent="0.3">
      <c r="L46" s="297"/>
    </row>
    <row r="47" spans="2:24" ht="14.25" customHeight="1" x14ac:dyDescent="0.3">
      <c r="L47" s="297"/>
      <c r="S47" s="501"/>
      <c r="U47" s="501"/>
    </row>
    <row r="48" spans="2:24" ht="14.25" customHeight="1" x14ac:dyDescent="0.3">
      <c r="L48" s="297"/>
    </row>
    <row r="49" spans="1:17" ht="14.25" customHeight="1" x14ac:dyDescent="0.3">
      <c r="B49" s="100"/>
      <c r="E49" s="100"/>
      <c r="F49" s="100"/>
      <c r="L49" s="297"/>
      <c r="Q49" s="532" t="s">
        <v>588</v>
      </c>
    </row>
    <row r="50" spans="1:17" ht="14.25" customHeight="1" x14ac:dyDescent="0.3">
      <c r="B50" s="276"/>
      <c r="C50" s="145" t="s">
        <v>245</v>
      </c>
      <c r="D50" s="145" t="s">
        <v>291</v>
      </c>
      <c r="E50" s="100"/>
      <c r="F50" s="100"/>
      <c r="G50" s="145" t="s">
        <v>292</v>
      </c>
      <c r="H50" s="145" t="s">
        <v>245</v>
      </c>
      <c r="I50" s="145" t="s">
        <v>293</v>
      </c>
      <c r="J50" s="145" t="s">
        <v>294</v>
      </c>
      <c r="L50" s="297"/>
    </row>
    <row r="51" spans="1:17" x14ac:dyDescent="0.3">
      <c r="B51" s="180" t="s">
        <v>295</v>
      </c>
      <c r="C51" s="181">
        <f>10/$K$1</f>
        <v>10.526315789473685</v>
      </c>
      <c r="D51" s="182">
        <f>$C$1*10</f>
        <v>10000</v>
      </c>
      <c r="E51" s="183"/>
      <c r="F51" s="100"/>
      <c r="G51" s="180" t="s">
        <v>295</v>
      </c>
      <c r="H51" s="277">
        <f>I51/$D$5</f>
        <v>10</v>
      </c>
      <c r="I51" s="181">
        <f>J51/$R$1</f>
        <v>56498.305084745763</v>
      </c>
      <c r="J51" s="181">
        <f>$W$44</f>
        <v>33334</v>
      </c>
    </row>
    <row r="52" spans="1:17" x14ac:dyDescent="0.3">
      <c r="B52" s="231" t="s">
        <v>274</v>
      </c>
      <c r="C52" s="232">
        <f>$I$1</f>
        <v>7.3746315789473691</v>
      </c>
      <c r="D52" s="233">
        <f>$E$1</f>
        <v>7005.9000000000005</v>
      </c>
      <c r="E52" s="100"/>
      <c r="F52" s="100"/>
      <c r="G52" s="148" t="s">
        <v>274</v>
      </c>
      <c r="H52" s="210">
        <f>I52/$D$5</f>
        <v>4.9040319193616133</v>
      </c>
      <c r="I52" s="176">
        <f>J52/$R$1</f>
        <v>27706.949152542376</v>
      </c>
      <c r="J52" s="184">
        <f>$S$32</f>
        <v>16347.1</v>
      </c>
    </row>
    <row r="53" spans="1:17" x14ac:dyDescent="0.3">
      <c r="B53" s="231" t="s">
        <v>296</v>
      </c>
      <c r="C53" s="234">
        <f>MIN(C52, C51)</f>
        <v>7.3746315789473691</v>
      </c>
      <c r="D53" s="233">
        <f>(C53*$K$1)*$C$1</f>
        <v>7005.9000000000005</v>
      </c>
      <c r="E53" s="100"/>
      <c r="F53" s="100"/>
      <c r="G53" s="148" t="s">
        <v>296</v>
      </c>
      <c r="H53" s="187">
        <f>MIN(H52,H51)</f>
        <v>4.9040319193616133</v>
      </c>
      <c r="I53" s="176">
        <f>J53/$R$1</f>
        <v>27706.949152542376</v>
      </c>
      <c r="J53" s="176">
        <f>MIN(J52,J51)</f>
        <v>16347.1</v>
      </c>
    </row>
    <row r="54" spans="1:17" x14ac:dyDescent="0.3">
      <c r="B54" s="231" t="s">
        <v>297</v>
      </c>
      <c r="C54" s="234">
        <f>MIN(MAX(C52-C53,0),C51)</f>
        <v>0</v>
      </c>
      <c r="D54" s="233">
        <f>(C54*$K$1)*$C$1</f>
        <v>0</v>
      </c>
      <c r="E54" s="100"/>
      <c r="F54" s="100"/>
      <c r="G54" s="148" t="s">
        <v>297</v>
      </c>
      <c r="H54" s="187">
        <f>MIN(MAX(H52-H53),H51)</f>
        <v>0</v>
      </c>
      <c r="I54" s="176">
        <f>J54/$R$1</f>
        <v>0</v>
      </c>
      <c r="J54" s="176">
        <f>MIN(MAX(J52-J53),J51)</f>
        <v>0</v>
      </c>
    </row>
    <row r="55" spans="1:17" x14ac:dyDescent="0.3">
      <c r="B55" s="231" t="s">
        <v>298</v>
      </c>
      <c r="C55" s="234">
        <f>MIN(MAX(C52-C53-C54,0),C51)</f>
        <v>0</v>
      </c>
      <c r="D55" s="233">
        <f>(C55*$K$1)*$C$1</f>
        <v>0</v>
      </c>
      <c r="E55" s="100"/>
      <c r="F55" s="100"/>
      <c r="G55" s="145" t="s">
        <v>298</v>
      </c>
      <c r="H55" s="187">
        <f>MIN(MAX(H52-H53-H54),H51)</f>
        <v>0</v>
      </c>
      <c r="I55" s="176">
        <f>J55/$R$1</f>
        <v>0</v>
      </c>
      <c r="J55" s="176">
        <f>MIN(MAX(J52-J53-J54),J51)</f>
        <v>0</v>
      </c>
    </row>
    <row r="62" spans="1:17" ht="17.75" customHeight="1" x14ac:dyDescent="0.3">
      <c r="A62" s="937"/>
      <c r="B62" s="1382" t="str">
        <f>"دجاج سيراتشا 1 / " &amp; COUNTIF($C$53:$C$55, "&gt;0")</f>
        <v>دجاج سيراتشا 1 / 1</v>
      </c>
      <c r="C62" s="1383"/>
      <c r="D62" s="1383"/>
      <c r="E62" s="1383"/>
      <c r="F62" s="1383"/>
      <c r="G62" s="1383"/>
      <c r="H62" s="1383"/>
    </row>
    <row r="63" spans="1:17" ht="17.75" customHeight="1" x14ac:dyDescent="0.3">
      <c r="A63" s="937"/>
      <c r="B63" s="1384" t="str">
        <f>"Sriracha Chicken 1 / " &amp; COUNTIF($C$53:$C$55, "&gt;0")</f>
        <v>Sriracha Chicken 1 / 1</v>
      </c>
      <c r="C63" s="1385"/>
      <c r="D63" s="1385"/>
      <c r="E63" s="1385"/>
      <c r="F63" s="1385"/>
      <c r="G63" s="1385"/>
      <c r="H63" s="1385"/>
    </row>
    <row r="64" spans="1:17" ht="48.5" customHeight="1" x14ac:dyDescent="0.25">
      <c r="A64" s="91"/>
      <c r="B64" s="243" t="s">
        <v>253</v>
      </c>
      <c r="C64" s="244" t="s">
        <v>254</v>
      </c>
      <c r="D64" s="245" t="s">
        <v>243</v>
      </c>
      <c r="E64" s="218" t="s">
        <v>246</v>
      </c>
      <c r="F64" s="218" t="s">
        <v>255</v>
      </c>
      <c r="G64" s="245" t="s">
        <v>256</v>
      </c>
      <c r="H64" s="218" t="s">
        <v>257</v>
      </c>
    </row>
    <row r="65" spans="1:8" ht="14.25" customHeight="1" x14ac:dyDescent="0.25">
      <c r="A65" s="219" t="s">
        <v>230</v>
      </c>
      <c r="B65" s="123" t="str">
        <f t="shared" ref="B65:D75" si="14">B5</f>
        <v>Chicken - دجاج</v>
      </c>
      <c r="C65" s="123" t="str">
        <f t="shared" si="14"/>
        <v>gm</v>
      </c>
      <c r="D65" s="263">
        <f t="shared" si="14"/>
        <v>5649.8305084745762</v>
      </c>
      <c r="E65" s="433">
        <f>H53</f>
        <v>4.9040319193616133</v>
      </c>
      <c r="F65" s="127">
        <f t="shared" ref="F65:F77" si="15">F5</f>
        <v>1</v>
      </c>
      <c r="G65" s="117">
        <f t="shared" ref="G65:G75" si="16">D65*E65</f>
        <v>27706.949152542376</v>
      </c>
      <c r="H65" s="120">
        <f t="shared" ref="H65:H75" si="17">G65*F65</f>
        <v>27706.949152542376</v>
      </c>
    </row>
    <row r="66" spans="1:8" ht="14.25" customHeight="1" x14ac:dyDescent="0.3">
      <c r="A66" s="128" t="s">
        <v>196</v>
      </c>
      <c r="B66" s="123" t="str">
        <f t="shared" si="14"/>
        <v>Tomato Ketchup - كاتشب طماطم</v>
      </c>
      <c r="C66" s="123" t="str">
        <f t="shared" si="14"/>
        <v>ml</v>
      </c>
      <c r="D66" s="123">
        <f t="shared" si="14"/>
        <v>500</v>
      </c>
      <c r="E66" s="433">
        <f>$C$53</f>
        <v>7.3746315789473691</v>
      </c>
      <c r="F66" s="127">
        <f t="shared" si="15"/>
        <v>1</v>
      </c>
      <c r="G66" s="117">
        <f t="shared" si="16"/>
        <v>3687.3157894736846</v>
      </c>
      <c r="H66" s="120">
        <f t="shared" si="17"/>
        <v>3687.3157894736846</v>
      </c>
    </row>
    <row r="67" spans="1:8" ht="14.25" customHeight="1" x14ac:dyDescent="0.3">
      <c r="A67" s="128" t="s">
        <v>196</v>
      </c>
      <c r="B67" s="123" t="str">
        <f t="shared" si="14"/>
        <v>Sriracha Sauce - صوص سريراتشا</v>
      </c>
      <c r="C67" s="123" t="str">
        <f t="shared" si="14"/>
        <v>ml</v>
      </c>
      <c r="D67" s="123">
        <f t="shared" si="14"/>
        <v>40</v>
      </c>
      <c r="E67" s="433">
        <f t="shared" ref="E67:E77" si="18">$C$53</f>
        <v>7.3746315789473691</v>
      </c>
      <c r="F67" s="127">
        <f t="shared" si="15"/>
        <v>0.75</v>
      </c>
      <c r="G67" s="117">
        <f t="shared" si="16"/>
        <v>294.98526315789479</v>
      </c>
      <c r="H67" s="120">
        <f t="shared" si="17"/>
        <v>221.23894736842109</v>
      </c>
    </row>
    <row r="68" spans="1:8" ht="14.25" customHeight="1" x14ac:dyDescent="0.3">
      <c r="A68" s="128" t="s">
        <v>196</v>
      </c>
      <c r="B68" s="123" t="str">
        <f t="shared" si="14"/>
        <v>Light Soy Sauce - صويا صوص خفيف</v>
      </c>
      <c r="C68" s="123" t="str">
        <f t="shared" si="14"/>
        <v>ml</v>
      </c>
      <c r="D68" s="123">
        <f t="shared" si="14"/>
        <v>60</v>
      </c>
      <c r="E68" s="433">
        <f t="shared" si="18"/>
        <v>7.3746315789473691</v>
      </c>
      <c r="F68" s="127">
        <f t="shared" si="15"/>
        <v>0.9</v>
      </c>
      <c r="G68" s="117">
        <f t="shared" si="16"/>
        <v>442.47789473684213</v>
      </c>
      <c r="H68" s="120">
        <f t="shared" si="17"/>
        <v>398.23010526315795</v>
      </c>
    </row>
    <row r="69" spans="1:8" ht="14.25" customHeight="1" x14ac:dyDescent="0.3">
      <c r="A69" s="128" t="s">
        <v>196</v>
      </c>
      <c r="B69" s="123" t="str">
        <f t="shared" si="14"/>
        <v>Sweet Soy Sauce - صويا صوص حلو</v>
      </c>
      <c r="C69" s="123" t="str">
        <f t="shared" si="14"/>
        <v>ml</v>
      </c>
      <c r="D69" s="123">
        <f t="shared" si="14"/>
        <v>40</v>
      </c>
      <c r="E69" s="433">
        <f t="shared" si="18"/>
        <v>7.3746315789473691</v>
      </c>
      <c r="F69" s="127">
        <f t="shared" si="15"/>
        <v>1</v>
      </c>
      <c r="G69" s="117">
        <f t="shared" si="16"/>
        <v>294.98526315789479</v>
      </c>
      <c r="H69" s="120">
        <f t="shared" si="17"/>
        <v>294.98526315789479</v>
      </c>
    </row>
    <row r="70" spans="1:8" ht="14.25" customHeight="1" x14ac:dyDescent="0.3">
      <c r="A70" s="128" t="s">
        <v>13</v>
      </c>
      <c r="B70" s="123" t="str">
        <f t="shared" si="14"/>
        <v>Garlic - ثوم مقشر</v>
      </c>
      <c r="C70" s="123" t="str">
        <f t="shared" si="14"/>
        <v>gm</v>
      </c>
      <c r="D70" s="123">
        <f t="shared" si="14"/>
        <v>40</v>
      </c>
      <c r="E70" s="433">
        <f t="shared" si="18"/>
        <v>7.3746315789473691</v>
      </c>
      <c r="F70" s="127">
        <f t="shared" si="15"/>
        <v>1</v>
      </c>
      <c r="G70" s="117">
        <f t="shared" si="16"/>
        <v>294.98526315789479</v>
      </c>
      <c r="H70" s="120">
        <f t="shared" si="17"/>
        <v>294.98526315789479</v>
      </c>
    </row>
    <row r="71" spans="1:8" ht="14.25" customHeight="1" x14ac:dyDescent="0.3">
      <c r="A71" s="128" t="s">
        <v>192</v>
      </c>
      <c r="B71" s="123" t="str">
        <f t="shared" si="14"/>
        <v>Corn Starch - نشا ذرة</v>
      </c>
      <c r="C71" s="123" t="str">
        <f t="shared" si="14"/>
        <v>gm</v>
      </c>
      <c r="D71" s="123">
        <f t="shared" si="14"/>
        <v>40</v>
      </c>
      <c r="E71" s="433">
        <f t="shared" si="18"/>
        <v>7.3746315789473691</v>
      </c>
      <c r="F71" s="127">
        <f t="shared" si="15"/>
        <v>0.95</v>
      </c>
      <c r="G71" s="117">
        <f t="shared" si="16"/>
        <v>294.98526315789479</v>
      </c>
      <c r="H71" s="120">
        <f t="shared" si="17"/>
        <v>280.23600000000005</v>
      </c>
    </row>
    <row r="72" spans="1:8" ht="14.25" customHeight="1" x14ac:dyDescent="0.3">
      <c r="A72" s="128" t="s">
        <v>97</v>
      </c>
      <c r="B72" s="123" t="str">
        <f t="shared" si="14"/>
        <v>Salt - ملح</v>
      </c>
      <c r="C72" s="123" t="str">
        <f t="shared" si="14"/>
        <v>gm</v>
      </c>
      <c r="D72" s="123">
        <f t="shared" si="14"/>
        <v>11</v>
      </c>
      <c r="E72" s="433">
        <f t="shared" si="18"/>
        <v>7.3746315789473691</v>
      </c>
      <c r="F72" s="127">
        <f t="shared" si="15"/>
        <v>0.75</v>
      </c>
      <c r="G72" s="117">
        <f t="shared" si="16"/>
        <v>81.120947368421056</v>
      </c>
      <c r="H72" s="120">
        <f t="shared" si="17"/>
        <v>60.840710526315789</v>
      </c>
    </row>
    <row r="73" spans="1:8" ht="14.25" customHeight="1" x14ac:dyDescent="0.3">
      <c r="A73" s="128" t="s">
        <v>57</v>
      </c>
      <c r="B73" s="123" t="str">
        <f t="shared" si="14"/>
        <v>Ginger - زنجبيل</v>
      </c>
      <c r="C73" s="123" t="str">
        <f t="shared" si="14"/>
        <v>gm</v>
      </c>
      <c r="D73" s="123">
        <f t="shared" si="14"/>
        <v>40</v>
      </c>
      <c r="E73" s="433">
        <f t="shared" si="18"/>
        <v>7.3746315789473691</v>
      </c>
      <c r="F73" s="127">
        <f t="shared" si="15"/>
        <v>1</v>
      </c>
      <c r="G73" s="117">
        <f t="shared" si="16"/>
        <v>294.98526315789479</v>
      </c>
      <c r="H73" s="120">
        <f t="shared" si="17"/>
        <v>294.98526315789479</v>
      </c>
    </row>
    <row r="74" spans="1:8" ht="14.25" customHeight="1" x14ac:dyDescent="0.3">
      <c r="A74" s="128" t="s">
        <v>186</v>
      </c>
      <c r="B74" s="123" t="str">
        <f t="shared" si="14"/>
        <v>Honey - عسل</v>
      </c>
      <c r="C74" s="123" t="str">
        <f t="shared" si="14"/>
        <v>gm</v>
      </c>
      <c r="D74" s="123">
        <f t="shared" si="14"/>
        <v>40</v>
      </c>
      <c r="E74" s="433">
        <f t="shared" si="18"/>
        <v>7.3746315789473691</v>
      </c>
      <c r="F74" s="127">
        <f t="shared" si="15"/>
        <v>1</v>
      </c>
      <c r="G74" s="117">
        <f t="shared" si="16"/>
        <v>294.98526315789479</v>
      </c>
      <c r="H74" s="120">
        <f t="shared" si="17"/>
        <v>294.98526315789479</v>
      </c>
    </row>
    <row r="75" spans="1:8" ht="14.25" customHeight="1" x14ac:dyDescent="0.3">
      <c r="A75" s="128" t="s">
        <v>196</v>
      </c>
      <c r="B75" s="123" t="str">
        <f t="shared" si="14"/>
        <v>Tomato Paste - صلصة طماطم</v>
      </c>
      <c r="C75" s="123" t="str">
        <f t="shared" si="14"/>
        <v>gm</v>
      </c>
      <c r="D75" s="123">
        <f t="shared" si="14"/>
        <v>45</v>
      </c>
      <c r="E75" s="433">
        <f t="shared" si="18"/>
        <v>7.3746315789473691</v>
      </c>
      <c r="F75" s="127">
        <f t="shared" si="15"/>
        <v>1</v>
      </c>
      <c r="G75" s="117">
        <f t="shared" si="16"/>
        <v>331.85842105263163</v>
      </c>
      <c r="H75" s="120">
        <f t="shared" si="17"/>
        <v>331.85842105263163</v>
      </c>
    </row>
    <row r="76" spans="1:8" ht="14.25" customHeight="1" x14ac:dyDescent="0.3">
      <c r="A76" s="128"/>
      <c r="B76" s="123" t="str">
        <f t="shared" ref="B76:D77" si="19">B16</f>
        <v>Butter - زبدة</v>
      </c>
      <c r="C76" s="123" t="str">
        <f t="shared" si="19"/>
        <v>gm</v>
      </c>
      <c r="D76" s="123">
        <f t="shared" si="19"/>
        <v>30</v>
      </c>
      <c r="E76" s="433">
        <f t="shared" si="18"/>
        <v>7.3746315789473691</v>
      </c>
      <c r="F76" s="127">
        <f t="shared" si="15"/>
        <v>1</v>
      </c>
      <c r="G76" s="117">
        <f>D76*E76</f>
        <v>221.23894736842107</v>
      </c>
      <c r="H76" s="120">
        <f>G76*F76</f>
        <v>221.23894736842107</v>
      </c>
    </row>
    <row r="77" spans="1:8" ht="20.25" customHeight="1" x14ac:dyDescent="0.3">
      <c r="A77" s="128" t="s">
        <v>158</v>
      </c>
      <c r="B77" s="123" t="str">
        <f t="shared" si="19"/>
        <v>Orange Color - لون برتقالي</v>
      </c>
      <c r="C77" s="123" t="str">
        <f t="shared" si="19"/>
        <v>gm</v>
      </c>
      <c r="D77" s="123">
        <f t="shared" si="19"/>
        <v>2</v>
      </c>
      <c r="E77" s="433">
        <f t="shared" si="18"/>
        <v>7.3746315789473691</v>
      </c>
      <c r="F77" s="127">
        <f t="shared" si="15"/>
        <v>1</v>
      </c>
      <c r="G77" s="117">
        <f>D77*E77</f>
        <v>14.749263157894738</v>
      </c>
      <c r="H77" s="120">
        <f>G77*F77</f>
        <v>14.749263157894738</v>
      </c>
    </row>
    <row r="78" spans="1:8" ht="18" x14ac:dyDescent="0.3">
      <c r="A78" s="211"/>
      <c r="B78" s="198" t="s">
        <v>299</v>
      </c>
      <c r="C78" s="200" t="s">
        <v>285</v>
      </c>
      <c r="E78" s="200" t="s">
        <v>300</v>
      </c>
      <c r="G78" s="890" t="s">
        <v>276</v>
      </c>
      <c r="H78" s="890" t="s">
        <v>733</v>
      </c>
    </row>
    <row r="79" spans="1:8" ht="25.25" customHeight="1" x14ac:dyDescent="0.4">
      <c r="A79" s="211"/>
      <c r="B79" s="199">
        <f>$J$53</f>
        <v>16347.1</v>
      </c>
      <c r="C79" s="199">
        <f>E79+G79</f>
        <v>7005.9000000000005</v>
      </c>
      <c r="D79" s="930"/>
      <c r="E79" s="199">
        <f>$D$53*$S$44</f>
        <v>7005.9000000000005</v>
      </c>
      <c r="F79" s="934"/>
      <c r="G79" s="199">
        <f>$D$53*$T$44</f>
        <v>0</v>
      </c>
      <c r="H79" s="199">
        <f>B79+E79</f>
        <v>23353</v>
      </c>
    </row>
    <row r="80" spans="1:8" ht="14.25" customHeight="1" x14ac:dyDescent="0.3">
      <c r="B80" s="100"/>
      <c r="E80" s="100"/>
      <c r="F80" s="100"/>
    </row>
    <row r="81" spans="1:8" ht="17.75" customHeight="1" x14ac:dyDescent="0.3">
      <c r="B81" s="100"/>
      <c r="E81" s="100"/>
      <c r="F81" s="100"/>
    </row>
    <row r="82" spans="1:8" ht="17.75" customHeight="1" x14ac:dyDescent="0.3">
      <c r="A82" s="97"/>
      <c r="B82" s="1382" t="str">
        <f>"دجاج سيراتشا 2 / " &amp; COUNTIF($C$53:$C$55, "&gt;0")</f>
        <v>دجاج سيراتشا 2 / 1</v>
      </c>
      <c r="C82" s="1388"/>
      <c r="D82" s="1388"/>
      <c r="E82" s="1388"/>
      <c r="F82" s="1388"/>
      <c r="G82" s="1388"/>
      <c r="H82" s="1388"/>
    </row>
    <row r="83" spans="1:8" ht="25.5" customHeight="1" x14ac:dyDescent="0.3">
      <c r="A83" s="97"/>
      <c r="B83" s="1384" t="str">
        <f>"Sriracha Chicken 2 / " &amp; COUNTIF($C$53:$C$55, "&gt;0")</f>
        <v>Sriracha Chicken 2 / 1</v>
      </c>
      <c r="C83" s="1410"/>
      <c r="D83" s="1410"/>
      <c r="E83" s="1410"/>
      <c r="F83" s="1410"/>
      <c r="G83" s="1410"/>
      <c r="H83" s="1410"/>
    </row>
    <row r="84" spans="1:8" ht="45.5" customHeight="1" x14ac:dyDescent="0.25">
      <c r="A84" s="91"/>
      <c r="B84" s="243" t="s">
        <v>253</v>
      </c>
      <c r="C84" s="244" t="s">
        <v>254</v>
      </c>
      <c r="D84" s="245" t="s">
        <v>243</v>
      </c>
      <c r="E84" s="218" t="s">
        <v>246</v>
      </c>
      <c r="F84" s="218" t="s">
        <v>255</v>
      </c>
      <c r="G84" s="245" t="s">
        <v>256</v>
      </c>
      <c r="H84" s="218" t="s">
        <v>257</v>
      </c>
    </row>
    <row r="85" spans="1:8" ht="14.25" customHeight="1" x14ac:dyDescent="0.3">
      <c r="A85" s="128" t="s">
        <v>230</v>
      </c>
      <c r="B85" s="123" t="str">
        <f t="shared" ref="B85:D97" si="20">B5</f>
        <v>Chicken - دجاج</v>
      </c>
      <c r="C85" s="123" t="str">
        <f t="shared" si="20"/>
        <v>gm</v>
      </c>
      <c r="D85" s="279">
        <f t="shared" si="20"/>
        <v>5649.8305084745762</v>
      </c>
      <c r="E85" s="126">
        <f>H54</f>
        <v>0</v>
      </c>
      <c r="F85" s="127">
        <f t="shared" ref="F85:F97" si="21">F5</f>
        <v>1</v>
      </c>
      <c r="G85" s="117">
        <f t="shared" ref="G85:G95" si="22">D85*E85</f>
        <v>0</v>
      </c>
      <c r="H85" s="120">
        <f t="shared" ref="H85:H95" si="23">G85*F85</f>
        <v>0</v>
      </c>
    </row>
    <row r="86" spans="1:8" ht="14.25" customHeight="1" x14ac:dyDescent="0.3">
      <c r="A86" s="128" t="s">
        <v>196</v>
      </c>
      <c r="B86" s="123" t="str">
        <f t="shared" si="20"/>
        <v>Tomato Ketchup - كاتشب طماطم</v>
      </c>
      <c r="C86" s="123" t="str">
        <f t="shared" si="20"/>
        <v>ml</v>
      </c>
      <c r="D86" s="123">
        <f t="shared" si="20"/>
        <v>500</v>
      </c>
      <c r="E86" s="126">
        <f t="shared" ref="E86:E97" si="24">$C$54</f>
        <v>0</v>
      </c>
      <c r="F86" s="127">
        <f t="shared" si="21"/>
        <v>1</v>
      </c>
      <c r="G86" s="117">
        <f t="shared" si="22"/>
        <v>0</v>
      </c>
      <c r="H86" s="120">
        <f t="shared" si="23"/>
        <v>0</v>
      </c>
    </row>
    <row r="87" spans="1:8" ht="14.25" customHeight="1" x14ac:dyDescent="0.3">
      <c r="A87" s="128" t="s">
        <v>196</v>
      </c>
      <c r="B87" s="123" t="str">
        <f t="shared" si="20"/>
        <v>Sriracha Sauce - صوص سريراتشا</v>
      </c>
      <c r="C87" s="123" t="str">
        <f t="shared" si="20"/>
        <v>ml</v>
      </c>
      <c r="D87" s="123">
        <f t="shared" si="20"/>
        <v>40</v>
      </c>
      <c r="E87" s="126">
        <f t="shared" si="24"/>
        <v>0</v>
      </c>
      <c r="F87" s="127">
        <f t="shared" si="21"/>
        <v>0.75</v>
      </c>
      <c r="G87" s="117">
        <f t="shared" si="22"/>
        <v>0</v>
      </c>
      <c r="H87" s="120">
        <f t="shared" si="23"/>
        <v>0</v>
      </c>
    </row>
    <row r="88" spans="1:8" ht="14.25" customHeight="1" x14ac:dyDescent="0.3">
      <c r="A88" s="128" t="s">
        <v>196</v>
      </c>
      <c r="B88" s="123" t="str">
        <f t="shared" si="20"/>
        <v>Light Soy Sauce - صويا صوص خفيف</v>
      </c>
      <c r="C88" s="123" t="str">
        <f t="shared" si="20"/>
        <v>ml</v>
      </c>
      <c r="D88" s="123">
        <f t="shared" si="20"/>
        <v>60</v>
      </c>
      <c r="E88" s="126">
        <f t="shared" si="24"/>
        <v>0</v>
      </c>
      <c r="F88" s="127">
        <f t="shared" si="21"/>
        <v>0.9</v>
      </c>
      <c r="G88" s="117">
        <f t="shared" si="22"/>
        <v>0</v>
      </c>
      <c r="H88" s="120">
        <f t="shared" si="23"/>
        <v>0</v>
      </c>
    </row>
    <row r="89" spans="1:8" ht="14.25" customHeight="1" x14ac:dyDescent="0.3">
      <c r="A89" s="128" t="s">
        <v>196</v>
      </c>
      <c r="B89" s="123" t="str">
        <f t="shared" si="20"/>
        <v>Sweet Soy Sauce - صويا صوص حلو</v>
      </c>
      <c r="C89" s="123" t="str">
        <f t="shared" si="20"/>
        <v>ml</v>
      </c>
      <c r="D89" s="123">
        <f t="shared" si="20"/>
        <v>40</v>
      </c>
      <c r="E89" s="126">
        <f t="shared" si="24"/>
        <v>0</v>
      </c>
      <c r="F89" s="127">
        <f t="shared" si="21"/>
        <v>1</v>
      </c>
      <c r="G89" s="117">
        <f t="shared" si="22"/>
        <v>0</v>
      </c>
      <c r="H89" s="120">
        <f t="shared" si="23"/>
        <v>0</v>
      </c>
    </row>
    <row r="90" spans="1:8" ht="14.25" customHeight="1" x14ac:dyDescent="0.3">
      <c r="A90" s="128" t="s">
        <v>13</v>
      </c>
      <c r="B90" s="123" t="str">
        <f t="shared" si="20"/>
        <v>Garlic - ثوم مقشر</v>
      </c>
      <c r="C90" s="123" t="str">
        <f t="shared" si="20"/>
        <v>gm</v>
      </c>
      <c r="D90" s="123">
        <f t="shared" si="20"/>
        <v>40</v>
      </c>
      <c r="E90" s="126">
        <f t="shared" si="24"/>
        <v>0</v>
      </c>
      <c r="F90" s="127">
        <f t="shared" si="21"/>
        <v>1</v>
      </c>
      <c r="G90" s="117">
        <f t="shared" si="22"/>
        <v>0</v>
      </c>
      <c r="H90" s="120">
        <f t="shared" si="23"/>
        <v>0</v>
      </c>
    </row>
    <row r="91" spans="1:8" ht="14.25" customHeight="1" x14ac:dyDescent="0.3">
      <c r="A91" s="128" t="s">
        <v>192</v>
      </c>
      <c r="B91" s="123" t="str">
        <f t="shared" si="20"/>
        <v>Corn Starch - نشا ذرة</v>
      </c>
      <c r="C91" s="123" t="str">
        <f t="shared" si="20"/>
        <v>gm</v>
      </c>
      <c r="D91" s="123">
        <f t="shared" si="20"/>
        <v>40</v>
      </c>
      <c r="E91" s="126">
        <f t="shared" si="24"/>
        <v>0</v>
      </c>
      <c r="F91" s="127">
        <f t="shared" si="21"/>
        <v>0.95</v>
      </c>
      <c r="G91" s="117">
        <f t="shared" si="22"/>
        <v>0</v>
      </c>
      <c r="H91" s="120">
        <f t="shared" si="23"/>
        <v>0</v>
      </c>
    </row>
    <row r="92" spans="1:8" ht="14.25" customHeight="1" x14ac:dyDescent="0.3">
      <c r="A92" s="128" t="s">
        <v>97</v>
      </c>
      <c r="B92" s="123" t="str">
        <f t="shared" si="20"/>
        <v>Salt - ملح</v>
      </c>
      <c r="C92" s="123" t="str">
        <f t="shared" si="20"/>
        <v>gm</v>
      </c>
      <c r="D92" s="123">
        <f t="shared" si="20"/>
        <v>11</v>
      </c>
      <c r="E92" s="126">
        <f t="shared" si="24"/>
        <v>0</v>
      </c>
      <c r="F92" s="127">
        <f t="shared" si="21"/>
        <v>0.75</v>
      </c>
      <c r="G92" s="117">
        <f t="shared" si="22"/>
        <v>0</v>
      </c>
      <c r="H92" s="120">
        <f t="shared" si="23"/>
        <v>0</v>
      </c>
    </row>
    <row r="93" spans="1:8" ht="14.25" customHeight="1" x14ac:dyDescent="0.3">
      <c r="A93" s="128" t="s">
        <v>57</v>
      </c>
      <c r="B93" s="123" t="str">
        <f t="shared" si="20"/>
        <v>Ginger - زنجبيل</v>
      </c>
      <c r="C93" s="123" t="str">
        <f t="shared" si="20"/>
        <v>gm</v>
      </c>
      <c r="D93" s="123">
        <f t="shared" si="20"/>
        <v>40</v>
      </c>
      <c r="E93" s="126">
        <f t="shared" si="24"/>
        <v>0</v>
      </c>
      <c r="F93" s="127">
        <f t="shared" si="21"/>
        <v>1</v>
      </c>
      <c r="G93" s="117">
        <f t="shared" si="22"/>
        <v>0</v>
      </c>
      <c r="H93" s="120">
        <f t="shared" si="23"/>
        <v>0</v>
      </c>
    </row>
    <row r="94" spans="1:8" ht="14.25" customHeight="1" x14ac:dyDescent="0.3">
      <c r="A94" s="128" t="s">
        <v>186</v>
      </c>
      <c r="B94" s="123" t="str">
        <f t="shared" si="20"/>
        <v>Honey - عسل</v>
      </c>
      <c r="C94" s="123" t="str">
        <f t="shared" si="20"/>
        <v>gm</v>
      </c>
      <c r="D94" s="123">
        <f t="shared" si="20"/>
        <v>40</v>
      </c>
      <c r="E94" s="126">
        <f t="shared" si="24"/>
        <v>0</v>
      </c>
      <c r="F94" s="127">
        <f t="shared" si="21"/>
        <v>1</v>
      </c>
      <c r="G94" s="117">
        <f t="shared" si="22"/>
        <v>0</v>
      </c>
      <c r="H94" s="120">
        <f t="shared" si="23"/>
        <v>0</v>
      </c>
    </row>
    <row r="95" spans="1:8" ht="14.25" customHeight="1" x14ac:dyDescent="0.3">
      <c r="A95" s="128" t="s">
        <v>196</v>
      </c>
      <c r="B95" s="123" t="str">
        <f t="shared" si="20"/>
        <v>Tomato Paste - صلصة طماطم</v>
      </c>
      <c r="C95" s="123" t="str">
        <f t="shared" si="20"/>
        <v>gm</v>
      </c>
      <c r="D95" s="123">
        <f t="shared" si="20"/>
        <v>45</v>
      </c>
      <c r="E95" s="126">
        <f t="shared" si="24"/>
        <v>0</v>
      </c>
      <c r="F95" s="127">
        <f t="shared" si="21"/>
        <v>1</v>
      </c>
      <c r="G95" s="117">
        <f t="shared" si="22"/>
        <v>0</v>
      </c>
      <c r="H95" s="120">
        <f t="shared" si="23"/>
        <v>0</v>
      </c>
    </row>
    <row r="96" spans="1:8" ht="20.25" customHeight="1" x14ac:dyDescent="0.3">
      <c r="A96" s="128"/>
      <c r="B96" s="123" t="str">
        <f t="shared" si="20"/>
        <v>Butter - زبدة</v>
      </c>
      <c r="C96" s="123" t="str">
        <f t="shared" si="20"/>
        <v>gm</v>
      </c>
      <c r="D96" s="123">
        <f t="shared" si="20"/>
        <v>30</v>
      </c>
      <c r="E96" s="126">
        <f t="shared" si="24"/>
        <v>0</v>
      </c>
      <c r="F96" s="127">
        <f t="shared" si="21"/>
        <v>1</v>
      </c>
      <c r="G96" s="117">
        <f>D96*E96</f>
        <v>0</v>
      </c>
      <c r="H96" s="120">
        <f>G96*F96</f>
        <v>0</v>
      </c>
    </row>
    <row r="97" spans="1:8" x14ac:dyDescent="0.3">
      <c r="A97" s="128" t="s">
        <v>158</v>
      </c>
      <c r="B97" s="123" t="str">
        <f t="shared" si="20"/>
        <v>Orange Color - لون برتقالي</v>
      </c>
      <c r="C97" s="123" t="str">
        <f t="shared" si="20"/>
        <v>gm</v>
      </c>
      <c r="D97" s="123">
        <f t="shared" si="20"/>
        <v>2</v>
      </c>
      <c r="E97" s="126">
        <f t="shared" si="24"/>
        <v>0</v>
      </c>
      <c r="F97" s="127">
        <f t="shared" si="21"/>
        <v>1</v>
      </c>
      <c r="G97" s="117">
        <f>D97*E97</f>
        <v>0</v>
      </c>
      <c r="H97" s="120">
        <f>G97*F97</f>
        <v>0</v>
      </c>
    </row>
    <row r="98" spans="1:8" ht="18" x14ac:dyDescent="0.3">
      <c r="A98" s="211"/>
      <c r="B98" s="198" t="s">
        <v>299</v>
      </c>
      <c r="C98" s="200" t="s">
        <v>285</v>
      </c>
      <c r="E98" s="200" t="s">
        <v>300</v>
      </c>
      <c r="G98" s="890" t="s">
        <v>276</v>
      </c>
      <c r="H98" s="890" t="s">
        <v>733</v>
      </c>
    </row>
    <row r="99" spans="1:8" ht="20" x14ac:dyDescent="0.4">
      <c r="A99" s="211"/>
      <c r="B99" s="199">
        <f>$J$54</f>
        <v>0</v>
      </c>
      <c r="C99" s="199">
        <f>E99+G99</f>
        <v>0</v>
      </c>
      <c r="D99" s="930"/>
      <c r="E99" s="199">
        <f>$D$54*$S$44</f>
        <v>0</v>
      </c>
      <c r="F99" s="934"/>
      <c r="G99" s="199">
        <f>$D$54*$T$44</f>
        <v>0</v>
      </c>
      <c r="H99" s="199">
        <f>B99+E99</f>
        <v>0</v>
      </c>
    </row>
  </sheetData>
  <mergeCells count="11">
    <mergeCell ref="AE2:AG3"/>
    <mergeCell ref="B83:H83"/>
    <mergeCell ref="R26:U26"/>
    <mergeCell ref="AN2:AN3"/>
    <mergeCell ref="B62:H62"/>
    <mergeCell ref="R25:U25"/>
    <mergeCell ref="F2:F3"/>
    <mergeCell ref="B82:H82"/>
    <mergeCell ref="B63:H63"/>
    <mergeCell ref="AK2:AM2"/>
    <mergeCell ref="B35:F35"/>
  </mergeCells>
  <printOptions horizontalCentered="1"/>
  <pageMargins left="0.5" right="0.5" top="1" bottom="0.5" header="0.3" footer="0.511811023622047"/>
  <pageSetup paperSize="9" scale="46" orientation="portrait" r:id="rId1"/>
  <legacyDrawing r:id="rId2"/>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rgb="FFC55A11"/>
    <pageSetUpPr fitToPage="1"/>
  </sheetPr>
  <dimension ref="A1:AT142"/>
  <sheetViews>
    <sheetView topLeftCell="B1" zoomScaleNormal="100" workbookViewId="0">
      <selection activeCell="B8" sqref="B8"/>
    </sheetView>
  </sheetViews>
  <sheetFormatPr defaultColWidth="12.5" defaultRowHeight="14" x14ac:dyDescent="0.3"/>
  <cols>
    <col min="1" max="1" width="12.5" style="1" customWidth="1"/>
    <col min="2" max="2" width="40" customWidth="1"/>
    <col min="3" max="3" width="19.33203125" customWidth="1"/>
    <col min="4" max="4" width="19" customWidth="1"/>
    <col min="5" max="5" width="16.1640625" customWidth="1"/>
    <col min="6" max="6" width="23.08203125" customWidth="1"/>
    <col min="7" max="7" width="25.1640625" customWidth="1"/>
    <col min="8" max="8" width="41.4140625" customWidth="1"/>
    <col min="12" max="12" width="8.33203125" customWidth="1"/>
    <col min="13" max="14" width="5.6640625" customWidth="1"/>
    <col min="18" max="18" width="30.5" customWidth="1"/>
    <col min="29" max="30" width="13.33203125" bestFit="1" customWidth="1"/>
    <col min="31" max="31" width="10" bestFit="1" customWidth="1"/>
    <col min="32" max="32" width="11.58203125" bestFit="1" customWidth="1"/>
    <col min="33" max="34" width="5.83203125" customWidth="1"/>
    <col min="36" max="36" width="29.9140625" customWidth="1"/>
  </cols>
  <sheetData>
    <row r="1" spans="1:46" s="133" customFormat="1" ht="35.25" customHeight="1" x14ac:dyDescent="0.3">
      <c r="A1" s="264"/>
      <c r="B1" s="80" t="s">
        <v>243</v>
      </c>
      <c r="C1" s="81">
        <v>1000</v>
      </c>
      <c r="D1" s="82" t="s">
        <v>244</v>
      </c>
      <c r="E1" s="83">
        <f>T32</f>
        <v>31433.366666666665</v>
      </c>
      <c r="F1" s="80" t="s">
        <v>245</v>
      </c>
      <c r="G1" s="84">
        <f>E1/C1</f>
        <v>31.433366666666664</v>
      </c>
      <c r="H1" s="80" t="s">
        <v>246</v>
      </c>
      <c r="I1" s="85">
        <f>(G1/K1)</f>
        <v>33.087754385964914</v>
      </c>
      <c r="J1" s="86" t="s">
        <v>247</v>
      </c>
      <c r="K1" s="85">
        <v>0.95</v>
      </c>
      <c r="L1" s="387"/>
      <c r="M1" s="89"/>
      <c r="N1" s="90"/>
      <c r="O1" s="91" t="s">
        <v>248</v>
      </c>
      <c r="P1" s="92" t="s">
        <v>249</v>
      </c>
      <c r="Q1" s="93" t="s">
        <v>250</v>
      </c>
      <c r="R1" s="92">
        <v>0.59</v>
      </c>
      <c r="S1" s="92"/>
      <c r="T1" s="92"/>
      <c r="Y1" s="91" t="s">
        <v>479</v>
      </c>
      <c r="Z1" s="847">
        <v>54700</v>
      </c>
      <c r="AA1" s="91" t="s">
        <v>600</v>
      </c>
      <c r="AB1" s="847">
        <v>1000</v>
      </c>
      <c r="AC1" s="91" t="s">
        <v>587</v>
      </c>
      <c r="AD1" s="847">
        <v>380</v>
      </c>
      <c r="AE1" s="250"/>
      <c r="AF1" s="252"/>
      <c r="AG1" s="92"/>
      <c r="AI1" s="1"/>
      <c r="AJ1" s="94" t="s">
        <v>262</v>
      </c>
      <c r="AK1" s="94">
        <v>10000</v>
      </c>
      <c r="AL1" s="628" t="s">
        <v>520</v>
      </c>
      <c r="AM1" s="629">
        <f>$S$32</f>
        <v>42833.3</v>
      </c>
      <c r="AN1" s="94" t="s">
        <v>251</v>
      </c>
      <c r="AO1" s="329">
        <f>((S32)/$R$1)/$AK$1</f>
        <v>7.2598813559322037</v>
      </c>
      <c r="AP1" s="96"/>
    </row>
    <row r="2" spans="1:46" ht="15.75" customHeight="1" x14ac:dyDescent="0.3">
      <c r="A2" s="265"/>
      <c r="B2" s="98"/>
      <c r="C2" s="98"/>
      <c r="D2" s="98"/>
      <c r="E2" s="98"/>
      <c r="F2" s="1408" t="s">
        <v>129</v>
      </c>
      <c r="G2" s="98"/>
      <c r="H2" s="98"/>
      <c r="I2" s="98"/>
      <c r="J2" s="98"/>
      <c r="K2" s="98"/>
      <c r="L2" s="98"/>
      <c r="M2" s="99"/>
      <c r="N2" s="99"/>
      <c r="O2" s="100"/>
      <c r="P2" s="100"/>
      <c r="Q2" s="100"/>
      <c r="R2" s="100"/>
      <c r="S2" s="100"/>
      <c r="T2" s="100"/>
      <c r="U2" s="100"/>
      <c r="AC2" s="99"/>
      <c r="AD2" s="99"/>
      <c r="AE2" s="1391"/>
      <c r="AF2" s="1422"/>
      <c r="AG2" s="1422"/>
      <c r="AI2" s="1"/>
      <c r="AJ2" s="101"/>
      <c r="AK2" s="1386" t="s">
        <v>460</v>
      </c>
      <c r="AL2" s="1386"/>
      <c r="AM2" s="1386"/>
      <c r="AN2" s="1386"/>
      <c r="AO2" s="101"/>
      <c r="AP2" s="101"/>
    </row>
    <row r="3" spans="1:46" ht="15.75" customHeight="1" x14ac:dyDescent="0.3">
      <c r="A3" s="265"/>
      <c r="B3" s="103"/>
      <c r="C3" s="103"/>
      <c r="D3" s="103"/>
      <c r="E3" s="103"/>
      <c r="F3" s="1388"/>
      <c r="G3" s="103"/>
      <c r="H3" s="103"/>
      <c r="I3" s="103"/>
      <c r="J3" s="103"/>
      <c r="K3" s="103"/>
      <c r="L3" s="103"/>
      <c r="M3" s="99"/>
      <c r="N3" s="99"/>
      <c r="O3" s="100"/>
      <c r="P3" s="100"/>
      <c r="Q3" s="100"/>
      <c r="R3" s="100"/>
      <c r="S3" s="100"/>
      <c r="T3" s="100"/>
      <c r="U3" s="100"/>
      <c r="AC3" s="99"/>
      <c r="AD3" s="99"/>
      <c r="AE3" s="1422"/>
      <c r="AF3" s="1422"/>
      <c r="AG3" s="1422"/>
      <c r="AI3" s="1"/>
      <c r="AJ3" s="101"/>
      <c r="AK3" s="101"/>
      <c r="AL3" s="101"/>
      <c r="AM3" s="101"/>
      <c r="AN3" s="1422"/>
      <c r="AO3" s="101"/>
      <c r="AP3" s="101"/>
    </row>
    <row r="4" spans="1:46" ht="46.5" customHeight="1" x14ac:dyDescent="0.3">
      <c r="A4" s="91" t="s">
        <v>1</v>
      </c>
      <c r="B4" s="91" t="s">
        <v>253</v>
      </c>
      <c r="C4" s="107" t="s">
        <v>254</v>
      </c>
      <c r="D4" s="91" t="s">
        <v>243</v>
      </c>
      <c r="E4" s="108" t="s">
        <v>246</v>
      </c>
      <c r="F4" s="108" t="s">
        <v>255</v>
      </c>
      <c r="G4" s="91" t="s">
        <v>256</v>
      </c>
      <c r="H4" s="331" t="s">
        <v>347</v>
      </c>
      <c r="I4" s="91" t="s">
        <v>258</v>
      </c>
      <c r="J4" s="91" t="s">
        <v>259</v>
      </c>
      <c r="K4" s="91" t="s">
        <v>260</v>
      </c>
      <c r="L4" s="89" t="s">
        <v>261</v>
      </c>
      <c r="M4" s="371"/>
      <c r="N4" s="371"/>
      <c r="O4" s="100"/>
      <c r="P4" s="100"/>
      <c r="Q4" s="100"/>
      <c r="R4" s="100"/>
      <c r="S4" s="100"/>
      <c r="T4" s="100"/>
      <c r="U4" s="100"/>
      <c r="AC4" s="251"/>
      <c r="AD4" s="253"/>
      <c r="AE4" s="251"/>
      <c r="AF4" s="251"/>
      <c r="AG4" s="251"/>
      <c r="AI4" s="1"/>
      <c r="AJ4" s="94" t="s">
        <v>253</v>
      </c>
      <c r="AK4" s="530" t="s">
        <v>254</v>
      </c>
      <c r="AL4" s="94" t="s">
        <v>262</v>
      </c>
      <c r="AM4" s="94" t="s">
        <v>246</v>
      </c>
      <c r="AN4" s="94" t="s">
        <v>255</v>
      </c>
      <c r="AO4" s="94" t="s">
        <v>256</v>
      </c>
      <c r="AP4" s="94" t="s">
        <v>347</v>
      </c>
      <c r="AQ4" s="91" t="s">
        <v>258</v>
      </c>
      <c r="AR4" s="91" t="s">
        <v>259</v>
      </c>
      <c r="AS4" s="91" t="s">
        <v>260</v>
      </c>
      <c r="AT4" s="91" t="s">
        <v>261</v>
      </c>
    </row>
    <row r="5" spans="1:46" ht="14.25" customHeight="1" x14ac:dyDescent="0.3">
      <c r="A5" s="266" t="s">
        <v>230</v>
      </c>
      <c r="B5" s="309" t="s">
        <v>229</v>
      </c>
      <c r="C5" s="115" t="s">
        <v>14</v>
      </c>
      <c r="D5" s="121">
        <f>I51/10</f>
        <v>2456.4701694915252</v>
      </c>
      <c r="E5" s="117">
        <f>H52</f>
        <v>29.554119753202443</v>
      </c>
      <c r="F5" s="127">
        <v>1</v>
      </c>
      <c r="G5" s="119">
        <f t="shared" ref="G5:G25" si="0">D5*E5</f>
        <v>72598.813559322036</v>
      </c>
      <c r="H5" s="120">
        <f t="shared" ref="H5:H25" si="1">G5*F5</f>
        <v>72598.813559322036</v>
      </c>
      <c r="I5" s="81">
        <f>VLOOKUP(B5,All_Ingredients!$A$1:$F$151,6,FALSE())</f>
        <v>0.86</v>
      </c>
      <c r="J5" s="119">
        <f>VLOOKUP(B5,All_Ingredients!$A$1:$J$151,10,FALSE())</f>
        <v>17.100000000000001</v>
      </c>
      <c r="K5" s="122">
        <f t="shared" ref="K5" si="2">(H5/I5)/1000</f>
        <v>84.417225068979107</v>
      </c>
      <c r="L5" s="122">
        <f t="shared" ref="L5" si="3">K5*J5</f>
        <v>1443.5345486795429</v>
      </c>
      <c r="M5" s="131"/>
      <c r="N5" s="131"/>
      <c r="O5" s="100"/>
      <c r="P5" s="100"/>
      <c r="Q5" s="100"/>
      <c r="R5" s="100"/>
      <c r="S5" s="100"/>
      <c r="T5" s="100"/>
      <c r="U5" s="100"/>
      <c r="AC5" s="92"/>
      <c r="AD5" s="133"/>
      <c r="AE5" s="254"/>
      <c r="AF5" s="135"/>
      <c r="AG5" s="136"/>
      <c r="AI5" s="1"/>
      <c r="AJ5" s="374" t="s">
        <v>229</v>
      </c>
      <c r="AK5" s="124" t="s">
        <v>238</v>
      </c>
      <c r="AL5" s="125">
        <v>10</v>
      </c>
      <c r="AM5" s="116">
        <f t="shared" ref="AM5:AM19" si="4">$AO$1</f>
        <v>7.2598813559322037</v>
      </c>
      <c r="AN5" s="127">
        <v>1</v>
      </c>
      <c r="AO5" s="119">
        <f t="shared" ref="AO5:AO19" si="5">AL5*AM5</f>
        <v>72.598813559322039</v>
      </c>
      <c r="AP5" s="207">
        <f t="shared" ref="AP5:AP19" si="6">AO5*AN5</f>
        <v>72.598813559322039</v>
      </c>
      <c r="AQ5" s="295"/>
      <c r="AR5" s="1171"/>
      <c r="AS5" s="175"/>
      <c r="AT5" s="1172"/>
    </row>
    <row r="6" spans="1:46" ht="14.25" customHeight="1" x14ac:dyDescent="0.3">
      <c r="A6" s="270" t="s">
        <v>13</v>
      </c>
      <c r="B6" s="114" t="s">
        <v>12</v>
      </c>
      <c r="C6" s="124" t="s">
        <v>14</v>
      </c>
      <c r="D6" s="125">
        <v>80</v>
      </c>
      <c r="E6" s="116">
        <f t="shared" ref="E6:E25" si="7">$I$1</f>
        <v>33.087754385964914</v>
      </c>
      <c r="F6" s="127">
        <v>1</v>
      </c>
      <c r="G6" s="119">
        <f t="shared" si="0"/>
        <v>2647.0203508771929</v>
      </c>
      <c r="H6" s="120">
        <f t="shared" si="1"/>
        <v>2647.0203508771929</v>
      </c>
      <c r="I6" s="81">
        <f>VLOOKUP(B6,All_Ingredients!$A$1:$F$151,6,FALSE())</f>
        <v>0.9</v>
      </c>
      <c r="J6" s="119">
        <f>VLOOKUP(B6,All_Ingredients!$A$1:$J$151,10,FALSE())</f>
        <v>3</v>
      </c>
      <c r="K6" s="122">
        <f t="shared" ref="K6:K25" si="8">(H6/I6)/1000</f>
        <v>2.9411337231968808</v>
      </c>
      <c r="L6" s="122">
        <f t="shared" ref="L6:L25" si="9">K6*J6</f>
        <v>8.8234011695906425</v>
      </c>
      <c r="M6" s="131"/>
      <c r="N6" s="131"/>
      <c r="AI6" s="1" t="s">
        <v>97</v>
      </c>
      <c r="AJ6" s="124" t="s">
        <v>108</v>
      </c>
      <c r="AK6" s="124" t="s">
        <v>14</v>
      </c>
      <c r="AL6" s="125">
        <v>25</v>
      </c>
      <c r="AM6" s="116">
        <f t="shared" si="4"/>
        <v>7.2598813559322037</v>
      </c>
      <c r="AN6" s="127">
        <v>1</v>
      </c>
      <c r="AO6" s="119">
        <f t="shared" si="5"/>
        <v>181.49703389830509</v>
      </c>
      <c r="AP6" s="207">
        <f t="shared" si="6"/>
        <v>181.49703389830509</v>
      </c>
      <c r="AQ6" s="1172">
        <f>VLOOKUP(AJ6,Marination_Ordering!$A:$J,6,FALSE)</f>
        <v>1</v>
      </c>
      <c r="AR6" s="1172">
        <f>VLOOKUP(AJ6,Marination_Ordering!$A:$J,10,FALSE)</f>
        <v>15</v>
      </c>
      <c r="AS6" s="175">
        <f>AP6/AQ6</f>
        <v>181.49703389830509</v>
      </c>
      <c r="AT6" s="1172">
        <f>AR6*(AS6/1000)</f>
        <v>2.7224555084745763</v>
      </c>
    </row>
    <row r="7" spans="1:46" ht="14.25" customHeight="1" x14ac:dyDescent="0.3">
      <c r="A7" s="270" t="s">
        <v>13</v>
      </c>
      <c r="B7" s="114" t="s">
        <v>17</v>
      </c>
      <c r="C7" s="124" t="s">
        <v>14</v>
      </c>
      <c r="D7" s="125">
        <v>400</v>
      </c>
      <c r="E7" s="116">
        <f t="shared" si="7"/>
        <v>33.087754385964914</v>
      </c>
      <c r="F7" s="127">
        <v>1</v>
      </c>
      <c r="G7" s="119">
        <f t="shared" si="0"/>
        <v>13235.101754385965</v>
      </c>
      <c r="H7" s="120">
        <f t="shared" si="1"/>
        <v>13235.101754385965</v>
      </c>
      <c r="I7" s="81">
        <f>VLOOKUP(B7,All_Ingredients!$A$1:$F$151,6,FALSE())</f>
        <v>0.98</v>
      </c>
      <c r="J7" s="119">
        <f>VLOOKUP(B7,All_Ingredients!$A$1:$J$151,10,FALSE())</f>
        <v>3.5</v>
      </c>
      <c r="K7" s="122">
        <f t="shared" si="8"/>
        <v>13.505205871822413</v>
      </c>
      <c r="L7" s="122">
        <f t="shared" si="9"/>
        <v>47.268220551378448</v>
      </c>
      <c r="M7" s="131"/>
      <c r="N7" s="131"/>
      <c r="AI7" s="1" t="s">
        <v>97</v>
      </c>
      <c r="AJ7" s="124" t="s">
        <v>110</v>
      </c>
      <c r="AK7" s="124" t="s">
        <v>14</v>
      </c>
      <c r="AL7" s="125">
        <v>15</v>
      </c>
      <c r="AM7" s="116">
        <f t="shared" si="4"/>
        <v>7.2598813559322037</v>
      </c>
      <c r="AN7" s="127">
        <v>1</v>
      </c>
      <c r="AO7" s="119">
        <f t="shared" si="5"/>
        <v>108.89822033898305</v>
      </c>
      <c r="AP7" s="207">
        <f t="shared" si="6"/>
        <v>108.89822033898305</v>
      </c>
      <c r="AQ7" s="1172">
        <f>VLOOKUP(AJ7,Marination_Ordering!$A:$J,6,FALSE)</f>
        <v>1</v>
      </c>
      <c r="AR7" s="1172">
        <f>VLOOKUP(AJ7,Marination_Ordering!$A:$J,10,FALSE)</f>
        <v>8</v>
      </c>
      <c r="AS7" s="175">
        <f t="shared" ref="AS7:AS8" si="10">AP7/AQ7</f>
        <v>108.89822033898305</v>
      </c>
      <c r="AT7" s="1172">
        <f t="shared" ref="AT7:AT8" si="11">AR7*(AS7/1000)</f>
        <v>0.87118576271186443</v>
      </c>
    </row>
    <row r="8" spans="1:46" ht="14.25" customHeight="1" x14ac:dyDescent="0.3">
      <c r="A8" s="270" t="s">
        <v>183</v>
      </c>
      <c r="B8" s="114" t="s">
        <v>184</v>
      </c>
      <c r="C8" s="124" t="s">
        <v>14</v>
      </c>
      <c r="D8" s="125">
        <v>50</v>
      </c>
      <c r="E8" s="116">
        <f t="shared" si="7"/>
        <v>33.087754385964914</v>
      </c>
      <c r="F8" s="127">
        <v>0.5</v>
      </c>
      <c r="G8" s="119">
        <f t="shared" si="0"/>
        <v>1654.3877192982457</v>
      </c>
      <c r="H8" s="120">
        <f t="shared" si="1"/>
        <v>827.19385964912283</v>
      </c>
      <c r="I8" s="81">
        <f>VLOOKUP(B8,All_Ingredients!$A$1:$F$151,6,FALSE())</f>
        <v>1</v>
      </c>
      <c r="J8" s="119">
        <f>VLOOKUP(B8,All_Ingredients!$A$1:$J$151,10,FALSE())</f>
        <v>40</v>
      </c>
      <c r="K8" s="122">
        <f t="shared" si="8"/>
        <v>0.82719385964912284</v>
      </c>
      <c r="L8" s="122">
        <f t="shared" si="9"/>
        <v>33.087754385964914</v>
      </c>
      <c r="M8" s="131"/>
      <c r="N8" s="131"/>
      <c r="AI8" s="1" t="s">
        <v>158</v>
      </c>
      <c r="AJ8" s="124" t="s">
        <v>168</v>
      </c>
      <c r="AK8" s="124" t="s">
        <v>14</v>
      </c>
      <c r="AL8" s="125">
        <v>500</v>
      </c>
      <c r="AM8" s="116">
        <f t="shared" si="4"/>
        <v>7.2598813559322037</v>
      </c>
      <c r="AN8" s="127">
        <v>1</v>
      </c>
      <c r="AO8" s="119">
        <f t="shared" si="5"/>
        <v>3629.9406779661017</v>
      </c>
      <c r="AP8" s="207">
        <f t="shared" si="6"/>
        <v>3629.9406779661017</v>
      </c>
      <c r="AQ8" s="1172">
        <f>VLOOKUP(AJ8,Marination_Ordering!$A:$J,6,FALSE)</f>
        <v>1</v>
      </c>
      <c r="AR8" s="1172">
        <f>VLOOKUP(AJ8,Marination_Ordering!$A:$J,10,FALSE)</f>
        <v>6.6959999999999997</v>
      </c>
      <c r="AS8" s="175">
        <f t="shared" si="10"/>
        <v>3629.9406779661017</v>
      </c>
      <c r="AT8" s="1172">
        <f t="shared" si="11"/>
        <v>24.306082779661018</v>
      </c>
    </row>
    <row r="9" spans="1:46" ht="14.25" customHeight="1" x14ac:dyDescent="0.3">
      <c r="A9" s="270" t="s">
        <v>97</v>
      </c>
      <c r="B9" s="114" t="s">
        <v>119</v>
      </c>
      <c r="C9" s="124" t="s">
        <v>14</v>
      </c>
      <c r="D9" s="125">
        <v>5</v>
      </c>
      <c r="E9" s="116">
        <f t="shared" si="7"/>
        <v>33.087754385964914</v>
      </c>
      <c r="F9" s="127">
        <v>0.75</v>
      </c>
      <c r="G9" s="119">
        <f t="shared" si="0"/>
        <v>165.43877192982455</v>
      </c>
      <c r="H9" s="120">
        <f t="shared" si="1"/>
        <v>124.07907894736842</v>
      </c>
      <c r="I9" s="81">
        <f>VLOOKUP(B9,All_Ingredients!$A$1:$F$151,6,FALSE())</f>
        <v>1</v>
      </c>
      <c r="J9" s="119">
        <f>VLOOKUP(B9,All_Ingredients!$A$1:$J$151,10,FALSE())</f>
        <v>14.5</v>
      </c>
      <c r="K9" s="122">
        <f t="shared" si="8"/>
        <v>0.12407907894736842</v>
      </c>
      <c r="L9" s="122">
        <f t="shared" si="9"/>
        <v>1.799146644736842</v>
      </c>
      <c r="M9" s="131"/>
      <c r="N9" s="131"/>
      <c r="AI9" s="1" t="s">
        <v>97</v>
      </c>
      <c r="AJ9" s="124" t="s">
        <v>117</v>
      </c>
      <c r="AK9" s="124" t="s">
        <v>14</v>
      </c>
      <c r="AL9" s="125">
        <v>5</v>
      </c>
      <c r="AM9" s="116">
        <f t="shared" si="4"/>
        <v>7.2598813559322037</v>
      </c>
      <c r="AN9" s="127">
        <v>1</v>
      </c>
      <c r="AO9" s="119">
        <f t="shared" si="5"/>
        <v>36.29940677966102</v>
      </c>
      <c r="AP9" s="207">
        <f t="shared" si="6"/>
        <v>36.29940677966102</v>
      </c>
      <c r="AQ9" s="1172">
        <f>VLOOKUP(AJ9,Marination_Ordering!$A:$J,6,FALSE)</f>
        <v>1</v>
      </c>
      <c r="AR9" s="1172">
        <f>VLOOKUP(AJ9,Marination_Ordering!$A:$J,10,FALSE)</f>
        <v>20</v>
      </c>
      <c r="AS9" s="175">
        <f t="shared" ref="AS9:AS19" si="12">AP9/AQ9</f>
        <v>36.29940677966102</v>
      </c>
      <c r="AT9" s="1172">
        <f t="shared" ref="AT9:AT19" si="13">AR9*(AS9/1000)</f>
        <v>0.72598813559322051</v>
      </c>
    </row>
    <row r="10" spans="1:46" ht="14.25" customHeight="1" x14ac:dyDescent="0.3">
      <c r="A10" s="270" t="s">
        <v>57</v>
      </c>
      <c r="B10" s="114" t="s">
        <v>56</v>
      </c>
      <c r="C10" s="124" t="s">
        <v>14</v>
      </c>
      <c r="D10" s="125">
        <v>5</v>
      </c>
      <c r="E10" s="116">
        <f t="shared" si="7"/>
        <v>33.087754385964914</v>
      </c>
      <c r="F10" s="127">
        <v>1</v>
      </c>
      <c r="G10" s="119">
        <f t="shared" si="0"/>
        <v>165.43877192982455</v>
      </c>
      <c r="H10" s="120">
        <f t="shared" si="1"/>
        <v>165.43877192982455</v>
      </c>
      <c r="I10" s="81">
        <f>VLOOKUP(B10,All_Ingredients!$A$1:$F$151,6,FALSE())</f>
        <v>0.87</v>
      </c>
      <c r="J10" s="119">
        <f>VLOOKUP(B10,All_Ingredients!$A$1:$J$151,10,FALSE())</f>
        <v>7</v>
      </c>
      <c r="K10" s="122">
        <f t="shared" si="8"/>
        <v>0.19015950796531558</v>
      </c>
      <c r="L10" s="122">
        <f t="shared" si="9"/>
        <v>1.3311165557572091</v>
      </c>
      <c r="M10" s="131"/>
      <c r="N10" s="131"/>
      <c r="AI10" s="1" t="s">
        <v>97</v>
      </c>
      <c r="AJ10" s="124" t="s">
        <v>122</v>
      </c>
      <c r="AK10" s="124" t="s">
        <v>14</v>
      </c>
      <c r="AL10" s="125">
        <v>15</v>
      </c>
      <c r="AM10" s="116">
        <f t="shared" si="4"/>
        <v>7.2598813559322037</v>
      </c>
      <c r="AN10" s="127">
        <v>1</v>
      </c>
      <c r="AO10" s="119">
        <f t="shared" si="5"/>
        <v>108.89822033898305</v>
      </c>
      <c r="AP10" s="207">
        <f t="shared" si="6"/>
        <v>108.89822033898305</v>
      </c>
      <c r="AQ10" s="1172">
        <f>VLOOKUP(AJ10,Marination_Ordering!$A:$J,6,FALSE)</f>
        <v>1</v>
      </c>
      <c r="AR10" s="1172">
        <f>VLOOKUP(AJ10,Marination_Ordering!$A:$J,10,FALSE)</f>
        <v>15</v>
      </c>
      <c r="AS10" s="175">
        <f t="shared" si="12"/>
        <v>108.89822033898305</v>
      </c>
      <c r="AT10" s="1172">
        <f t="shared" si="13"/>
        <v>1.6334733050847459</v>
      </c>
    </row>
    <row r="11" spans="1:46" ht="14.25" customHeight="1" x14ac:dyDescent="0.3">
      <c r="A11" s="270" t="s">
        <v>13</v>
      </c>
      <c r="B11" s="114" t="s">
        <v>792</v>
      </c>
      <c r="C11" s="124" t="s">
        <v>14</v>
      </c>
      <c r="D11" s="125">
        <v>20</v>
      </c>
      <c r="E11" s="116">
        <f t="shared" si="7"/>
        <v>33.087754385964914</v>
      </c>
      <c r="F11" s="127">
        <v>1</v>
      </c>
      <c r="G11" s="119">
        <f t="shared" si="0"/>
        <v>661.75508771929822</v>
      </c>
      <c r="H11" s="120">
        <f t="shared" si="1"/>
        <v>661.75508771929822</v>
      </c>
      <c r="I11" s="81">
        <f>VLOOKUP(B11,All_Ingredients!$A$1:$F$151,6,FALSE())</f>
        <v>1</v>
      </c>
      <c r="J11" s="119">
        <f>VLOOKUP(B11,All_Ingredients!$A$1:$J$151,10,FALSE())</f>
        <v>10.5</v>
      </c>
      <c r="K11" s="122">
        <f t="shared" si="8"/>
        <v>0.66175508771929825</v>
      </c>
      <c r="L11" s="122">
        <f t="shared" si="9"/>
        <v>6.9484284210526317</v>
      </c>
      <c r="M11" s="131"/>
      <c r="N11" s="131"/>
      <c r="AI11" s="1" t="s">
        <v>97</v>
      </c>
      <c r="AJ11" s="124" t="s">
        <v>789</v>
      </c>
      <c r="AK11" s="124" t="s">
        <v>14</v>
      </c>
      <c r="AL11" s="125">
        <v>5</v>
      </c>
      <c r="AM11" s="116">
        <f t="shared" si="4"/>
        <v>7.2598813559322037</v>
      </c>
      <c r="AN11" s="127">
        <v>1</v>
      </c>
      <c r="AO11" s="119">
        <f t="shared" si="5"/>
        <v>36.29940677966102</v>
      </c>
      <c r="AP11" s="207">
        <f t="shared" si="6"/>
        <v>36.29940677966102</v>
      </c>
      <c r="AQ11" s="1172">
        <f>VLOOKUP(AJ11,Marination_Ordering!$A:$J,6,FALSE)</f>
        <v>1</v>
      </c>
      <c r="AR11" s="1172">
        <f>VLOOKUP(AJ11,Marination_Ordering!$A:$J,10,FALSE)</f>
        <v>52</v>
      </c>
      <c r="AS11" s="175">
        <f t="shared" si="12"/>
        <v>36.29940677966102</v>
      </c>
      <c r="AT11" s="1172">
        <f t="shared" si="13"/>
        <v>1.8875691525423732</v>
      </c>
    </row>
    <row r="12" spans="1:46" ht="14.25" customHeight="1" x14ac:dyDescent="0.3">
      <c r="A12" s="270" t="s">
        <v>63</v>
      </c>
      <c r="B12" s="114" t="s">
        <v>62</v>
      </c>
      <c r="C12" s="124" t="s">
        <v>14</v>
      </c>
      <c r="D12" s="125">
        <v>10</v>
      </c>
      <c r="E12" s="116">
        <f t="shared" si="7"/>
        <v>33.087754385964914</v>
      </c>
      <c r="F12" s="127">
        <v>1</v>
      </c>
      <c r="G12" s="119">
        <f t="shared" si="0"/>
        <v>330.87754385964911</v>
      </c>
      <c r="H12" s="120">
        <f t="shared" si="1"/>
        <v>330.87754385964911</v>
      </c>
      <c r="I12" s="81">
        <f>VLOOKUP(B12,All_Ingredients!$A$1:$F$151,6,FALSE())</f>
        <v>0.94</v>
      </c>
      <c r="J12" s="119">
        <f>VLOOKUP(B12,All_Ingredients!$A$1:$J$151,10,FALSE())</f>
        <v>3.6363636363636367</v>
      </c>
      <c r="K12" s="122">
        <f t="shared" si="8"/>
        <v>0.35199738708473316</v>
      </c>
      <c r="L12" s="122">
        <f t="shared" si="9"/>
        <v>1.2799904984899388</v>
      </c>
      <c r="M12" s="131"/>
      <c r="N12" s="131"/>
      <c r="AI12" s="1" t="s">
        <v>97</v>
      </c>
      <c r="AJ12" s="124" t="s">
        <v>96</v>
      </c>
      <c r="AK12" s="124" t="s">
        <v>14</v>
      </c>
      <c r="AL12" s="125">
        <v>5</v>
      </c>
      <c r="AM12" s="116">
        <f t="shared" si="4"/>
        <v>7.2598813559322037</v>
      </c>
      <c r="AN12" s="127">
        <v>1</v>
      </c>
      <c r="AO12" s="119">
        <f t="shared" si="5"/>
        <v>36.29940677966102</v>
      </c>
      <c r="AP12" s="207">
        <f t="shared" si="6"/>
        <v>36.29940677966102</v>
      </c>
      <c r="AQ12" s="1172">
        <f>VLOOKUP(AJ12,Marination_Ordering!$A:$J,6,FALSE)</f>
        <v>1</v>
      </c>
      <c r="AR12" s="1172">
        <f>VLOOKUP(AJ12,Marination_Ordering!$A:$J,10,FALSE)</f>
        <v>0.74</v>
      </c>
      <c r="AS12" s="175">
        <f t="shared" si="12"/>
        <v>36.29940677966102</v>
      </c>
      <c r="AT12" s="1172">
        <f t="shared" si="13"/>
        <v>2.6861561016949156E-2</v>
      </c>
    </row>
    <row r="13" spans="1:46" ht="14.25" customHeight="1" x14ac:dyDescent="0.3">
      <c r="A13" s="270" t="s">
        <v>186</v>
      </c>
      <c r="B13" s="114" t="s">
        <v>189</v>
      </c>
      <c r="C13" s="124" t="s">
        <v>14</v>
      </c>
      <c r="D13" s="125">
        <v>30</v>
      </c>
      <c r="E13" s="116">
        <f t="shared" si="7"/>
        <v>33.087754385964914</v>
      </c>
      <c r="F13" s="127">
        <v>1</v>
      </c>
      <c r="G13" s="119">
        <f t="shared" si="0"/>
        <v>992.63263157894744</v>
      </c>
      <c r="H13" s="120">
        <f t="shared" si="1"/>
        <v>992.63263157894744</v>
      </c>
      <c r="I13" s="81">
        <f>VLOOKUP(B13,All_Ingredients!$A$1:$F$151,6,FALSE())</f>
        <v>1</v>
      </c>
      <c r="J13" s="119">
        <f>VLOOKUP(B13,All_Ingredients!$A$1:$J$151,10,FALSE())</f>
        <v>17</v>
      </c>
      <c r="K13" s="122">
        <f t="shared" si="8"/>
        <v>0.99263263157894743</v>
      </c>
      <c r="L13" s="122">
        <f t="shared" si="9"/>
        <v>16.874754736842107</v>
      </c>
      <c r="M13" s="131"/>
      <c r="N13" s="131"/>
      <c r="AI13" s="1" t="s">
        <v>220</v>
      </c>
      <c r="AJ13" s="124" t="s">
        <v>221</v>
      </c>
      <c r="AK13" s="124" t="s">
        <v>14</v>
      </c>
      <c r="AL13" s="125">
        <v>3</v>
      </c>
      <c r="AM13" s="116">
        <f t="shared" si="4"/>
        <v>7.2598813559322037</v>
      </c>
      <c r="AN13" s="127">
        <v>1</v>
      </c>
      <c r="AO13" s="119">
        <f t="shared" si="5"/>
        <v>21.77964406779661</v>
      </c>
      <c r="AP13" s="207">
        <f t="shared" si="6"/>
        <v>21.77964406779661</v>
      </c>
      <c r="AQ13" s="1172">
        <f>VLOOKUP(AJ13,Marination_Ordering!$A:$J,6,FALSE)</f>
        <v>1</v>
      </c>
      <c r="AR13" s="1172">
        <f>VLOOKUP(AJ13,Marination_Ordering!$A:$J,10,FALSE)</f>
        <v>35</v>
      </c>
      <c r="AS13" s="175">
        <f t="shared" si="12"/>
        <v>21.77964406779661</v>
      </c>
      <c r="AT13" s="1172">
        <f t="shared" si="13"/>
        <v>0.76228754237288132</v>
      </c>
    </row>
    <row r="14" spans="1:46" ht="14.25" customHeight="1" x14ac:dyDescent="0.3">
      <c r="A14" s="270" t="s">
        <v>97</v>
      </c>
      <c r="B14" s="114" t="s">
        <v>96</v>
      </c>
      <c r="C14" s="124" t="s">
        <v>14</v>
      </c>
      <c r="D14" s="125">
        <v>13</v>
      </c>
      <c r="E14" s="116">
        <f t="shared" si="7"/>
        <v>33.087754385964914</v>
      </c>
      <c r="F14" s="127">
        <v>0.75</v>
      </c>
      <c r="G14" s="119">
        <f t="shared" si="0"/>
        <v>430.14080701754386</v>
      </c>
      <c r="H14" s="120">
        <f t="shared" si="1"/>
        <v>322.60560526315788</v>
      </c>
      <c r="I14" s="81">
        <f>VLOOKUP(B14,All_Ingredients!$A$1:$F$151,6,FALSE())</f>
        <v>1</v>
      </c>
      <c r="J14" s="119">
        <f>VLOOKUP(B14,All_Ingredients!$A$1:$J$151,10,FALSE())</f>
        <v>0.74</v>
      </c>
      <c r="K14" s="122">
        <f t="shared" si="8"/>
        <v>0.3226056052631579</v>
      </c>
      <c r="L14" s="122">
        <f t="shared" si="9"/>
        <v>0.23872814789473684</v>
      </c>
      <c r="M14" s="131"/>
      <c r="N14" s="131"/>
      <c r="AI14" s="1" t="s">
        <v>97</v>
      </c>
      <c r="AJ14" s="124" t="s">
        <v>130</v>
      </c>
      <c r="AK14" s="124" t="s">
        <v>14</v>
      </c>
      <c r="AL14" s="125">
        <v>10</v>
      </c>
      <c r="AM14" s="116">
        <f t="shared" si="4"/>
        <v>7.2598813559322037</v>
      </c>
      <c r="AN14" s="127">
        <v>1</v>
      </c>
      <c r="AO14" s="119">
        <f t="shared" si="5"/>
        <v>72.598813559322039</v>
      </c>
      <c r="AP14" s="207">
        <f t="shared" si="6"/>
        <v>72.598813559322039</v>
      </c>
      <c r="AQ14" s="1172">
        <f>VLOOKUP(AJ14,Marination_Ordering!$A:$J,6,FALSE)</f>
        <v>1</v>
      </c>
      <c r="AR14" s="1172">
        <f>VLOOKUP(AJ14,Marination_Ordering!$A:$J,10,FALSE)</f>
        <v>125</v>
      </c>
      <c r="AS14" s="175">
        <f t="shared" si="12"/>
        <v>72.598813559322039</v>
      </c>
      <c r="AT14" s="1172">
        <f t="shared" si="13"/>
        <v>9.0748516949152549</v>
      </c>
    </row>
    <row r="15" spans="1:46" ht="14.25" customHeight="1" x14ac:dyDescent="0.3">
      <c r="A15" s="270" t="s">
        <v>158</v>
      </c>
      <c r="B15" s="114" t="s">
        <v>171</v>
      </c>
      <c r="C15" s="124" t="s">
        <v>165</v>
      </c>
      <c r="D15" s="125">
        <v>350</v>
      </c>
      <c r="E15" s="116">
        <f t="shared" si="7"/>
        <v>33.087754385964914</v>
      </c>
      <c r="F15" s="127">
        <v>1</v>
      </c>
      <c r="G15" s="119">
        <f t="shared" si="0"/>
        <v>11580.71403508772</v>
      </c>
      <c r="H15" s="120">
        <f t="shared" si="1"/>
        <v>11580.71403508772</v>
      </c>
      <c r="I15" s="81">
        <f>VLOOKUP(B15,All_Ingredients!$A$1:$F$151,6,FALSE())</f>
        <v>1</v>
      </c>
      <c r="J15" s="119">
        <f>VLOOKUP(B15,All_Ingredients!$A$1:$J$151,10,FALSE())</f>
        <v>12.666666666666666</v>
      </c>
      <c r="K15" s="122">
        <f t="shared" si="8"/>
        <v>11.58071403508772</v>
      </c>
      <c r="L15" s="122">
        <f t="shared" si="9"/>
        <v>146.68904444444445</v>
      </c>
      <c r="M15" s="131"/>
      <c r="N15" s="131"/>
      <c r="AI15" s="1" t="s">
        <v>97</v>
      </c>
      <c r="AJ15" s="124" t="s">
        <v>126</v>
      </c>
      <c r="AK15" s="124" t="s">
        <v>14</v>
      </c>
      <c r="AL15" s="125">
        <v>5</v>
      </c>
      <c r="AM15" s="116">
        <f t="shared" si="4"/>
        <v>7.2598813559322037</v>
      </c>
      <c r="AN15" s="127">
        <v>1</v>
      </c>
      <c r="AO15" s="119">
        <f t="shared" si="5"/>
        <v>36.29940677966102</v>
      </c>
      <c r="AP15" s="207">
        <f t="shared" si="6"/>
        <v>36.29940677966102</v>
      </c>
      <c r="AQ15" s="1172">
        <f>VLOOKUP(AJ15,Marination_Ordering!$A:$J,6,FALSE)</f>
        <v>1</v>
      </c>
      <c r="AR15" s="1172">
        <f>VLOOKUP(AJ15,Marination_Ordering!$A:$J,10,FALSE)</f>
        <v>14</v>
      </c>
      <c r="AS15" s="175">
        <f t="shared" si="12"/>
        <v>36.29940677966102</v>
      </c>
      <c r="AT15" s="1172">
        <f t="shared" si="13"/>
        <v>0.50819169491525429</v>
      </c>
    </row>
    <row r="16" spans="1:46" ht="14.25" customHeight="1" x14ac:dyDescent="0.3">
      <c r="A16" s="270" t="s">
        <v>210</v>
      </c>
      <c r="B16" s="114" t="s">
        <v>209</v>
      </c>
      <c r="C16" s="124" t="s">
        <v>165</v>
      </c>
      <c r="D16" s="125">
        <v>250</v>
      </c>
      <c r="E16" s="116">
        <f t="shared" si="7"/>
        <v>33.087754385964914</v>
      </c>
      <c r="F16" s="127">
        <v>1</v>
      </c>
      <c r="G16" s="119">
        <f t="shared" si="0"/>
        <v>8271.938596491229</v>
      </c>
      <c r="H16" s="120">
        <f t="shared" si="1"/>
        <v>8271.938596491229</v>
      </c>
      <c r="I16" s="81">
        <f>VLOOKUP(B16,All_Ingredients!$A$1:$F$151,6,FALSE())</f>
        <v>1</v>
      </c>
      <c r="J16" s="119">
        <f>VLOOKUP(B16,All_Ingredients!$A$1:$J$151,10,FALSE())</f>
        <v>0</v>
      </c>
      <c r="K16" s="122">
        <f t="shared" si="8"/>
        <v>8.2719385964912284</v>
      </c>
      <c r="L16" s="122">
        <f t="shared" si="9"/>
        <v>0</v>
      </c>
      <c r="M16" s="131"/>
      <c r="N16" s="131"/>
      <c r="AI16" s="1" t="s">
        <v>57</v>
      </c>
      <c r="AJ16" s="124" t="s">
        <v>56</v>
      </c>
      <c r="AK16" s="124" t="s">
        <v>14</v>
      </c>
      <c r="AL16" s="125">
        <v>100</v>
      </c>
      <c r="AM16" s="116">
        <f t="shared" si="4"/>
        <v>7.2598813559322037</v>
      </c>
      <c r="AN16" s="127">
        <v>1</v>
      </c>
      <c r="AO16" s="119">
        <f t="shared" si="5"/>
        <v>725.98813559322036</v>
      </c>
      <c r="AP16" s="207">
        <f t="shared" si="6"/>
        <v>725.98813559322036</v>
      </c>
      <c r="AQ16" s="1172">
        <f>VLOOKUP(AJ16,Marination_Ordering!$A:$J,6,FALSE)</f>
        <v>0.87</v>
      </c>
      <c r="AR16" s="1172">
        <f>VLOOKUP(AJ16,Marination_Ordering!$A:$J,10,FALSE)</f>
        <v>3.2</v>
      </c>
      <c r="AS16" s="175">
        <f t="shared" si="12"/>
        <v>834.46912137151764</v>
      </c>
      <c r="AT16" s="1172">
        <f t="shared" si="13"/>
        <v>2.6703011883888568</v>
      </c>
    </row>
    <row r="17" spans="1:46" ht="14.25" customHeight="1" x14ac:dyDescent="0.3">
      <c r="A17" s="270" t="s">
        <v>158</v>
      </c>
      <c r="B17" s="114" t="s">
        <v>157</v>
      </c>
      <c r="C17" s="124" t="s">
        <v>14</v>
      </c>
      <c r="D17" s="125">
        <v>50</v>
      </c>
      <c r="E17" s="116">
        <f t="shared" si="7"/>
        <v>33.087754385964914</v>
      </c>
      <c r="F17" s="127">
        <v>1</v>
      </c>
      <c r="G17" s="119">
        <f t="shared" si="0"/>
        <v>1654.3877192982457</v>
      </c>
      <c r="H17" s="120">
        <f t="shared" si="1"/>
        <v>1654.3877192982457</v>
      </c>
      <c r="I17" s="81">
        <f>VLOOKUP(B17,All_Ingredients!$A$1:$F$151,6,FALSE())</f>
        <v>1</v>
      </c>
      <c r="J17" s="119">
        <f>VLOOKUP(B17,All_Ingredients!$A$1:$J$151,10,FALSE())</f>
        <v>30</v>
      </c>
      <c r="K17" s="122">
        <f t="shared" si="8"/>
        <v>1.6543877192982457</v>
      </c>
      <c r="L17" s="122">
        <f t="shared" si="9"/>
        <v>49.631631578947371</v>
      </c>
      <c r="M17" s="131"/>
      <c r="N17" s="131"/>
      <c r="AI17" s="1" t="s">
        <v>13</v>
      </c>
      <c r="AJ17" s="124" t="s">
        <v>792</v>
      </c>
      <c r="AK17" s="124" t="s">
        <v>14</v>
      </c>
      <c r="AL17" s="125">
        <v>150</v>
      </c>
      <c r="AM17" s="116">
        <f t="shared" si="4"/>
        <v>7.2598813559322037</v>
      </c>
      <c r="AN17" s="127">
        <v>1</v>
      </c>
      <c r="AO17" s="119">
        <f t="shared" si="5"/>
        <v>1088.9822033898306</v>
      </c>
      <c r="AP17" s="207">
        <f t="shared" si="6"/>
        <v>1088.9822033898306</v>
      </c>
      <c r="AQ17" s="1172">
        <f>VLOOKUP(AJ17,Marination_Ordering!$A:$J,6,FALSE)</f>
        <v>1</v>
      </c>
      <c r="AR17" s="1172">
        <f>VLOOKUP(AJ17,Marination_Ordering!$A:$J,10,FALSE)</f>
        <v>10.5</v>
      </c>
      <c r="AS17" s="175">
        <f t="shared" si="12"/>
        <v>1088.9822033898306</v>
      </c>
      <c r="AT17" s="1172">
        <f t="shared" si="13"/>
        <v>11.434313135593221</v>
      </c>
    </row>
    <row r="18" spans="1:46" ht="14.25" customHeight="1" x14ac:dyDescent="0.3">
      <c r="A18" s="270" t="s">
        <v>220</v>
      </c>
      <c r="B18" s="114" t="s">
        <v>221</v>
      </c>
      <c r="C18" s="124" t="s">
        <v>14</v>
      </c>
      <c r="D18" s="125">
        <v>2</v>
      </c>
      <c r="E18" s="116">
        <f t="shared" si="7"/>
        <v>33.087754385964914</v>
      </c>
      <c r="F18" s="127">
        <v>0.75</v>
      </c>
      <c r="G18" s="119">
        <f t="shared" si="0"/>
        <v>66.175508771929827</v>
      </c>
      <c r="H18" s="120">
        <f t="shared" si="1"/>
        <v>49.631631578947371</v>
      </c>
      <c r="I18" s="81">
        <f>VLOOKUP(B18,All_Ingredients!$A$1:$F$151,6,FALSE())</f>
        <v>1</v>
      </c>
      <c r="J18" s="119">
        <f>VLOOKUP(B18,All_Ingredients!$A$1:$J$151,10,FALSE())</f>
        <v>35</v>
      </c>
      <c r="K18" s="122">
        <f t="shared" si="8"/>
        <v>4.9631631578947372E-2</v>
      </c>
      <c r="L18" s="122">
        <f t="shared" si="9"/>
        <v>1.7371071052631579</v>
      </c>
      <c r="M18" s="131"/>
      <c r="N18" s="131"/>
      <c r="AI18" s="1" t="s">
        <v>210</v>
      </c>
      <c r="AJ18" s="124" t="s">
        <v>219</v>
      </c>
      <c r="AK18" s="124" t="s">
        <v>165</v>
      </c>
      <c r="AL18" s="125">
        <v>300</v>
      </c>
      <c r="AM18" s="116">
        <f t="shared" si="4"/>
        <v>7.2598813559322037</v>
      </c>
      <c r="AN18" s="127">
        <v>1</v>
      </c>
      <c r="AO18" s="119">
        <f t="shared" si="5"/>
        <v>2177.9644067796612</v>
      </c>
      <c r="AP18" s="207">
        <f t="shared" si="6"/>
        <v>2177.9644067796612</v>
      </c>
      <c r="AQ18" s="1172">
        <f>VLOOKUP(AJ18,Marination_Ordering!$A:$J,6,FALSE)</f>
        <v>1</v>
      </c>
      <c r="AR18" s="1172">
        <f>VLOOKUP(AJ18,Marination_Ordering!$A:$J,10,FALSE)</f>
        <v>5</v>
      </c>
      <c r="AS18" s="175">
        <f t="shared" si="12"/>
        <v>2177.9644067796612</v>
      </c>
      <c r="AT18" s="1172">
        <f t="shared" si="13"/>
        <v>10.889822033898307</v>
      </c>
    </row>
    <row r="19" spans="1:46" ht="14.25" customHeight="1" x14ac:dyDescent="0.3">
      <c r="A19" s="270" t="s">
        <v>97</v>
      </c>
      <c r="B19" s="286" t="s">
        <v>789</v>
      </c>
      <c r="C19" s="124" t="s">
        <v>14</v>
      </c>
      <c r="D19" s="125">
        <v>1</v>
      </c>
      <c r="E19" s="116">
        <f t="shared" si="7"/>
        <v>33.087754385964914</v>
      </c>
      <c r="F19" s="127">
        <v>1</v>
      </c>
      <c r="G19" s="119">
        <f t="shared" si="0"/>
        <v>33.087754385964914</v>
      </c>
      <c r="H19" s="120">
        <f t="shared" si="1"/>
        <v>33.087754385964914</v>
      </c>
      <c r="I19" s="81">
        <f>VLOOKUP(B19,All_Ingredients!$A$1:$F$151,6,FALSE())</f>
        <v>1</v>
      </c>
      <c r="J19" s="119">
        <f>VLOOKUP(B19,All_Ingredients!$A$1:$J$151,10,FALSE())</f>
        <v>52</v>
      </c>
      <c r="K19" s="122">
        <f t="shared" si="8"/>
        <v>3.3087754385964917E-2</v>
      </c>
      <c r="L19" s="122">
        <f t="shared" si="9"/>
        <v>1.7205632280701757</v>
      </c>
      <c r="M19" s="131"/>
      <c r="N19" s="131"/>
      <c r="AI19" s="1" t="s">
        <v>210</v>
      </c>
      <c r="AJ19" s="124" t="s">
        <v>215</v>
      </c>
      <c r="AK19" s="124" t="s">
        <v>165</v>
      </c>
      <c r="AL19" s="125">
        <v>50</v>
      </c>
      <c r="AM19" s="116">
        <f t="shared" si="4"/>
        <v>7.2598813559322037</v>
      </c>
      <c r="AN19" s="127">
        <v>1</v>
      </c>
      <c r="AO19" s="119">
        <f t="shared" si="5"/>
        <v>362.99406779661018</v>
      </c>
      <c r="AP19" s="207">
        <f t="shared" si="6"/>
        <v>362.99406779661018</v>
      </c>
      <c r="AQ19" s="1172">
        <f>VLOOKUP(AJ19,Marination_Ordering!$A:$J,6,FALSE)</f>
        <v>1</v>
      </c>
      <c r="AR19" s="1172">
        <f>VLOOKUP(AJ19,Marination_Ordering!$A:$J,10,FALSE)</f>
        <v>2.1621621621621623</v>
      </c>
      <c r="AS19" s="175">
        <f t="shared" si="12"/>
        <v>362.99406779661018</v>
      </c>
      <c r="AT19" s="1172">
        <f t="shared" si="13"/>
        <v>0.78485203847915719</v>
      </c>
    </row>
    <row r="20" spans="1:46" ht="14.25" customHeight="1" x14ac:dyDescent="0.3">
      <c r="A20" s="270" t="s">
        <v>97</v>
      </c>
      <c r="B20" s="286" t="s">
        <v>100</v>
      </c>
      <c r="C20" s="124" t="s">
        <v>14</v>
      </c>
      <c r="D20" s="125">
        <v>1</v>
      </c>
      <c r="E20" s="116">
        <f t="shared" si="7"/>
        <v>33.087754385964914</v>
      </c>
      <c r="F20" s="127">
        <v>1</v>
      </c>
      <c r="G20" s="119">
        <f t="shared" si="0"/>
        <v>33.087754385964914</v>
      </c>
      <c r="H20" s="120">
        <f t="shared" si="1"/>
        <v>33.087754385964914</v>
      </c>
      <c r="I20" s="81">
        <f>VLOOKUP(B20,All_Ingredients!$A$1:$F$151,6,FALSE())</f>
        <v>1</v>
      </c>
      <c r="J20" s="119">
        <f>VLOOKUP(B20,All_Ingredients!$A$1:$J$151,10,FALSE())</f>
        <v>38</v>
      </c>
      <c r="K20" s="122">
        <f t="shared" si="8"/>
        <v>3.3087754385964917E-2</v>
      </c>
      <c r="L20" s="122">
        <f t="shared" si="9"/>
        <v>1.2573346666666669</v>
      </c>
      <c r="M20" s="131"/>
      <c r="N20" s="131"/>
    </row>
    <row r="21" spans="1:46" ht="14.25" customHeight="1" x14ac:dyDescent="0.3">
      <c r="A21" s="270" t="s">
        <v>97</v>
      </c>
      <c r="B21" s="286" t="s">
        <v>106</v>
      </c>
      <c r="C21" s="124" t="s">
        <v>14</v>
      </c>
      <c r="D21" s="125">
        <v>1</v>
      </c>
      <c r="E21" s="116">
        <f t="shared" si="7"/>
        <v>33.087754385964914</v>
      </c>
      <c r="F21" s="127">
        <v>1</v>
      </c>
      <c r="G21" s="119">
        <f t="shared" si="0"/>
        <v>33.087754385964914</v>
      </c>
      <c r="H21" s="120">
        <f t="shared" si="1"/>
        <v>33.087754385964914</v>
      </c>
      <c r="I21" s="81">
        <f>VLOOKUP(B21,All_Ingredients!$A$1:$F$151,6,FALSE())</f>
        <v>1</v>
      </c>
      <c r="J21" s="119">
        <f>VLOOKUP(B21,All_Ingredients!$A$1:$J$151,10,FALSE())</f>
        <v>19</v>
      </c>
      <c r="K21" s="122">
        <f t="shared" si="8"/>
        <v>3.3087754385964917E-2</v>
      </c>
      <c r="L21" s="122">
        <f t="shared" si="9"/>
        <v>0.62866733333333347</v>
      </c>
      <c r="M21" s="131"/>
      <c r="N21" s="131"/>
    </row>
    <row r="22" spans="1:46" ht="14.25" customHeight="1" x14ac:dyDescent="0.3">
      <c r="A22" s="270" t="s">
        <v>97</v>
      </c>
      <c r="B22" s="286" t="s">
        <v>128</v>
      </c>
      <c r="C22" s="124" t="s">
        <v>14</v>
      </c>
      <c r="D22" s="125">
        <v>1</v>
      </c>
      <c r="E22" s="116">
        <f t="shared" si="7"/>
        <v>33.087754385964914</v>
      </c>
      <c r="F22" s="127">
        <v>1</v>
      </c>
      <c r="G22" s="119">
        <f t="shared" si="0"/>
        <v>33.087754385964914</v>
      </c>
      <c r="H22" s="120">
        <f t="shared" si="1"/>
        <v>33.087754385964914</v>
      </c>
      <c r="I22" s="81">
        <f>VLOOKUP(B22,All_Ingredients!$A$1:$F$151,6,FALSE())</f>
        <v>1</v>
      </c>
      <c r="J22" s="119">
        <f>VLOOKUP(B22,All_Ingredients!$A$1:$J$151,10,FALSE())</f>
        <v>37</v>
      </c>
      <c r="K22" s="122">
        <f t="shared" si="8"/>
        <v>3.3087754385964917E-2</v>
      </c>
      <c r="L22" s="122">
        <f t="shared" si="9"/>
        <v>1.2242469122807018</v>
      </c>
      <c r="M22" s="131"/>
      <c r="N22" s="131"/>
    </row>
    <row r="23" spans="1:46" ht="14.25" customHeight="1" x14ac:dyDescent="0.3">
      <c r="A23" s="270" t="s">
        <v>97</v>
      </c>
      <c r="B23" s="286" t="s">
        <v>124</v>
      </c>
      <c r="C23" s="124" t="s">
        <v>14</v>
      </c>
      <c r="D23" s="125">
        <v>0.5</v>
      </c>
      <c r="E23" s="116">
        <f t="shared" si="7"/>
        <v>33.087754385964914</v>
      </c>
      <c r="F23" s="127">
        <v>1</v>
      </c>
      <c r="G23" s="119">
        <f t="shared" si="0"/>
        <v>16.543877192982457</v>
      </c>
      <c r="H23" s="120">
        <f t="shared" si="1"/>
        <v>16.543877192982457</v>
      </c>
      <c r="I23" s="81">
        <f>VLOOKUP(B23,All_Ingredients!$A$1:$F$151,6,FALSE())</f>
        <v>1</v>
      </c>
      <c r="J23" s="119">
        <f>VLOOKUP(B23,All_Ingredients!$A$1:$J$151,10,FALSE())</f>
        <v>15</v>
      </c>
      <c r="K23" s="122">
        <f t="shared" si="8"/>
        <v>1.6543877192982458E-2</v>
      </c>
      <c r="L23" s="122">
        <f t="shared" si="9"/>
        <v>0.24815815789473689</v>
      </c>
      <c r="M23" s="131"/>
      <c r="N23" s="131"/>
    </row>
    <row r="24" spans="1:46" ht="14.25" customHeight="1" x14ac:dyDescent="0.3">
      <c r="A24" s="270" t="s">
        <v>97</v>
      </c>
      <c r="B24" s="123" t="s">
        <v>130</v>
      </c>
      <c r="C24" s="124" t="s">
        <v>14</v>
      </c>
      <c r="D24" s="125">
        <v>0.5</v>
      </c>
      <c r="E24" s="116">
        <f t="shared" si="7"/>
        <v>33.087754385964914</v>
      </c>
      <c r="F24" s="127">
        <v>1</v>
      </c>
      <c r="G24" s="119">
        <f t="shared" si="0"/>
        <v>16.543877192982457</v>
      </c>
      <c r="H24" s="120">
        <f t="shared" si="1"/>
        <v>16.543877192982457</v>
      </c>
      <c r="I24" s="81">
        <f>VLOOKUP(B24,All_Ingredients!$A$1:$F$151,6,FALSE())</f>
        <v>1</v>
      </c>
      <c r="J24" s="119">
        <f>VLOOKUP(B24,All_Ingredients!$A$1:$J$151,10,FALSE())</f>
        <v>125</v>
      </c>
      <c r="K24" s="122">
        <f t="shared" si="8"/>
        <v>1.6543877192982458E-2</v>
      </c>
      <c r="L24" s="122">
        <f t="shared" si="9"/>
        <v>2.0679846491228071</v>
      </c>
      <c r="M24" s="131"/>
      <c r="N24" s="131"/>
      <c r="Z24" s="1294"/>
    </row>
    <row r="25" spans="1:46" ht="14.25" customHeight="1" x14ac:dyDescent="0.35">
      <c r="A25" s="270" t="s">
        <v>196</v>
      </c>
      <c r="B25" s="419" t="s">
        <v>204</v>
      </c>
      <c r="C25" s="1010" t="s">
        <v>165</v>
      </c>
      <c r="D25" s="125">
        <v>50</v>
      </c>
      <c r="E25" s="116">
        <f t="shared" si="7"/>
        <v>33.087754385964914</v>
      </c>
      <c r="F25" s="127">
        <v>1</v>
      </c>
      <c r="G25" s="119">
        <f t="shared" si="0"/>
        <v>1654.3877192982457</v>
      </c>
      <c r="H25" s="120">
        <f t="shared" si="1"/>
        <v>1654.3877192982457</v>
      </c>
      <c r="I25" s="81">
        <f>VLOOKUP(B25,All_Ingredients!$A$1:$F$151,6,FALSE())</f>
        <v>1</v>
      </c>
      <c r="J25" s="119">
        <f>VLOOKUP(B25,All_Ingredients!$A$1:$J$151,10,FALSE())</f>
        <v>3.25</v>
      </c>
      <c r="K25" s="122">
        <f t="shared" si="8"/>
        <v>1.6543877192982457</v>
      </c>
      <c r="L25" s="122">
        <f t="shared" si="9"/>
        <v>5.3767600877192985</v>
      </c>
      <c r="M25" s="131"/>
      <c r="N25" s="131"/>
      <c r="R25" s="1411" t="s">
        <v>460</v>
      </c>
      <c r="S25" s="1388"/>
      <c r="T25" s="1388"/>
      <c r="U25" s="1388"/>
      <c r="V25" s="1151"/>
      <c r="Z25" s="141" t="s">
        <v>264</v>
      </c>
      <c r="AA25" s="142">
        <v>55700</v>
      </c>
      <c r="AB25" s="141" t="s">
        <v>261</v>
      </c>
      <c r="AC25" s="143">
        <f>(AA25*(4/3))*AF30+(AA30*(AB28/R1))</f>
        <v>1843.0835524263696</v>
      </c>
      <c r="AD25" s="14"/>
    </row>
    <row r="26" spans="1:46" ht="14.25" customHeight="1" x14ac:dyDescent="0.3">
      <c r="B26" s="357"/>
      <c r="C26" s="133"/>
      <c r="D26" s="254"/>
      <c r="E26" s="333"/>
      <c r="F26" s="136"/>
      <c r="G26" s="137"/>
      <c r="H26" s="138"/>
      <c r="I26" s="92"/>
      <c r="J26" s="139"/>
      <c r="K26" s="92"/>
      <c r="L26" s="137"/>
      <c r="M26" s="131"/>
      <c r="N26" s="131"/>
      <c r="R26" s="1423" t="s">
        <v>265</v>
      </c>
      <c r="S26" s="1388"/>
      <c r="T26" s="1388"/>
      <c r="U26" s="1388"/>
      <c r="V26" s="1151"/>
      <c r="Z26" s="14"/>
      <c r="AA26" s="14"/>
      <c r="AB26" s="14"/>
      <c r="AC26" s="14"/>
      <c r="AD26" s="14"/>
    </row>
    <row r="27" spans="1:46" ht="14.25" customHeight="1" thickBot="1" x14ac:dyDescent="0.35">
      <c r="B27" s="133"/>
      <c r="C27" s="133"/>
      <c r="D27" s="254"/>
      <c r="E27" s="333"/>
      <c r="F27" s="136"/>
      <c r="G27" s="137"/>
      <c r="H27" s="138"/>
      <c r="I27" s="92"/>
      <c r="J27" s="139"/>
      <c r="K27" s="92"/>
      <c r="L27" s="137"/>
      <c r="M27" s="131"/>
      <c r="N27" s="131"/>
      <c r="R27" s="145" t="s">
        <v>266</v>
      </c>
      <c r="S27" s="146" t="s">
        <v>267</v>
      </c>
      <c r="T27" s="146" t="s">
        <v>268</v>
      </c>
      <c r="U27" s="146" t="s">
        <v>269</v>
      </c>
      <c r="V27" s="146" t="s">
        <v>839</v>
      </c>
      <c r="W27" s="146" t="s">
        <v>848</v>
      </c>
      <c r="Z27" s="141" t="s">
        <v>270</v>
      </c>
      <c r="AA27" s="147" t="s">
        <v>839</v>
      </c>
      <c r="AB27" s="147" t="s">
        <v>271</v>
      </c>
      <c r="AC27" s="147" t="s">
        <v>272</v>
      </c>
      <c r="AD27" s="147" t="s">
        <v>273</v>
      </c>
      <c r="AE27" s="1186" t="s">
        <v>848</v>
      </c>
      <c r="AF27" s="147" t="s">
        <v>274</v>
      </c>
    </row>
    <row r="28" spans="1:46" ht="14.25" customHeight="1" thickBot="1" x14ac:dyDescent="0.35">
      <c r="I28" s="92"/>
      <c r="J28" s="139"/>
      <c r="K28" s="92"/>
      <c r="L28" s="137"/>
      <c r="M28" s="131"/>
      <c r="N28" s="131"/>
      <c r="R28" s="148" t="s">
        <v>275</v>
      </c>
      <c r="S28" s="149">
        <f>U28*S40</f>
        <v>42064.3</v>
      </c>
      <c r="T28" s="149">
        <f>U28*U40</f>
        <v>12635.7</v>
      </c>
      <c r="U28" s="1233">
        <f>$Z$1</f>
        <v>54700</v>
      </c>
      <c r="V28" s="149">
        <f>SUM(AP5:AP13)</f>
        <v>4232.5108305084741</v>
      </c>
      <c r="W28" s="149">
        <f>SUM(H37:H38)</f>
        <v>406.6</v>
      </c>
      <c r="Z28" s="151"/>
      <c r="AA28" s="1205"/>
      <c r="AB28" s="152">
        <f>AA25*$S$40</f>
        <v>42833.3</v>
      </c>
      <c r="AC28" s="152">
        <f>AA25*$U$40</f>
        <v>12866.7</v>
      </c>
      <c r="AD28" s="153">
        <f>AA25*(1/3)</f>
        <v>18566.666666666664</v>
      </c>
      <c r="AE28" s="1188"/>
      <c r="AF28" s="154">
        <f>SUM(AB28:AD28)</f>
        <v>74266.666666666657</v>
      </c>
    </row>
    <row r="29" spans="1:46" ht="14.25" customHeight="1" thickBot="1" x14ac:dyDescent="0.35">
      <c r="I29" s="92"/>
      <c r="J29" s="139"/>
      <c r="K29" s="92"/>
      <c r="L29" s="137"/>
      <c r="M29" s="131"/>
      <c r="N29" s="131"/>
      <c r="R29" s="148" t="s">
        <v>276</v>
      </c>
      <c r="S29" s="155"/>
      <c r="T29" s="149">
        <f>U28*(1/3)</f>
        <v>18233.333333333332</v>
      </c>
      <c r="U29" s="149">
        <f>T29</f>
        <v>18233.333333333332</v>
      </c>
      <c r="V29" s="149"/>
      <c r="W29" s="149"/>
      <c r="Z29" s="151"/>
      <c r="AA29" s="1205"/>
      <c r="AB29" s="156">
        <f>AB28/$AF$28</f>
        <v>0.5767500000000001</v>
      </c>
      <c r="AC29" s="156">
        <f>AC28/$AF$28</f>
        <v>0.17325000000000004</v>
      </c>
      <c r="AD29" s="156">
        <f>AD28/$AF$28</f>
        <v>0.25</v>
      </c>
      <c r="AE29" s="1192"/>
      <c r="AF29" s="156">
        <f>AF28/$AF$28</f>
        <v>1</v>
      </c>
    </row>
    <row r="30" spans="1:46" ht="14.25" customHeight="1" thickBot="1" x14ac:dyDescent="0.35">
      <c r="I30" s="92"/>
      <c r="J30" s="139"/>
      <c r="K30" s="92"/>
      <c r="L30" s="137"/>
      <c r="M30" s="131"/>
      <c r="N30" s="131"/>
      <c r="R30" s="148" t="s">
        <v>277</v>
      </c>
      <c r="S30" s="1143">
        <f>U30*S40</f>
        <v>769</v>
      </c>
      <c r="T30" s="149">
        <f>(U30*U40)+(U30*(1/3))</f>
        <v>564.33333333333326</v>
      </c>
      <c r="U30" s="1236">
        <f>$AB$1</f>
        <v>1000</v>
      </c>
      <c r="V30" s="1143"/>
      <c r="W30" s="1143"/>
      <c r="Z30" s="141" t="s">
        <v>278</v>
      </c>
      <c r="AA30" s="1321">
        <f>V35/(S32/R1)</f>
        <v>9.4076242000621323E-4</v>
      </c>
      <c r="AB30" s="157">
        <f>S35/(S32)</f>
        <v>3.3701221915648408E-2</v>
      </c>
      <c r="AC30" s="158">
        <f>T35/T32</f>
        <v>1.0442185298068085E-2</v>
      </c>
      <c r="AD30" s="158">
        <f>T35/T32</f>
        <v>1.0442185298068085E-2</v>
      </c>
      <c r="AE30" s="1199">
        <f>W35/U32</f>
        <v>4.063369305739144E-5</v>
      </c>
      <c r="AF30" s="1201">
        <f>SUMPRODUCT(AB30:AD30,AB29:AD29)+AE30</f>
        <v>2.3897468360314932E-2</v>
      </c>
    </row>
    <row r="31" spans="1:46" ht="14.25" customHeight="1" thickBot="1" x14ac:dyDescent="0.35">
      <c r="I31" s="92"/>
      <c r="J31" s="139"/>
      <c r="K31" s="92"/>
      <c r="L31" s="137"/>
      <c r="M31" s="131"/>
      <c r="N31" s="131"/>
      <c r="R31" s="763" t="s">
        <v>279</v>
      </c>
      <c r="S31" s="155"/>
      <c r="T31" s="149">
        <f>T28+T29</f>
        <v>30869.033333333333</v>
      </c>
      <c r="U31" s="149">
        <f>T31</f>
        <v>30869.033333333333</v>
      </c>
      <c r="V31" s="149"/>
      <c r="W31" s="149"/>
    </row>
    <row r="32" spans="1:46" ht="14.25" customHeight="1" thickBot="1" x14ac:dyDescent="0.35">
      <c r="I32" s="92"/>
      <c r="J32" s="139"/>
      <c r="K32" s="92"/>
      <c r="L32" s="137"/>
      <c r="M32" s="131"/>
      <c r="N32" s="131"/>
      <c r="R32" s="160" t="s">
        <v>269</v>
      </c>
      <c r="S32" s="149">
        <f>SUM(S28:S30)</f>
        <v>42833.3</v>
      </c>
      <c r="T32" s="149">
        <f>SUM(T28:T30)</f>
        <v>31433.366666666665</v>
      </c>
      <c r="U32" s="149">
        <f>SUM(S32:T32)</f>
        <v>74266.666666666672</v>
      </c>
      <c r="V32" s="149"/>
      <c r="W32" s="149">
        <f>SUM(W28:W30)</f>
        <v>406.6</v>
      </c>
    </row>
    <row r="33" spans="2:23" ht="14.25" customHeight="1" thickBot="1" x14ac:dyDescent="0.35">
      <c r="I33" s="92"/>
      <c r="J33" s="139"/>
      <c r="K33" s="92"/>
      <c r="L33" s="137"/>
      <c r="M33" s="131"/>
      <c r="N33" s="131"/>
      <c r="R33" s="161" t="s">
        <v>280</v>
      </c>
      <c r="S33" s="155"/>
      <c r="T33" s="155">
        <f>F88+F115+F142</f>
        <v>0</v>
      </c>
      <c r="U33" s="155"/>
      <c r="V33" s="155"/>
      <c r="W33" s="155"/>
    </row>
    <row r="34" spans="2:23" ht="14.25" customHeight="1" thickBot="1" x14ac:dyDescent="0.35">
      <c r="I34" s="92"/>
      <c r="J34" s="139"/>
      <c r="K34" s="92"/>
      <c r="L34" s="137"/>
      <c r="M34" s="131"/>
      <c r="N34" s="131"/>
      <c r="R34" s="162" t="s">
        <v>281</v>
      </c>
      <c r="S34" s="155"/>
      <c r="T34" s="149">
        <f>T33-(T28+T29)</f>
        <v>-30869.033333333333</v>
      </c>
      <c r="U34" s="155"/>
      <c r="V34" s="155"/>
      <c r="W34" s="155"/>
    </row>
    <row r="35" spans="2:23" ht="14.25" customHeight="1" thickBot="1" x14ac:dyDescent="0.35">
      <c r="B35" s="1394" t="s">
        <v>721</v>
      </c>
      <c r="C35" s="1394"/>
      <c r="D35" s="1394"/>
      <c r="E35" s="1394"/>
      <c r="F35" s="1394"/>
      <c r="G35" s="883"/>
      <c r="H35" s="884"/>
      <c r="I35" s="889"/>
      <c r="J35" s="889"/>
      <c r="K35" s="889"/>
      <c r="L35" s="889"/>
      <c r="M35" s="131"/>
      <c r="N35" s="131"/>
      <c r="R35" s="163" t="s">
        <v>261</v>
      </c>
      <c r="S35" s="1144">
        <f>$L$5</f>
        <v>1443.5345486795429</v>
      </c>
      <c r="T35" s="1144">
        <f>SUM(L6:L25)</f>
        <v>328.2330392754501</v>
      </c>
      <c r="U35" s="1144">
        <f>S35+T35+V35+W35</f>
        <v>1843.0835524263694</v>
      </c>
      <c r="V35" s="1144">
        <f>SUM(AT6:AT19)</f>
        <v>68.298235533647684</v>
      </c>
      <c r="W35" s="149">
        <f>SUM(L37:L38)</f>
        <v>3.017728937728938</v>
      </c>
    </row>
    <row r="36" spans="2:23" ht="14.25" customHeight="1" x14ac:dyDescent="0.3">
      <c r="B36" s="860" t="s">
        <v>253</v>
      </c>
      <c r="C36" s="860" t="s">
        <v>329</v>
      </c>
      <c r="D36" s="862" t="s">
        <v>671</v>
      </c>
      <c r="E36" s="859" t="s">
        <v>672</v>
      </c>
      <c r="F36" s="862" t="s">
        <v>673</v>
      </c>
      <c r="G36" s="885"/>
      <c r="H36" s="862" t="s">
        <v>673</v>
      </c>
      <c r="I36" s="862" t="s">
        <v>258</v>
      </c>
      <c r="J36" s="862" t="s">
        <v>259</v>
      </c>
      <c r="K36" s="862" t="s">
        <v>260</v>
      </c>
      <c r="L36" s="862" t="s">
        <v>261</v>
      </c>
      <c r="M36" s="131"/>
      <c r="N36" s="131"/>
    </row>
    <row r="37" spans="2:23" ht="14.25" customHeight="1" x14ac:dyDescent="0.3">
      <c r="B37" s="855" t="s">
        <v>746</v>
      </c>
      <c r="C37" s="856" t="s">
        <v>14</v>
      </c>
      <c r="D37" s="857">
        <v>7.0000000000000007E-2</v>
      </c>
      <c r="E37" s="855">
        <f>$AD$1</f>
        <v>380</v>
      </c>
      <c r="F37" s="855">
        <f>D37*E37</f>
        <v>26.6</v>
      </c>
      <c r="G37" s="879"/>
      <c r="H37" s="855">
        <f>F37</f>
        <v>26.6</v>
      </c>
      <c r="I37" s="855">
        <f>VLOOKUP(B37,All_Ingredients!$A$1:$F$151,6,FALSE())</f>
        <v>0.65</v>
      </c>
      <c r="J37" s="855">
        <f>VLOOKUP(B37,All_Ingredients!$A$1:$J$151,10,FALSE())</f>
        <v>45</v>
      </c>
      <c r="K37" s="855">
        <f>(H37/I37)/1000</f>
        <v>4.092307692307693E-2</v>
      </c>
      <c r="L37" s="855">
        <f>K37*J37</f>
        <v>1.8415384615384618</v>
      </c>
      <c r="M37" s="131"/>
      <c r="N37" s="131"/>
    </row>
    <row r="38" spans="2:23" ht="14.25" customHeight="1" x14ac:dyDescent="0.3">
      <c r="B38" s="855" t="s">
        <v>19</v>
      </c>
      <c r="C38" s="856" t="s">
        <v>14</v>
      </c>
      <c r="D38" s="857">
        <v>1</v>
      </c>
      <c r="E38" s="855">
        <f>$AD$1</f>
        <v>380</v>
      </c>
      <c r="F38" s="855">
        <f>D38*E38</f>
        <v>380</v>
      </c>
      <c r="H38" s="855">
        <f>F38</f>
        <v>380</v>
      </c>
      <c r="I38" s="855">
        <f>VLOOKUP(B38,All_Ingredients!$A$1:$F$151,6,FALSE())</f>
        <v>0.84</v>
      </c>
      <c r="J38" s="855">
        <f>VLOOKUP(B38,All_Ingredients!$A$1:$J$151,10,FALSE())</f>
        <v>2.6</v>
      </c>
      <c r="K38" s="855">
        <f>(H38/I38)/1000</f>
        <v>0.45238095238095238</v>
      </c>
      <c r="L38" s="855">
        <f>K38*J38</f>
        <v>1.1761904761904762</v>
      </c>
      <c r="M38" s="131"/>
      <c r="N38" s="131"/>
    </row>
    <row r="39" spans="2:23" ht="14.25" customHeight="1" x14ac:dyDescent="0.3">
      <c r="I39" s="92"/>
      <c r="J39" s="139"/>
      <c r="K39" s="92"/>
      <c r="L39" s="137"/>
      <c r="M39" s="131"/>
      <c r="N39" s="131"/>
      <c r="S39" s="502"/>
      <c r="U39" s="502"/>
    </row>
    <row r="40" spans="2:23" ht="18.75" customHeight="1" x14ac:dyDescent="0.3">
      <c r="I40" s="92"/>
      <c r="J40" s="139"/>
      <c r="K40" s="92"/>
      <c r="L40" s="137"/>
      <c r="M40" s="131"/>
      <c r="N40" s="131"/>
      <c r="Q40" s="14"/>
      <c r="R40" s="165" t="s">
        <v>282</v>
      </c>
      <c r="S40" s="537">
        <v>0.76900000000000002</v>
      </c>
      <c r="T40" s="165" t="s">
        <v>283</v>
      </c>
      <c r="U40" s="537">
        <v>0.23100000000000001</v>
      </c>
      <c r="V40" s="168">
        <f>S40+U40</f>
        <v>1</v>
      </c>
      <c r="W40" s="14"/>
    </row>
    <row r="41" spans="2:23" ht="14.25" customHeight="1" x14ac:dyDescent="0.3">
      <c r="I41" s="92"/>
      <c r="J41" s="139"/>
      <c r="K41" s="92"/>
      <c r="L41" s="137"/>
      <c r="M41" s="131"/>
      <c r="N41" s="131"/>
      <c r="Q41" s="14"/>
      <c r="R41" s="14"/>
      <c r="S41" s="14"/>
      <c r="T41" s="14"/>
      <c r="U41" s="169"/>
      <c r="V41" s="14"/>
      <c r="W41" s="14"/>
    </row>
    <row r="42" spans="2:23" ht="14.25" customHeight="1" x14ac:dyDescent="0.3">
      <c r="I42" s="92"/>
      <c r="J42" s="139"/>
      <c r="K42" s="92"/>
      <c r="L42" s="137"/>
      <c r="M42" s="131"/>
      <c r="N42" s="131"/>
      <c r="Q42" s="14"/>
      <c r="R42" s="14"/>
      <c r="S42" s="14"/>
      <c r="T42" s="14"/>
      <c r="U42" s="14"/>
      <c r="V42" s="14"/>
      <c r="W42" s="14"/>
    </row>
    <row r="43" spans="2:23" ht="14.25" customHeight="1" x14ac:dyDescent="0.3">
      <c r="I43" s="92"/>
      <c r="J43" s="139"/>
      <c r="K43" s="92"/>
      <c r="L43" s="137"/>
      <c r="M43" s="131"/>
      <c r="N43" s="131"/>
      <c r="Q43" s="170" t="s">
        <v>284</v>
      </c>
      <c r="R43" s="170" t="s">
        <v>285</v>
      </c>
      <c r="S43" s="170" t="s">
        <v>286</v>
      </c>
      <c r="T43" s="170" t="s">
        <v>287</v>
      </c>
      <c r="U43" s="170" t="s">
        <v>288</v>
      </c>
      <c r="V43" s="170" t="s">
        <v>289</v>
      </c>
      <c r="W43" s="258" t="s">
        <v>290</v>
      </c>
    </row>
    <row r="44" spans="2:23" ht="14.25" customHeight="1" x14ac:dyDescent="0.3">
      <c r="I44" s="92"/>
      <c r="J44" s="139"/>
      <c r="K44" s="92"/>
      <c r="L44" s="137"/>
      <c r="M44" s="131"/>
      <c r="N44" s="131"/>
      <c r="Q44" s="172">
        <v>18841</v>
      </c>
      <c r="R44" s="173">
        <f>D51</f>
        <v>10000</v>
      </c>
      <c r="S44" s="174">
        <v>0.43478260000000002</v>
      </c>
      <c r="T44" s="174">
        <v>0.56521739999999998</v>
      </c>
      <c r="U44" s="242">
        <f>R44*S44</f>
        <v>4347.826</v>
      </c>
      <c r="V44" s="176">
        <f>R44*T44</f>
        <v>5652.174</v>
      </c>
      <c r="W44" s="260">
        <f>Q44-U44</f>
        <v>14493.173999999999</v>
      </c>
    </row>
    <row r="45" spans="2:23" ht="14.25" customHeight="1" x14ac:dyDescent="0.3">
      <c r="I45" s="92"/>
      <c r="J45" s="139"/>
      <c r="K45" s="92"/>
      <c r="L45" s="137"/>
      <c r="M45" s="131"/>
      <c r="N45" s="131"/>
    </row>
    <row r="46" spans="2:23" ht="14.25" customHeight="1" x14ac:dyDescent="0.3">
      <c r="I46" s="92"/>
      <c r="J46" s="139"/>
      <c r="K46" s="92"/>
      <c r="L46" s="137"/>
      <c r="M46" s="131"/>
      <c r="N46" s="131"/>
    </row>
    <row r="47" spans="2:23" ht="14.25" customHeight="1" x14ac:dyDescent="0.3">
      <c r="B47" s="133"/>
      <c r="C47" s="133"/>
      <c r="D47" s="254"/>
      <c r="E47" s="333"/>
      <c r="F47" s="136"/>
      <c r="G47" s="137"/>
      <c r="H47" s="138"/>
      <c r="I47" s="92"/>
      <c r="J47" s="139"/>
      <c r="K47" s="92"/>
      <c r="L47" s="137"/>
      <c r="M47" s="131"/>
      <c r="N47" s="131"/>
    </row>
    <row r="48" spans="2:23" ht="14.25" customHeight="1" x14ac:dyDescent="0.3">
      <c r="B48" s="133"/>
      <c r="C48" s="133"/>
      <c r="D48" s="254"/>
      <c r="E48" s="333"/>
      <c r="F48" s="136"/>
      <c r="G48" s="137"/>
      <c r="H48" s="138"/>
      <c r="I48" s="92"/>
      <c r="J48" s="139"/>
      <c r="K48" s="92"/>
      <c r="L48" s="137"/>
      <c r="M48" s="131"/>
      <c r="N48" s="131"/>
    </row>
    <row r="49" spans="1:12" ht="14.25" customHeight="1" x14ac:dyDescent="0.3">
      <c r="B49" s="132"/>
      <c r="E49" s="100"/>
      <c r="F49" s="100"/>
      <c r="L49" s="100"/>
    </row>
    <row r="50" spans="1:12" ht="14.25" customHeight="1" x14ac:dyDescent="0.3">
      <c r="B50" s="178"/>
      <c r="C50" s="145" t="s">
        <v>245</v>
      </c>
      <c r="D50" s="145" t="s">
        <v>291</v>
      </c>
      <c r="F50" s="100"/>
      <c r="G50" s="145" t="s">
        <v>292</v>
      </c>
      <c r="H50" s="145" t="s">
        <v>245</v>
      </c>
      <c r="I50" s="145" t="s">
        <v>293</v>
      </c>
      <c r="J50" s="145" t="s">
        <v>294</v>
      </c>
    </row>
    <row r="51" spans="1:12" ht="14.75" customHeight="1" x14ac:dyDescent="0.3">
      <c r="B51" s="180" t="s">
        <v>295</v>
      </c>
      <c r="C51" s="181">
        <f>10/$K$1</f>
        <v>10.526315789473685</v>
      </c>
      <c r="D51" s="182">
        <f>$C$1*10</f>
        <v>10000</v>
      </c>
      <c r="E51" s="183"/>
      <c r="F51" s="100"/>
      <c r="G51" s="180" t="s">
        <v>295</v>
      </c>
      <c r="H51" s="277">
        <f>I51/$D$5</f>
        <v>10</v>
      </c>
      <c r="I51" s="181">
        <f>J51/$R$1</f>
        <v>24564.701694915253</v>
      </c>
      <c r="J51" s="181">
        <f>$W$44</f>
        <v>14493.173999999999</v>
      </c>
    </row>
    <row r="52" spans="1:12" ht="14.25" customHeight="1" x14ac:dyDescent="0.3">
      <c r="B52" s="231" t="s">
        <v>274</v>
      </c>
      <c r="C52" s="232">
        <f>$I$1</f>
        <v>33.087754385964914</v>
      </c>
      <c r="D52" s="233">
        <f>$E$1</f>
        <v>31433.366666666665</v>
      </c>
      <c r="E52" s="100"/>
      <c r="F52" s="100"/>
      <c r="G52" s="148" t="s">
        <v>274</v>
      </c>
      <c r="H52" s="210">
        <f>I52/$D$5</f>
        <v>29.554119753202443</v>
      </c>
      <c r="I52" s="176">
        <f>J52/$R$1</f>
        <v>72598.813559322036</v>
      </c>
      <c r="J52" s="184">
        <f>$S$32</f>
        <v>42833.3</v>
      </c>
    </row>
    <row r="53" spans="1:12" ht="14.25" customHeight="1" x14ac:dyDescent="0.3">
      <c r="B53" s="231" t="s">
        <v>296</v>
      </c>
      <c r="C53" s="234">
        <f>MIN(C52, C51)</f>
        <v>10.526315789473685</v>
      </c>
      <c r="D53" s="233">
        <f>(C53*$K$1)*$C$1</f>
        <v>10000</v>
      </c>
      <c r="E53" s="100"/>
      <c r="F53" s="100"/>
      <c r="G53" s="148" t="s">
        <v>296</v>
      </c>
      <c r="H53" s="187">
        <f>MIN(H52,H51)</f>
        <v>10</v>
      </c>
      <c r="I53" s="176">
        <f>J53/$R$1</f>
        <v>24564.701694915253</v>
      </c>
      <c r="J53" s="176">
        <f>MIN(J52,J51)</f>
        <v>14493.173999999999</v>
      </c>
    </row>
    <row r="54" spans="1:12" ht="14.25" customHeight="1" x14ac:dyDescent="0.3">
      <c r="B54" s="231" t="s">
        <v>297</v>
      </c>
      <c r="C54" s="234">
        <f>MIN(MAX(C52-C53,0),C51)</f>
        <v>10.526315789473685</v>
      </c>
      <c r="D54" s="233">
        <f>(C54*$K$1)*$C$1</f>
        <v>10000</v>
      </c>
      <c r="E54" s="100"/>
      <c r="F54" s="100"/>
      <c r="G54" s="148" t="s">
        <v>297</v>
      </c>
      <c r="H54" s="187">
        <f>MIN(MAX(H52-H53),H51)</f>
        <v>10</v>
      </c>
      <c r="I54" s="176">
        <f>J54/$R$1</f>
        <v>24564.701694915253</v>
      </c>
      <c r="J54" s="176">
        <f>MIN(MAX(J52-J53),J51)</f>
        <v>14493.173999999999</v>
      </c>
    </row>
    <row r="55" spans="1:12" ht="14.25" customHeight="1" x14ac:dyDescent="0.3">
      <c r="B55" s="231" t="s">
        <v>298</v>
      </c>
      <c r="C55" s="234">
        <f>MIN(MAX(C52-C53-C54,0),C51)</f>
        <v>10.526315789473685</v>
      </c>
      <c r="D55" s="233">
        <f>(C55*$K$1)*$C$1</f>
        <v>10000</v>
      </c>
      <c r="E55" s="100"/>
      <c r="F55" s="100"/>
      <c r="G55" s="145" t="s">
        <v>298</v>
      </c>
      <c r="H55" s="187">
        <f>MIN(MAX(H52-H53-H54),H51)</f>
        <v>9.5541197532024427</v>
      </c>
      <c r="I55" s="176">
        <f>J55/$R$1</f>
        <v>23469.410169491533</v>
      </c>
      <c r="J55" s="176">
        <f>MIN(MAX(J52-J53-J54),J51)</f>
        <v>13846.952000000005</v>
      </c>
    </row>
    <row r="56" spans="1:12" ht="14.25" customHeight="1" x14ac:dyDescent="0.3">
      <c r="B56" s="100"/>
      <c r="E56" s="100"/>
      <c r="F56" s="100"/>
    </row>
    <row r="57" spans="1:12" ht="14.25" customHeight="1" x14ac:dyDescent="0.3">
      <c r="B57" s="100"/>
      <c r="E57" s="100"/>
      <c r="F57" s="100"/>
    </row>
    <row r="58" spans="1:12" ht="14.75" customHeight="1" x14ac:dyDescent="0.3">
      <c r="B58" s="100"/>
      <c r="E58" s="100"/>
      <c r="F58" s="100"/>
    </row>
    <row r="59" spans="1:12" ht="14.75" customHeight="1" x14ac:dyDescent="0.3">
      <c r="B59" s="100"/>
      <c r="E59" s="100"/>
      <c r="F59" s="100"/>
    </row>
    <row r="60" spans="1:12" ht="14.75" customHeight="1" x14ac:dyDescent="0.3">
      <c r="B60" s="100"/>
      <c r="E60" s="100"/>
      <c r="F60" s="100"/>
    </row>
    <row r="61" spans="1:12" ht="14.75" customHeight="1" x14ac:dyDescent="0.3">
      <c r="B61" s="100"/>
      <c r="E61" s="100"/>
      <c r="F61" s="100"/>
    </row>
    <row r="62" spans="1:12" ht="14.75" customHeight="1" x14ac:dyDescent="0.3">
      <c r="A62" s="938"/>
      <c r="B62" s="1382" t="str">
        <f>"دجاج هندي بالزبدة 1 / " &amp; COUNTIF($C$53:$C$55, "&gt;0")</f>
        <v>دجاج هندي بالزبدة 1 / 3</v>
      </c>
      <c r="C62" s="1383"/>
      <c r="D62" s="1383"/>
      <c r="E62" s="1383"/>
      <c r="F62" s="1383"/>
      <c r="G62" s="1383"/>
      <c r="H62" s="1383"/>
    </row>
    <row r="63" spans="1:12" ht="17.75" customHeight="1" x14ac:dyDescent="0.3">
      <c r="A63" s="938"/>
      <c r="B63" s="1384" t="str">
        <f>"Butter Chicken 1 / " &amp; COUNTIF($C$53:$C$55, "&gt;0")</f>
        <v>Butter Chicken 1 / 3</v>
      </c>
      <c r="C63" s="1385"/>
      <c r="D63" s="1385"/>
      <c r="E63" s="1385"/>
      <c r="F63" s="1385"/>
      <c r="G63" s="1385"/>
      <c r="H63" s="1385"/>
    </row>
    <row r="64" spans="1:12" ht="43.5" customHeight="1" x14ac:dyDescent="0.3">
      <c r="A64" s="91"/>
      <c r="B64" s="243" t="s">
        <v>253</v>
      </c>
      <c r="C64" s="244" t="s">
        <v>254</v>
      </c>
      <c r="D64" s="245" t="s">
        <v>243</v>
      </c>
      <c r="E64" s="218" t="s">
        <v>246</v>
      </c>
      <c r="F64" s="218" t="s">
        <v>255</v>
      </c>
      <c r="G64" s="245" t="s">
        <v>256</v>
      </c>
      <c r="H64" s="218" t="s">
        <v>257</v>
      </c>
    </row>
    <row r="65" spans="1:8" ht="14.25" customHeight="1" x14ac:dyDescent="0.3">
      <c r="A65" s="219" t="s">
        <v>230</v>
      </c>
      <c r="B65" s="123" t="str">
        <f t="shared" ref="B65:D85" si="14">B5</f>
        <v>Chicken - دجاج</v>
      </c>
      <c r="C65" s="123" t="str">
        <f t="shared" si="14"/>
        <v>gm</v>
      </c>
      <c r="D65" s="279">
        <f t="shared" si="14"/>
        <v>2456.4701694915252</v>
      </c>
      <c r="E65" s="116">
        <f>H53</f>
        <v>10</v>
      </c>
      <c r="F65" s="127">
        <f t="shared" ref="F65:F85" si="15">F5</f>
        <v>1</v>
      </c>
      <c r="G65" s="119">
        <f t="shared" ref="G65:G85" si="16">D65*E65</f>
        <v>24564.701694915253</v>
      </c>
      <c r="H65" s="120">
        <f t="shared" ref="H65:H85" si="17">G65*F65</f>
        <v>24564.701694915253</v>
      </c>
    </row>
    <row r="66" spans="1:8" ht="14.25" customHeight="1" x14ac:dyDescent="0.3">
      <c r="A66" s="270" t="s">
        <v>13</v>
      </c>
      <c r="B66" s="123" t="str">
        <f t="shared" si="14"/>
        <v>Onion - بصل</v>
      </c>
      <c r="C66" s="123" t="str">
        <f t="shared" si="14"/>
        <v>gm</v>
      </c>
      <c r="D66" s="123">
        <f t="shared" si="14"/>
        <v>80</v>
      </c>
      <c r="E66" s="116">
        <f t="shared" ref="E66:E85" si="18">$C$53</f>
        <v>10.526315789473685</v>
      </c>
      <c r="F66" s="127">
        <f t="shared" si="15"/>
        <v>1</v>
      </c>
      <c r="G66" s="119">
        <f t="shared" si="16"/>
        <v>842.1052631578948</v>
      </c>
      <c r="H66" s="120">
        <f t="shared" si="17"/>
        <v>842.1052631578948</v>
      </c>
    </row>
    <row r="67" spans="1:8" ht="14.25" customHeight="1" x14ac:dyDescent="0.3">
      <c r="A67" s="270" t="s">
        <v>13</v>
      </c>
      <c r="B67" s="123" t="str">
        <f t="shared" si="14"/>
        <v>Tomato - طماطم</v>
      </c>
      <c r="C67" s="123" t="str">
        <f t="shared" si="14"/>
        <v>gm</v>
      </c>
      <c r="D67" s="123">
        <f t="shared" si="14"/>
        <v>400</v>
      </c>
      <c r="E67" s="116">
        <f t="shared" si="18"/>
        <v>10.526315789473685</v>
      </c>
      <c r="F67" s="127">
        <f t="shared" si="15"/>
        <v>1</v>
      </c>
      <c r="G67" s="119">
        <f t="shared" si="16"/>
        <v>4210.5263157894742</v>
      </c>
      <c r="H67" s="120">
        <f t="shared" si="17"/>
        <v>4210.5263157894742</v>
      </c>
    </row>
    <row r="68" spans="1:8" ht="14.25" customHeight="1" x14ac:dyDescent="0.3">
      <c r="A68" s="270" t="s">
        <v>183</v>
      </c>
      <c r="B68" s="123" t="str">
        <f t="shared" si="14"/>
        <v>Cashew Nut - كاجو</v>
      </c>
      <c r="C68" s="123" t="str">
        <f t="shared" si="14"/>
        <v>gm</v>
      </c>
      <c r="D68" s="123">
        <f t="shared" si="14"/>
        <v>50</v>
      </c>
      <c r="E68" s="116">
        <f t="shared" si="18"/>
        <v>10.526315789473685</v>
      </c>
      <c r="F68" s="127">
        <f t="shared" si="15"/>
        <v>0.5</v>
      </c>
      <c r="G68" s="119">
        <f t="shared" si="16"/>
        <v>526.31578947368428</v>
      </c>
      <c r="H68" s="120">
        <f t="shared" si="17"/>
        <v>263.15789473684214</v>
      </c>
    </row>
    <row r="69" spans="1:8" ht="14.25" customHeight="1" x14ac:dyDescent="0.3">
      <c r="A69" s="270" t="s">
        <v>97</v>
      </c>
      <c r="B69" s="123" t="str">
        <f t="shared" si="14"/>
        <v>Kashmiri Red Chilli Whole - فلفل كشميري أحمر كامل</v>
      </c>
      <c r="C69" s="123" t="str">
        <f t="shared" si="14"/>
        <v>gm</v>
      </c>
      <c r="D69" s="123">
        <f t="shared" si="14"/>
        <v>5</v>
      </c>
      <c r="E69" s="116">
        <f t="shared" si="18"/>
        <v>10.526315789473685</v>
      </c>
      <c r="F69" s="127">
        <f t="shared" si="15"/>
        <v>0.75</v>
      </c>
      <c r="G69" s="119">
        <f t="shared" si="16"/>
        <v>52.631578947368425</v>
      </c>
      <c r="H69" s="120">
        <f t="shared" si="17"/>
        <v>39.473684210526315</v>
      </c>
    </row>
    <row r="70" spans="1:8" ht="14.25" customHeight="1" x14ac:dyDescent="0.3">
      <c r="A70" s="270" t="s">
        <v>57</v>
      </c>
      <c r="B70" s="123" t="str">
        <f t="shared" si="14"/>
        <v>Ginger - زنجبيل</v>
      </c>
      <c r="C70" s="123" t="str">
        <f t="shared" si="14"/>
        <v>gm</v>
      </c>
      <c r="D70" s="123">
        <f t="shared" si="14"/>
        <v>5</v>
      </c>
      <c r="E70" s="116">
        <f t="shared" si="18"/>
        <v>10.526315789473685</v>
      </c>
      <c r="F70" s="127">
        <f t="shared" si="15"/>
        <v>1</v>
      </c>
      <c r="G70" s="119">
        <f t="shared" si="16"/>
        <v>52.631578947368425</v>
      </c>
      <c r="H70" s="120">
        <f t="shared" si="17"/>
        <v>52.631578947368425</v>
      </c>
    </row>
    <row r="71" spans="1:8" ht="14.25" customHeight="1" x14ac:dyDescent="0.3">
      <c r="A71" s="270" t="s">
        <v>13</v>
      </c>
      <c r="B71" s="123" t="str">
        <f t="shared" si="14"/>
        <v>Garlic - ثوم مقشر</v>
      </c>
      <c r="C71" s="123" t="str">
        <f t="shared" si="14"/>
        <v>gm</v>
      </c>
      <c r="D71" s="123">
        <f t="shared" si="14"/>
        <v>20</v>
      </c>
      <c r="E71" s="116">
        <f t="shared" si="18"/>
        <v>10.526315789473685</v>
      </c>
      <c r="F71" s="127">
        <f t="shared" si="15"/>
        <v>1</v>
      </c>
      <c r="G71" s="119">
        <f t="shared" si="16"/>
        <v>210.5263157894737</v>
      </c>
      <c r="H71" s="120">
        <f t="shared" si="17"/>
        <v>210.5263157894737</v>
      </c>
    </row>
    <row r="72" spans="1:8" ht="14.25" customHeight="1" x14ac:dyDescent="0.3">
      <c r="A72" s="270" t="s">
        <v>63</v>
      </c>
      <c r="B72" s="123" t="str">
        <f t="shared" si="14"/>
        <v>Coriander Leaves - كزبرة خضراء</v>
      </c>
      <c r="C72" s="123" t="str">
        <f t="shared" si="14"/>
        <v>gm</v>
      </c>
      <c r="D72" s="123">
        <f t="shared" si="14"/>
        <v>10</v>
      </c>
      <c r="E72" s="116">
        <f t="shared" si="18"/>
        <v>10.526315789473685</v>
      </c>
      <c r="F72" s="127">
        <f t="shared" si="15"/>
        <v>1</v>
      </c>
      <c r="G72" s="119">
        <f t="shared" si="16"/>
        <v>105.26315789473685</v>
      </c>
      <c r="H72" s="120">
        <f t="shared" si="17"/>
        <v>105.26315789473685</v>
      </c>
    </row>
    <row r="73" spans="1:8" ht="14.25" customHeight="1" x14ac:dyDescent="0.3">
      <c r="A73" s="270" t="s">
        <v>186</v>
      </c>
      <c r="B73" s="123" t="str">
        <f t="shared" si="14"/>
        <v>Honey - عسل</v>
      </c>
      <c r="C73" s="123" t="str">
        <f t="shared" si="14"/>
        <v>gm</v>
      </c>
      <c r="D73" s="123">
        <f t="shared" si="14"/>
        <v>30</v>
      </c>
      <c r="E73" s="116">
        <f t="shared" si="18"/>
        <v>10.526315789473685</v>
      </c>
      <c r="F73" s="127">
        <f t="shared" si="15"/>
        <v>1</v>
      </c>
      <c r="G73" s="119">
        <f t="shared" si="16"/>
        <v>315.78947368421052</v>
      </c>
      <c r="H73" s="120">
        <f t="shared" si="17"/>
        <v>315.78947368421052</v>
      </c>
    </row>
    <row r="74" spans="1:8" ht="14.25" customHeight="1" x14ac:dyDescent="0.3">
      <c r="A74" s="270" t="s">
        <v>97</v>
      </c>
      <c r="B74" s="123" t="str">
        <f t="shared" si="14"/>
        <v>Salt - ملح</v>
      </c>
      <c r="C74" s="123" t="str">
        <f t="shared" si="14"/>
        <v>gm</v>
      </c>
      <c r="D74" s="123">
        <f t="shared" si="14"/>
        <v>13</v>
      </c>
      <c r="E74" s="116">
        <f t="shared" si="18"/>
        <v>10.526315789473685</v>
      </c>
      <c r="F74" s="127">
        <f t="shared" si="15"/>
        <v>0.75</v>
      </c>
      <c r="G74" s="119">
        <f t="shared" si="16"/>
        <v>136.84210526315792</v>
      </c>
      <c r="H74" s="120">
        <f t="shared" si="17"/>
        <v>102.63157894736844</v>
      </c>
    </row>
    <row r="75" spans="1:8" ht="14.25" customHeight="1" x14ac:dyDescent="0.3">
      <c r="A75" s="270" t="s">
        <v>158</v>
      </c>
      <c r="B75" s="123" t="str">
        <f t="shared" si="14"/>
        <v>Cooking Cream - كريمة طبخ</v>
      </c>
      <c r="C75" s="123" t="str">
        <f t="shared" si="14"/>
        <v>ml</v>
      </c>
      <c r="D75" s="123">
        <f t="shared" si="14"/>
        <v>350</v>
      </c>
      <c r="E75" s="116">
        <f t="shared" si="18"/>
        <v>10.526315789473685</v>
      </c>
      <c r="F75" s="127">
        <f t="shared" si="15"/>
        <v>1</v>
      </c>
      <c r="G75" s="119">
        <f t="shared" si="16"/>
        <v>3684.2105263157896</v>
      </c>
      <c r="H75" s="120">
        <f t="shared" si="17"/>
        <v>3684.2105263157896</v>
      </c>
    </row>
    <row r="76" spans="1:8" ht="14.25" customHeight="1" x14ac:dyDescent="0.3">
      <c r="A76" s="270" t="s">
        <v>210</v>
      </c>
      <c r="B76" s="123" t="str">
        <f t="shared" si="14"/>
        <v>Water - ماء</v>
      </c>
      <c r="C76" s="123" t="str">
        <f t="shared" si="14"/>
        <v>ml</v>
      </c>
      <c r="D76" s="123">
        <f t="shared" si="14"/>
        <v>250</v>
      </c>
      <c r="E76" s="116">
        <f t="shared" si="18"/>
        <v>10.526315789473685</v>
      </c>
      <c r="F76" s="127">
        <f t="shared" si="15"/>
        <v>1</v>
      </c>
      <c r="G76" s="119">
        <f t="shared" si="16"/>
        <v>2631.5789473684213</v>
      </c>
      <c r="H76" s="120">
        <f t="shared" si="17"/>
        <v>2631.5789473684213</v>
      </c>
    </row>
    <row r="77" spans="1:8" ht="14.25" customHeight="1" x14ac:dyDescent="0.3">
      <c r="A77" s="270" t="s">
        <v>158</v>
      </c>
      <c r="B77" s="123" t="str">
        <f t="shared" si="14"/>
        <v>Butter - زبدة</v>
      </c>
      <c r="C77" s="123" t="str">
        <f t="shared" si="14"/>
        <v>gm</v>
      </c>
      <c r="D77" s="123">
        <f t="shared" si="14"/>
        <v>50</v>
      </c>
      <c r="E77" s="116">
        <f t="shared" si="18"/>
        <v>10.526315789473685</v>
      </c>
      <c r="F77" s="127">
        <f t="shared" si="15"/>
        <v>1</v>
      </c>
      <c r="G77" s="119">
        <f t="shared" si="16"/>
        <v>526.31578947368428</v>
      </c>
      <c r="H77" s="120">
        <f t="shared" si="17"/>
        <v>526.31578947368428</v>
      </c>
    </row>
    <row r="78" spans="1:8" ht="14.25" customHeight="1" x14ac:dyDescent="0.3">
      <c r="A78" s="270" t="s">
        <v>220</v>
      </c>
      <c r="B78" s="123" t="str">
        <f t="shared" si="14"/>
        <v>Orange Color - لون برتقالي</v>
      </c>
      <c r="C78" s="123" t="str">
        <f t="shared" si="14"/>
        <v>gm</v>
      </c>
      <c r="D78" s="123">
        <f t="shared" si="14"/>
        <v>2</v>
      </c>
      <c r="E78" s="116">
        <f t="shared" si="18"/>
        <v>10.526315789473685</v>
      </c>
      <c r="F78" s="127">
        <f t="shared" si="15"/>
        <v>0.75</v>
      </c>
      <c r="G78" s="119">
        <f t="shared" si="16"/>
        <v>21.05263157894737</v>
      </c>
      <c r="H78" s="120">
        <f t="shared" si="17"/>
        <v>15.789473684210527</v>
      </c>
    </row>
    <row r="79" spans="1:8" ht="14.25" customHeight="1" x14ac:dyDescent="0.3">
      <c r="A79" s="270" t="s">
        <v>97</v>
      </c>
      <c r="B79" s="123" t="str">
        <f t="shared" si="14"/>
        <v>Kasuri Methi - ورق حلبة مجففة</v>
      </c>
      <c r="C79" s="123" t="str">
        <f t="shared" si="14"/>
        <v>gm</v>
      </c>
      <c r="D79" s="123">
        <f t="shared" si="14"/>
        <v>1</v>
      </c>
      <c r="E79" s="116">
        <f t="shared" si="18"/>
        <v>10.526315789473685</v>
      </c>
      <c r="F79" s="127">
        <f t="shared" si="15"/>
        <v>1</v>
      </c>
      <c r="G79" s="119">
        <f t="shared" si="16"/>
        <v>10.526315789473685</v>
      </c>
      <c r="H79" s="120">
        <f t="shared" si="17"/>
        <v>10.526315789473685</v>
      </c>
    </row>
    <row r="80" spans="1:8" ht="14.25" customHeight="1" x14ac:dyDescent="0.3">
      <c r="A80" s="270" t="s">
        <v>97</v>
      </c>
      <c r="B80" s="123" t="str">
        <f t="shared" si="14"/>
        <v>Black Pepper Whole - فلفل أسود حب</v>
      </c>
      <c r="C80" s="123" t="str">
        <f t="shared" si="14"/>
        <v>gm</v>
      </c>
      <c r="D80" s="123">
        <f t="shared" si="14"/>
        <v>1</v>
      </c>
      <c r="E80" s="116">
        <f t="shared" si="18"/>
        <v>10.526315789473685</v>
      </c>
      <c r="F80" s="127">
        <f t="shared" si="15"/>
        <v>1</v>
      </c>
      <c r="G80" s="119">
        <f t="shared" si="16"/>
        <v>10.526315789473685</v>
      </c>
      <c r="H80" s="120">
        <f t="shared" si="17"/>
        <v>10.526315789473685</v>
      </c>
    </row>
    <row r="81" spans="1:8" ht="14.25" customHeight="1" x14ac:dyDescent="0.3">
      <c r="A81" s="270" t="s">
        <v>97</v>
      </c>
      <c r="B81" s="123" t="str">
        <f t="shared" si="14"/>
        <v>Cumin Whole - كمون حب</v>
      </c>
      <c r="C81" s="123" t="str">
        <f t="shared" si="14"/>
        <v>gm</v>
      </c>
      <c r="D81" s="123">
        <f t="shared" si="14"/>
        <v>1</v>
      </c>
      <c r="E81" s="116">
        <f t="shared" si="18"/>
        <v>10.526315789473685</v>
      </c>
      <c r="F81" s="127">
        <f t="shared" si="15"/>
        <v>1</v>
      </c>
      <c r="G81" s="119">
        <f t="shared" si="16"/>
        <v>10.526315789473685</v>
      </c>
      <c r="H81" s="120">
        <f t="shared" si="17"/>
        <v>10.526315789473685</v>
      </c>
    </row>
    <row r="82" spans="1:8" ht="14.25" customHeight="1" x14ac:dyDescent="0.3">
      <c r="A82" s="270" t="s">
        <v>97</v>
      </c>
      <c r="B82" s="123" t="str">
        <f t="shared" si="14"/>
        <v>Cloves Whole - قرنفل حب</v>
      </c>
      <c r="C82" s="123" t="str">
        <f t="shared" si="14"/>
        <v>gm</v>
      </c>
      <c r="D82" s="123">
        <f t="shared" si="14"/>
        <v>1</v>
      </c>
      <c r="E82" s="116">
        <f t="shared" si="18"/>
        <v>10.526315789473685</v>
      </c>
      <c r="F82" s="127">
        <f t="shared" si="15"/>
        <v>1</v>
      </c>
      <c r="G82" s="119">
        <f t="shared" si="16"/>
        <v>10.526315789473685</v>
      </c>
      <c r="H82" s="120">
        <f t="shared" si="17"/>
        <v>10.526315789473685</v>
      </c>
    </row>
    <row r="83" spans="1:8" ht="14.25" customHeight="1" x14ac:dyDescent="0.3">
      <c r="A83" s="270" t="s">
        <v>97</v>
      </c>
      <c r="B83" s="123" t="str">
        <f t="shared" si="14"/>
        <v>Cinnamon Whole - قرفة أعواد</v>
      </c>
      <c r="C83" s="123" t="str">
        <f t="shared" si="14"/>
        <v>gm</v>
      </c>
      <c r="D83" s="123">
        <f t="shared" si="14"/>
        <v>0.5</v>
      </c>
      <c r="E83" s="116">
        <f t="shared" si="18"/>
        <v>10.526315789473685</v>
      </c>
      <c r="F83" s="127">
        <f t="shared" si="15"/>
        <v>1</v>
      </c>
      <c r="G83" s="119">
        <f t="shared" si="16"/>
        <v>5.2631578947368425</v>
      </c>
      <c r="H83" s="120">
        <f t="shared" si="17"/>
        <v>5.2631578947368425</v>
      </c>
    </row>
    <row r="84" spans="1:8" ht="14.25" customHeight="1" x14ac:dyDescent="0.3">
      <c r="A84" s="270" t="s">
        <v>97</v>
      </c>
      <c r="B84" s="123" t="str">
        <f t="shared" si="14"/>
        <v>Cardamom Whole - هيل حب</v>
      </c>
      <c r="C84" s="123" t="str">
        <f t="shared" si="14"/>
        <v>gm</v>
      </c>
      <c r="D84" s="123">
        <f t="shared" si="14"/>
        <v>0.5</v>
      </c>
      <c r="E84" s="116">
        <f t="shared" si="18"/>
        <v>10.526315789473685</v>
      </c>
      <c r="F84" s="127">
        <f t="shared" si="15"/>
        <v>1</v>
      </c>
      <c r="G84" s="119">
        <f t="shared" si="16"/>
        <v>5.2631578947368425</v>
      </c>
      <c r="H84" s="120">
        <f t="shared" si="17"/>
        <v>5.2631578947368425</v>
      </c>
    </row>
    <row r="85" spans="1:8" ht="14.25" customHeight="1" x14ac:dyDescent="0.3">
      <c r="A85" s="270" t="s">
        <v>97</v>
      </c>
      <c r="B85" s="123" t="str">
        <f t="shared" si="14"/>
        <v>Tomato Ketchup - كاتشب طماطم</v>
      </c>
      <c r="C85" s="123" t="str">
        <f t="shared" si="14"/>
        <v>ml</v>
      </c>
      <c r="D85" s="123">
        <f t="shared" si="14"/>
        <v>50</v>
      </c>
      <c r="E85" s="116">
        <f t="shared" si="18"/>
        <v>10.526315789473685</v>
      </c>
      <c r="F85" s="127">
        <f t="shared" si="15"/>
        <v>1</v>
      </c>
      <c r="G85" s="119">
        <f t="shared" si="16"/>
        <v>526.31578947368428</v>
      </c>
      <c r="H85" s="120">
        <f t="shared" si="17"/>
        <v>526.31578947368428</v>
      </c>
    </row>
    <row r="86" spans="1:8" ht="20.25" customHeight="1" x14ac:dyDescent="0.3">
      <c r="A86" s="211"/>
      <c r="B86" s="198" t="s">
        <v>299</v>
      </c>
      <c r="C86" s="200" t="s">
        <v>285</v>
      </c>
      <c r="D86" s="14"/>
      <c r="E86" s="200" t="s">
        <v>300</v>
      </c>
      <c r="F86" s="14"/>
      <c r="G86" s="890" t="s">
        <v>276</v>
      </c>
      <c r="H86" s="890" t="s">
        <v>733</v>
      </c>
    </row>
    <row r="87" spans="1:8" ht="24" customHeight="1" x14ac:dyDescent="0.4">
      <c r="A87" s="211"/>
      <c r="B87" s="199">
        <f>$J$53</f>
        <v>14493.173999999999</v>
      </c>
      <c r="C87" s="199">
        <f>E87+G87</f>
        <v>10000</v>
      </c>
      <c r="D87" s="930"/>
      <c r="E87" s="199">
        <f>$D$53*$S$44</f>
        <v>4347.826</v>
      </c>
      <c r="F87" s="934"/>
      <c r="G87" s="199">
        <f>$D$53*$T$44</f>
        <v>5652.174</v>
      </c>
      <c r="H87" s="199">
        <f>B87+E87</f>
        <v>18841</v>
      </c>
    </row>
    <row r="88" spans="1:8" ht="14.25" customHeight="1" x14ac:dyDescent="0.3">
      <c r="B88" s="100"/>
      <c r="C88" s="930"/>
      <c r="D88" s="930"/>
      <c r="E88" s="930"/>
      <c r="F88" s="934"/>
      <c r="G88" s="930"/>
      <c r="H88" s="930"/>
    </row>
    <row r="90" spans="1:8" ht="17.75" customHeight="1" x14ac:dyDescent="0.3">
      <c r="A90" s="938"/>
      <c r="B90" s="1382" t="str">
        <f>"دجاج هندي بالزبدة 2 / " &amp; COUNTIF($C$53:$C$55, "&gt;0")</f>
        <v>دجاج هندي بالزبدة 2 / 3</v>
      </c>
      <c r="C90" s="1383"/>
      <c r="D90" s="1383"/>
      <c r="E90" s="1383"/>
      <c r="F90" s="1383"/>
      <c r="G90" s="1383"/>
      <c r="H90" s="1383"/>
    </row>
    <row r="91" spans="1:8" ht="17.75" customHeight="1" x14ac:dyDescent="0.3">
      <c r="A91" s="938"/>
      <c r="B91" s="1384" t="str">
        <f>"Butter Chicken 2 / " &amp; COUNTIF($C$53:$C$55, "&gt;0")</f>
        <v>Butter Chicken 2 / 3</v>
      </c>
      <c r="C91" s="1385"/>
      <c r="D91" s="1385"/>
      <c r="E91" s="1385"/>
      <c r="F91" s="1385"/>
      <c r="G91" s="1385"/>
      <c r="H91" s="1385"/>
    </row>
    <row r="92" spans="1:8" ht="34.5" customHeight="1" x14ac:dyDescent="0.3">
      <c r="A92" s="91"/>
      <c r="B92" s="243" t="s">
        <v>253</v>
      </c>
      <c r="C92" s="244" t="s">
        <v>254</v>
      </c>
      <c r="D92" s="245" t="s">
        <v>243</v>
      </c>
      <c r="E92" s="218" t="s">
        <v>246</v>
      </c>
      <c r="F92" s="218" t="s">
        <v>255</v>
      </c>
      <c r="G92" s="245" t="s">
        <v>256</v>
      </c>
      <c r="H92" s="218" t="s">
        <v>257</v>
      </c>
    </row>
    <row r="93" spans="1:8" ht="14.25" customHeight="1" x14ac:dyDescent="0.3">
      <c r="A93" s="270" t="s">
        <v>230</v>
      </c>
      <c r="B93" s="123" t="str">
        <f t="shared" ref="B93:D113" si="19">B5</f>
        <v>Chicken - دجاج</v>
      </c>
      <c r="C93" s="123" t="str">
        <f t="shared" si="19"/>
        <v>gm</v>
      </c>
      <c r="D93" s="123">
        <f t="shared" si="19"/>
        <v>2456.4701694915252</v>
      </c>
      <c r="E93" s="116">
        <f>H54</f>
        <v>10</v>
      </c>
      <c r="F93" s="127">
        <f t="shared" ref="F93:F113" si="20">F5</f>
        <v>1</v>
      </c>
      <c r="G93" s="119">
        <f t="shared" ref="G93:G113" si="21">D93*E93</f>
        <v>24564.701694915253</v>
      </c>
      <c r="H93" s="120">
        <f t="shared" ref="H93:H113" si="22">G93*F93</f>
        <v>24564.701694915253</v>
      </c>
    </row>
    <row r="94" spans="1:8" ht="14.25" customHeight="1" x14ac:dyDescent="0.3">
      <c r="A94" s="270" t="s">
        <v>13</v>
      </c>
      <c r="B94" s="123" t="str">
        <f t="shared" si="19"/>
        <v>Onion - بصل</v>
      </c>
      <c r="C94" s="123" t="str">
        <f t="shared" si="19"/>
        <v>gm</v>
      </c>
      <c r="D94" s="123">
        <f t="shared" si="19"/>
        <v>80</v>
      </c>
      <c r="E94" s="116">
        <f t="shared" ref="E94:E113" si="23">$C$54</f>
        <v>10.526315789473685</v>
      </c>
      <c r="F94" s="127">
        <f t="shared" si="20"/>
        <v>1</v>
      </c>
      <c r="G94" s="119">
        <f t="shared" si="21"/>
        <v>842.1052631578948</v>
      </c>
      <c r="H94" s="120">
        <f t="shared" si="22"/>
        <v>842.1052631578948</v>
      </c>
    </row>
    <row r="95" spans="1:8" ht="14.25" customHeight="1" x14ac:dyDescent="0.3">
      <c r="A95" s="270" t="s">
        <v>13</v>
      </c>
      <c r="B95" s="123" t="str">
        <f t="shared" si="19"/>
        <v>Tomato - طماطم</v>
      </c>
      <c r="C95" s="123" t="str">
        <f t="shared" si="19"/>
        <v>gm</v>
      </c>
      <c r="D95" s="123">
        <f t="shared" si="19"/>
        <v>400</v>
      </c>
      <c r="E95" s="116">
        <f t="shared" si="23"/>
        <v>10.526315789473685</v>
      </c>
      <c r="F95" s="127">
        <f t="shared" si="20"/>
        <v>1</v>
      </c>
      <c r="G95" s="119">
        <f t="shared" si="21"/>
        <v>4210.5263157894742</v>
      </c>
      <c r="H95" s="120">
        <f t="shared" si="22"/>
        <v>4210.5263157894742</v>
      </c>
    </row>
    <row r="96" spans="1:8" ht="14.25" customHeight="1" x14ac:dyDescent="0.3">
      <c r="A96" s="270" t="s">
        <v>183</v>
      </c>
      <c r="B96" s="123" t="str">
        <f t="shared" si="19"/>
        <v>Cashew Nut - كاجو</v>
      </c>
      <c r="C96" s="123" t="str">
        <f t="shared" si="19"/>
        <v>gm</v>
      </c>
      <c r="D96" s="123">
        <f t="shared" si="19"/>
        <v>50</v>
      </c>
      <c r="E96" s="116">
        <f t="shared" si="23"/>
        <v>10.526315789473685</v>
      </c>
      <c r="F96" s="127">
        <f t="shared" si="20"/>
        <v>0.5</v>
      </c>
      <c r="G96" s="119">
        <f t="shared" si="21"/>
        <v>526.31578947368428</v>
      </c>
      <c r="H96" s="120">
        <f t="shared" si="22"/>
        <v>263.15789473684214</v>
      </c>
    </row>
    <row r="97" spans="1:8" ht="14.25" customHeight="1" x14ac:dyDescent="0.3">
      <c r="A97" s="270" t="s">
        <v>97</v>
      </c>
      <c r="B97" s="123" t="str">
        <f t="shared" si="19"/>
        <v>Kashmiri Red Chilli Whole - فلفل كشميري أحمر كامل</v>
      </c>
      <c r="C97" s="123" t="str">
        <f t="shared" si="19"/>
        <v>gm</v>
      </c>
      <c r="D97" s="123">
        <f t="shared" si="19"/>
        <v>5</v>
      </c>
      <c r="E97" s="116">
        <f t="shared" si="23"/>
        <v>10.526315789473685</v>
      </c>
      <c r="F97" s="127">
        <f t="shared" si="20"/>
        <v>0.75</v>
      </c>
      <c r="G97" s="119">
        <f t="shared" si="21"/>
        <v>52.631578947368425</v>
      </c>
      <c r="H97" s="120">
        <f t="shared" si="22"/>
        <v>39.473684210526315</v>
      </c>
    </row>
    <row r="98" spans="1:8" ht="14.25" customHeight="1" x14ac:dyDescent="0.3">
      <c r="A98" s="270" t="s">
        <v>57</v>
      </c>
      <c r="B98" s="123" t="str">
        <f t="shared" si="19"/>
        <v>Ginger - زنجبيل</v>
      </c>
      <c r="C98" s="123" t="str">
        <f t="shared" si="19"/>
        <v>gm</v>
      </c>
      <c r="D98" s="123">
        <f t="shared" si="19"/>
        <v>5</v>
      </c>
      <c r="E98" s="116">
        <f t="shared" si="23"/>
        <v>10.526315789473685</v>
      </c>
      <c r="F98" s="127">
        <f t="shared" si="20"/>
        <v>1</v>
      </c>
      <c r="G98" s="119">
        <f t="shared" si="21"/>
        <v>52.631578947368425</v>
      </c>
      <c r="H98" s="120">
        <f t="shared" si="22"/>
        <v>52.631578947368425</v>
      </c>
    </row>
    <row r="99" spans="1:8" ht="14.25" customHeight="1" x14ac:dyDescent="0.3">
      <c r="A99" s="270" t="s">
        <v>13</v>
      </c>
      <c r="B99" s="123" t="str">
        <f t="shared" si="19"/>
        <v>Garlic - ثوم مقشر</v>
      </c>
      <c r="C99" s="123" t="str">
        <f t="shared" si="19"/>
        <v>gm</v>
      </c>
      <c r="D99" s="123">
        <f t="shared" si="19"/>
        <v>20</v>
      </c>
      <c r="E99" s="116">
        <f t="shared" si="23"/>
        <v>10.526315789473685</v>
      </c>
      <c r="F99" s="127">
        <f t="shared" si="20"/>
        <v>1</v>
      </c>
      <c r="G99" s="119">
        <f t="shared" si="21"/>
        <v>210.5263157894737</v>
      </c>
      <c r="H99" s="120">
        <f t="shared" si="22"/>
        <v>210.5263157894737</v>
      </c>
    </row>
    <row r="100" spans="1:8" ht="14.25" customHeight="1" x14ac:dyDescent="0.3">
      <c r="A100" s="270" t="s">
        <v>63</v>
      </c>
      <c r="B100" s="123" t="str">
        <f t="shared" si="19"/>
        <v>Coriander Leaves - كزبرة خضراء</v>
      </c>
      <c r="C100" s="123" t="str">
        <f t="shared" si="19"/>
        <v>gm</v>
      </c>
      <c r="D100" s="123">
        <f t="shared" si="19"/>
        <v>10</v>
      </c>
      <c r="E100" s="116">
        <f t="shared" si="23"/>
        <v>10.526315789473685</v>
      </c>
      <c r="F100" s="127">
        <f t="shared" si="20"/>
        <v>1</v>
      </c>
      <c r="G100" s="119">
        <f t="shared" si="21"/>
        <v>105.26315789473685</v>
      </c>
      <c r="H100" s="120">
        <f t="shared" si="22"/>
        <v>105.26315789473685</v>
      </c>
    </row>
    <row r="101" spans="1:8" ht="14.25" customHeight="1" x14ac:dyDescent="0.3">
      <c r="A101" s="270" t="s">
        <v>186</v>
      </c>
      <c r="B101" s="123" t="str">
        <f t="shared" si="19"/>
        <v>Honey - عسل</v>
      </c>
      <c r="C101" s="123" t="str">
        <f t="shared" si="19"/>
        <v>gm</v>
      </c>
      <c r="D101" s="123">
        <f t="shared" si="19"/>
        <v>30</v>
      </c>
      <c r="E101" s="116">
        <f t="shared" si="23"/>
        <v>10.526315789473685</v>
      </c>
      <c r="F101" s="127">
        <f t="shared" si="20"/>
        <v>1</v>
      </c>
      <c r="G101" s="119">
        <f t="shared" si="21"/>
        <v>315.78947368421052</v>
      </c>
      <c r="H101" s="120">
        <f t="shared" si="22"/>
        <v>315.78947368421052</v>
      </c>
    </row>
    <row r="102" spans="1:8" ht="14.25" customHeight="1" x14ac:dyDescent="0.3">
      <c r="A102" s="270" t="s">
        <v>97</v>
      </c>
      <c r="B102" s="123" t="str">
        <f t="shared" si="19"/>
        <v>Salt - ملح</v>
      </c>
      <c r="C102" s="123" t="str">
        <f t="shared" si="19"/>
        <v>gm</v>
      </c>
      <c r="D102" s="123">
        <f t="shared" si="19"/>
        <v>13</v>
      </c>
      <c r="E102" s="116">
        <f t="shared" si="23"/>
        <v>10.526315789473685</v>
      </c>
      <c r="F102" s="127">
        <f t="shared" si="20"/>
        <v>0.75</v>
      </c>
      <c r="G102" s="119">
        <f t="shared" si="21"/>
        <v>136.84210526315792</v>
      </c>
      <c r="H102" s="120">
        <f t="shared" si="22"/>
        <v>102.63157894736844</v>
      </c>
    </row>
    <row r="103" spans="1:8" ht="14.25" customHeight="1" x14ac:dyDescent="0.3">
      <c r="A103" s="270" t="s">
        <v>158</v>
      </c>
      <c r="B103" s="123" t="str">
        <f t="shared" si="19"/>
        <v>Cooking Cream - كريمة طبخ</v>
      </c>
      <c r="C103" s="123" t="str">
        <f t="shared" si="19"/>
        <v>ml</v>
      </c>
      <c r="D103" s="123">
        <f t="shared" si="19"/>
        <v>350</v>
      </c>
      <c r="E103" s="116">
        <f t="shared" si="23"/>
        <v>10.526315789473685</v>
      </c>
      <c r="F103" s="127">
        <f t="shared" si="20"/>
        <v>1</v>
      </c>
      <c r="G103" s="119">
        <f t="shared" si="21"/>
        <v>3684.2105263157896</v>
      </c>
      <c r="H103" s="120">
        <f t="shared" si="22"/>
        <v>3684.2105263157896</v>
      </c>
    </row>
    <row r="104" spans="1:8" ht="14.25" customHeight="1" x14ac:dyDescent="0.3">
      <c r="A104" s="270" t="s">
        <v>210</v>
      </c>
      <c r="B104" s="123" t="str">
        <f t="shared" si="19"/>
        <v>Water - ماء</v>
      </c>
      <c r="C104" s="123" t="str">
        <f t="shared" si="19"/>
        <v>ml</v>
      </c>
      <c r="D104" s="123">
        <f t="shared" si="19"/>
        <v>250</v>
      </c>
      <c r="E104" s="116">
        <f t="shared" si="23"/>
        <v>10.526315789473685</v>
      </c>
      <c r="F104" s="127">
        <f t="shared" si="20"/>
        <v>1</v>
      </c>
      <c r="G104" s="119">
        <f t="shared" si="21"/>
        <v>2631.5789473684213</v>
      </c>
      <c r="H104" s="120">
        <f t="shared" si="22"/>
        <v>2631.5789473684213</v>
      </c>
    </row>
    <row r="105" spans="1:8" ht="14.25" customHeight="1" x14ac:dyDescent="0.3">
      <c r="A105" s="270" t="s">
        <v>158</v>
      </c>
      <c r="B105" s="123" t="str">
        <f t="shared" si="19"/>
        <v>Butter - زبدة</v>
      </c>
      <c r="C105" s="123" t="str">
        <f t="shared" si="19"/>
        <v>gm</v>
      </c>
      <c r="D105" s="123">
        <f t="shared" si="19"/>
        <v>50</v>
      </c>
      <c r="E105" s="116">
        <f t="shared" si="23"/>
        <v>10.526315789473685</v>
      </c>
      <c r="F105" s="127">
        <f t="shared" si="20"/>
        <v>1</v>
      </c>
      <c r="G105" s="119">
        <f t="shared" si="21"/>
        <v>526.31578947368428</v>
      </c>
      <c r="H105" s="120">
        <f t="shared" si="22"/>
        <v>526.31578947368428</v>
      </c>
    </row>
    <row r="106" spans="1:8" ht="14.25" customHeight="1" x14ac:dyDescent="0.3">
      <c r="A106" s="270" t="s">
        <v>220</v>
      </c>
      <c r="B106" s="123" t="str">
        <f t="shared" si="19"/>
        <v>Orange Color - لون برتقالي</v>
      </c>
      <c r="C106" s="123" t="str">
        <f t="shared" si="19"/>
        <v>gm</v>
      </c>
      <c r="D106" s="123">
        <f t="shared" si="19"/>
        <v>2</v>
      </c>
      <c r="E106" s="116">
        <f t="shared" si="23"/>
        <v>10.526315789473685</v>
      </c>
      <c r="F106" s="127">
        <f t="shared" si="20"/>
        <v>0.75</v>
      </c>
      <c r="G106" s="119">
        <f t="shared" si="21"/>
        <v>21.05263157894737</v>
      </c>
      <c r="H106" s="120">
        <f t="shared" si="22"/>
        <v>15.789473684210527</v>
      </c>
    </row>
    <row r="107" spans="1:8" ht="14.25" customHeight="1" x14ac:dyDescent="0.3">
      <c r="A107" s="270" t="s">
        <v>97</v>
      </c>
      <c r="B107" s="123" t="str">
        <f t="shared" si="19"/>
        <v>Kasuri Methi - ورق حلبة مجففة</v>
      </c>
      <c r="C107" s="123" t="str">
        <f t="shared" si="19"/>
        <v>gm</v>
      </c>
      <c r="D107" s="123">
        <f t="shared" si="19"/>
        <v>1</v>
      </c>
      <c r="E107" s="116">
        <f t="shared" si="23"/>
        <v>10.526315789473685</v>
      </c>
      <c r="F107" s="127">
        <f t="shared" si="20"/>
        <v>1</v>
      </c>
      <c r="G107" s="119">
        <f t="shared" si="21"/>
        <v>10.526315789473685</v>
      </c>
      <c r="H107" s="120">
        <f t="shared" si="22"/>
        <v>10.526315789473685</v>
      </c>
    </row>
    <row r="108" spans="1:8" ht="14.25" customHeight="1" x14ac:dyDescent="0.3">
      <c r="A108" s="270" t="s">
        <v>97</v>
      </c>
      <c r="B108" s="123" t="str">
        <f t="shared" si="19"/>
        <v>Black Pepper Whole - فلفل أسود حب</v>
      </c>
      <c r="C108" s="123" t="str">
        <f t="shared" si="19"/>
        <v>gm</v>
      </c>
      <c r="D108" s="123">
        <f t="shared" si="19"/>
        <v>1</v>
      </c>
      <c r="E108" s="116">
        <f t="shared" si="23"/>
        <v>10.526315789473685</v>
      </c>
      <c r="F108" s="127">
        <f t="shared" si="20"/>
        <v>1</v>
      </c>
      <c r="G108" s="119">
        <f t="shared" si="21"/>
        <v>10.526315789473685</v>
      </c>
      <c r="H108" s="120">
        <f t="shared" si="22"/>
        <v>10.526315789473685</v>
      </c>
    </row>
    <row r="109" spans="1:8" ht="14.25" customHeight="1" x14ac:dyDescent="0.3">
      <c r="A109" s="270" t="s">
        <v>97</v>
      </c>
      <c r="B109" s="123" t="str">
        <f t="shared" si="19"/>
        <v>Cumin Whole - كمون حب</v>
      </c>
      <c r="C109" s="123" t="str">
        <f t="shared" si="19"/>
        <v>gm</v>
      </c>
      <c r="D109" s="123">
        <f t="shared" si="19"/>
        <v>1</v>
      </c>
      <c r="E109" s="116">
        <f t="shared" si="23"/>
        <v>10.526315789473685</v>
      </c>
      <c r="F109" s="127">
        <f t="shared" si="20"/>
        <v>1</v>
      </c>
      <c r="G109" s="119">
        <f t="shared" si="21"/>
        <v>10.526315789473685</v>
      </c>
      <c r="H109" s="120">
        <f t="shared" si="22"/>
        <v>10.526315789473685</v>
      </c>
    </row>
    <row r="110" spans="1:8" ht="14.25" customHeight="1" x14ac:dyDescent="0.3">
      <c r="A110" s="270" t="s">
        <v>97</v>
      </c>
      <c r="B110" s="123" t="str">
        <f t="shared" si="19"/>
        <v>Cloves Whole - قرنفل حب</v>
      </c>
      <c r="C110" s="123" t="str">
        <f t="shared" si="19"/>
        <v>gm</v>
      </c>
      <c r="D110" s="123">
        <f t="shared" si="19"/>
        <v>1</v>
      </c>
      <c r="E110" s="116">
        <f t="shared" si="23"/>
        <v>10.526315789473685</v>
      </c>
      <c r="F110" s="127">
        <f t="shared" si="20"/>
        <v>1</v>
      </c>
      <c r="G110" s="119">
        <f t="shared" si="21"/>
        <v>10.526315789473685</v>
      </c>
      <c r="H110" s="120">
        <f t="shared" si="22"/>
        <v>10.526315789473685</v>
      </c>
    </row>
    <row r="111" spans="1:8" ht="14.25" customHeight="1" x14ac:dyDescent="0.3">
      <c r="A111" s="270" t="s">
        <v>97</v>
      </c>
      <c r="B111" s="123" t="str">
        <f t="shared" si="19"/>
        <v>Cinnamon Whole - قرفة أعواد</v>
      </c>
      <c r="C111" s="123" t="str">
        <f t="shared" si="19"/>
        <v>gm</v>
      </c>
      <c r="D111" s="123">
        <f t="shared" si="19"/>
        <v>0.5</v>
      </c>
      <c r="E111" s="116">
        <f t="shared" si="23"/>
        <v>10.526315789473685</v>
      </c>
      <c r="F111" s="127">
        <f t="shared" si="20"/>
        <v>1</v>
      </c>
      <c r="G111" s="119">
        <f t="shared" si="21"/>
        <v>5.2631578947368425</v>
      </c>
      <c r="H111" s="120">
        <f t="shared" si="22"/>
        <v>5.2631578947368425</v>
      </c>
    </row>
    <row r="112" spans="1:8" ht="14.25" customHeight="1" x14ac:dyDescent="0.3">
      <c r="A112" s="270" t="s">
        <v>97</v>
      </c>
      <c r="B112" s="123" t="str">
        <f t="shared" si="19"/>
        <v>Cardamom Whole - هيل حب</v>
      </c>
      <c r="C112" s="123" t="str">
        <f t="shared" si="19"/>
        <v>gm</v>
      </c>
      <c r="D112" s="123">
        <f t="shared" si="19"/>
        <v>0.5</v>
      </c>
      <c r="E112" s="116">
        <f t="shared" si="23"/>
        <v>10.526315789473685</v>
      </c>
      <c r="F112" s="127">
        <f t="shared" si="20"/>
        <v>1</v>
      </c>
      <c r="G112" s="119">
        <f t="shared" si="21"/>
        <v>5.2631578947368425</v>
      </c>
      <c r="H112" s="120">
        <f t="shared" si="22"/>
        <v>5.2631578947368425</v>
      </c>
    </row>
    <row r="113" spans="1:8" ht="14.25" customHeight="1" x14ac:dyDescent="0.3">
      <c r="A113" s="270" t="s">
        <v>97</v>
      </c>
      <c r="B113" s="123" t="str">
        <f t="shared" si="19"/>
        <v>Tomato Ketchup - كاتشب طماطم</v>
      </c>
      <c r="C113" s="123" t="str">
        <f t="shared" si="19"/>
        <v>ml</v>
      </c>
      <c r="D113" s="123">
        <f t="shared" si="19"/>
        <v>50</v>
      </c>
      <c r="E113" s="116">
        <f t="shared" si="23"/>
        <v>10.526315789473685</v>
      </c>
      <c r="F113" s="127">
        <f t="shared" si="20"/>
        <v>1</v>
      </c>
      <c r="G113" s="119">
        <f t="shared" si="21"/>
        <v>526.31578947368428</v>
      </c>
      <c r="H113" s="120">
        <f t="shared" si="22"/>
        <v>526.31578947368428</v>
      </c>
    </row>
    <row r="114" spans="1:8" ht="20.25" customHeight="1" x14ac:dyDescent="0.3">
      <c r="A114" s="211"/>
      <c r="B114" s="198" t="s">
        <v>299</v>
      </c>
      <c r="C114" s="200" t="s">
        <v>285</v>
      </c>
      <c r="D114" s="14"/>
      <c r="E114" s="200" t="s">
        <v>300</v>
      </c>
      <c r="F114" s="14"/>
      <c r="G114" s="890" t="s">
        <v>276</v>
      </c>
      <c r="H114" s="890" t="s">
        <v>733</v>
      </c>
    </row>
    <row r="115" spans="1:8" ht="26" customHeight="1" x14ac:dyDescent="0.4">
      <c r="A115" s="211"/>
      <c r="B115" s="199">
        <f>$J$54</f>
        <v>14493.173999999999</v>
      </c>
      <c r="C115" s="199">
        <f>E115+G115</f>
        <v>10000</v>
      </c>
      <c r="D115" s="930"/>
      <c r="E115" s="199">
        <f>$D$54*$S$44</f>
        <v>4347.826</v>
      </c>
      <c r="F115" s="934"/>
      <c r="G115" s="199">
        <f>$D$54*$T$44</f>
        <v>5652.174</v>
      </c>
      <c r="H115" s="199">
        <f>B115+E115</f>
        <v>18841</v>
      </c>
    </row>
    <row r="116" spans="1:8" ht="14.25" customHeight="1" x14ac:dyDescent="0.3">
      <c r="C116" s="262"/>
      <c r="D116" s="262"/>
      <c r="E116" s="262"/>
      <c r="F116" s="262"/>
      <c r="G116" s="262"/>
      <c r="H116" s="262"/>
    </row>
    <row r="117" spans="1:8" ht="14.25" customHeight="1" x14ac:dyDescent="0.3">
      <c r="A117" s="938"/>
      <c r="B117" s="1382" t="str">
        <f>"دجاج هندي بالزبدة  3 / " &amp; COUNTIF($C$53:$C$55, "&gt;0")</f>
        <v>دجاج هندي بالزبدة  3 / 3</v>
      </c>
      <c r="C117" s="1383"/>
      <c r="D117" s="1383"/>
      <c r="E117" s="1383"/>
      <c r="F117" s="1383"/>
      <c r="G117" s="1383"/>
      <c r="H117" s="1383"/>
    </row>
    <row r="118" spans="1:8" ht="17.75" customHeight="1" x14ac:dyDescent="0.3">
      <c r="A118" s="938"/>
      <c r="B118" s="1384" t="str">
        <f>"Butter Chicken 3 / " &amp; COUNTIF($C$53:$C$55, "&gt;0")</f>
        <v>Butter Chicken 3 / 3</v>
      </c>
      <c r="C118" s="1385"/>
      <c r="D118" s="1385"/>
      <c r="E118" s="1385"/>
      <c r="F118" s="1385"/>
      <c r="G118" s="1385"/>
      <c r="H118" s="1385"/>
    </row>
    <row r="119" spans="1:8" ht="52.5" customHeight="1" x14ac:dyDescent="0.3">
      <c r="A119" s="91"/>
      <c r="B119" s="243" t="s">
        <v>253</v>
      </c>
      <c r="C119" s="244" t="s">
        <v>254</v>
      </c>
      <c r="D119" s="245" t="s">
        <v>243</v>
      </c>
      <c r="E119" s="218" t="s">
        <v>246</v>
      </c>
      <c r="F119" s="218" t="s">
        <v>255</v>
      </c>
      <c r="G119" s="245" t="s">
        <v>256</v>
      </c>
      <c r="H119" s="218" t="s">
        <v>257</v>
      </c>
    </row>
    <row r="120" spans="1:8" ht="14.25" customHeight="1" x14ac:dyDescent="0.3">
      <c r="A120" s="270" t="s">
        <v>230</v>
      </c>
      <c r="B120" s="123" t="str">
        <f t="shared" ref="B120:D140" si="24">B5</f>
        <v>Chicken - دجاج</v>
      </c>
      <c r="C120" s="123" t="str">
        <f t="shared" si="24"/>
        <v>gm</v>
      </c>
      <c r="D120" s="123">
        <f t="shared" si="24"/>
        <v>2456.4701694915252</v>
      </c>
      <c r="E120" s="197">
        <f>H55</f>
        <v>9.5541197532024427</v>
      </c>
      <c r="F120" s="127">
        <f t="shared" ref="F120:F140" si="25">F5</f>
        <v>1</v>
      </c>
      <c r="G120" s="119">
        <f t="shared" ref="G120:G140" si="26">D120*E120</f>
        <v>23469.410169491533</v>
      </c>
      <c r="H120" s="120">
        <f t="shared" ref="H120:H140" si="27">G120*F120</f>
        <v>23469.410169491533</v>
      </c>
    </row>
    <row r="121" spans="1:8" ht="14.25" customHeight="1" x14ac:dyDescent="0.3">
      <c r="A121" s="270" t="s">
        <v>13</v>
      </c>
      <c r="B121" s="123" t="str">
        <f t="shared" si="24"/>
        <v>Onion - بصل</v>
      </c>
      <c r="C121" s="123" t="str">
        <f t="shared" si="24"/>
        <v>gm</v>
      </c>
      <c r="D121" s="123">
        <f t="shared" si="24"/>
        <v>80</v>
      </c>
      <c r="E121" s="197">
        <f t="shared" ref="E121:E140" si="28">$C$55</f>
        <v>10.526315789473685</v>
      </c>
      <c r="F121" s="127">
        <f t="shared" si="25"/>
        <v>1</v>
      </c>
      <c r="G121" s="119">
        <f t="shared" si="26"/>
        <v>842.1052631578948</v>
      </c>
      <c r="H121" s="120">
        <f t="shared" si="27"/>
        <v>842.1052631578948</v>
      </c>
    </row>
    <row r="122" spans="1:8" ht="14.25" customHeight="1" x14ac:dyDescent="0.3">
      <c r="A122" s="270" t="s">
        <v>13</v>
      </c>
      <c r="B122" s="123" t="str">
        <f t="shared" si="24"/>
        <v>Tomato - طماطم</v>
      </c>
      <c r="C122" s="123" t="str">
        <f t="shared" si="24"/>
        <v>gm</v>
      </c>
      <c r="D122" s="123">
        <f t="shared" si="24"/>
        <v>400</v>
      </c>
      <c r="E122" s="197">
        <f t="shared" si="28"/>
        <v>10.526315789473685</v>
      </c>
      <c r="F122" s="127">
        <f t="shared" si="25"/>
        <v>1</v>
      </c>
      <c r="G122" s="119">
        <f t="shared" si="26"/>
        <v>4210.5263157894742</v>
      </c>
      <c r="H122" s="120">
        <f t="shared" si="27"/>
        <v>4210.5263157894742</v>
      </c>
    </row>
    <row r="123" spans="1:8" ht="14.25" customHeight="1" x14ac:dyDescent="0.3">
      <c r="A123" s="270" t="s">
        <v>183</v>
      </c>
      <c r="B123" s="123" t="str">
        <f t="shared" si="24"/>
        <v>Cashew Nut - كاجو</v>
      </c>
      <c r="C123" s="123" t="str">
        <f t="shared" si="24"/>
        <v>gm</v>
      </c>
      <c r="D123" s="123">
        <f t="shared" si="24"/>
        <v>50</v>
      </c>
      <c r="E123" s="197">
        <f t="shared" si="28"/>
        <v>10.526315789473685</v>
      </c>
      <c r="F123" s="127">
        <f t="shared" si="25"/>
        <v>0.5</v>
      </c>
      <c r="G123" s="119">
        <f t="shared" si="26"/>
        <v>526.31578947368428</v>
      </c>
      <c r="H123" s="120">
        <f t="shared" si="27"/>
        <v>263.15789473684214</v>
      </c>
    </row>
    <row r="124" spans="1:8" ht="14.25" customHeight="1" x14ac:dyDescent="0.3">
      <c r="A124" s="270" t="s">
        <v>97</v>
      </c>
      <c r="B124" s="123" t="str">
        <f t="shared" si="24"/>
        <v>Kashmiri Red Chilli Whole - فلفل كشميري أحمر كامل</v>
      </c>
      <c r="C124" s="123" t="str">
        <f t="shared" si="24"/>
        <v>gm</v>
      </c>
      <c r="D124" s="123">
        <f t="shared" si="24"/>
        <v>5</v>
      </c>
      <c r="E124" s="197">
        <f t="shared" si="28"/>
        <v>10.526315789473685</v>
      </c>
      <c r="F124" s="127">
        <f t="shared" si="25"/>
        <v>0.75</v>
      </c>
      <c r="G124" s="119">
        <f t="shared" si="26"/>
        <v>52.631578947368425</v>
      </c>
      <c r="H124" s="120">
        <f t="shared" si="27"/>
        <v>39.473684210526315</v>
      </c>
    </row>
    <row r="125" spans="1:8" ht="14.25" customHeight="1" x14ac:dyDescent="0.3">
      <c r="A125" s="270" t="s">
        <v>57</v>
      </c>
      <c r="B125" s="123" t="str">
        <f t="shared" si="24"/>
        <v>Ginger - زنجبيل</v>
      </c>
      <c r="C125" s="123" t="str">
        <f t="shared" si="24"/>
        <v>gm</v>
      </c>
      <c r="D125" s="123">
        <f t="shared" si="24"/>
        <v>5</v>
      </c>
      <c r="E125" s="197">
        <f t="shared" si="28"/>
        <v>10.526315789473685</v>
      </c>
      <c r="F125" s="127">
        <f t="shared" si="25"/>
        <v>1</v>
      </c>
      <c r="G125" s="119">
        <f t="shared" si="26"/>
        <v>52.631578947368425</v>
      </c>
      <c r="H125" s="120">
        <f t="shared" si="27"/>
        <v>52.631578947368425</v>
      </c>
    </row>
    <row r="126" spans="1:8" ht="14.25" customHeight="1" x14ac:dyDescent="0.3">
      <c r="A126" s="270" t="s">
        <v>13</v>
      </c>
      <c r="B126" s="123" t="str">
        <f t="shared" si="24"/>
        <v>Garlic - ثوم مقشر</v>
      </c>
      <c r="C126" s="123" t="str">
        <f t="shared" si="24"/>
        <v>gm</v>
      </c>
      <c r="D126" s="123">
        <f t="shared" si="24"/>
        <v>20</v>
      </c>
      <c r="E126" s="197">
        <f t="shared" si="28"/>
        <v>10.526315789473685</v>
      </c>
      <c r="F126" s="127">
        <f t="shared" si="25"/>
        <v>1</v>
      </c>
      <c r="G126" s="119">
        <f t="shared" si="26"/>
        <v>210.5263157894737</v>
      </c>
      <c r="H126" s="120">
        <f t="shared" si="27"/>
        <v>210.5263157894737</v>
      </c>
    </row>
    <row r="127" spans="1:8" ht="14.25" customHeight="1" x14ac:dyDescent="0.3">
      <c r="A127" s="270" t="s">
        <v>63</v>
      </c>
      <c r="B127" s="123" t="str">
        <f t="shared" si="24"/>
        <v>Coriander Leaves - كزبرة خضراء</v>
      </c>
      <c r="C127" s="123" t="str">
        <f t="shared" si="24"/>
        <v>gm</v>
      </c>
      <c r="D127" s="123">
        <f t="shared" si="24"/>
        <v>10</v>
      </c>
      <c r="E127" s="197">
        <f t="shared" si="28"/>
        <v>10.526315789473685</v>
      </c>
      <c r="F127" s="127">
        <f t="shared" si="25"/>
        <v>1</v>
      </c>
      <c r="G127" s="119">
        <f t="shared" si="26"/>
        <v>105.26315789473685</v>
      </c>
      <c r="H127" s="120">
        <f t="shared" si="27"/>
        <v>105.26315789473685</v>
      </c>
    </row>
    <row r="128" spans="1:8" ht="14.25" customHeight="1" x14ac:dyDescent="0.3">
      <c r="A128" s="270" t="s">
        <v>63</v>
      </c>
      <c r="B128" s="123" t="str">
        <f t="shared" si="24"/>
        <v>Honey - عسل</v>
      </c>
      <c r="C128" s="123" t="str">
        <f t="shared" si="24"/>
        <v>gm</v>
      </c>
      <c r="D128" s="123">
        <f t="shared" si="24"/>
        <v>30</v>
      </c>
      <c r="E128" s="197">
        <f t="shared" si="28"/>
        <v>10.526315789473685</v>
      </c>
      <c r="F128" s="127">
        <f t="shared" si="25"/>
        <v>1</v>
      </c>
      <c r="G128" s="119">
        <f t="shared" si="26"/>
        <v>315.78947368421052</v>
      </c>
      <c r="H128" s="120">
        <f t="shared" si="27"/>
        <v>315.78947368421052</v>
      </c>
    </row>
    <row r="129" spans="1:8" ht="14.25" customHeight="1" x14ac:dyDescent="0.3">
      <c r="A129" s="270" t="s">
        <v>63</v>
      </c>
      <c r="B129" s="123" t="str">
        <f t="shared" si="24"/>
        <v>Salt - ملح</v>
      </c>
      <c r="C129" s="123" t="str">
        <f t="shared" si="24"/>
        <v>gm</v>
      </c>
      <c r="D129" s="123">
        <f t="shared" si="24"/>
        <v>13</v>
      </c>
      <c r="E129" s="197">
        <f t="shared" si="28"/>
        <v>10.526315789473685</v>
      </c>
      <c r="F129" s="127">
        <f t="shared" si="25"/>
        <v>0.75</v>
      </c>
      <c r="G129" s="119">
        <f t="shared" si="26"/>
        <v>136.84210526315792</v>
      </c>
      <c r="H129" s="120">
        <f t="shared" si="27"/>
        <v>102.63157894736844</v>
      </c>
    </row>
    <row r="130" spans="1:8" ht="14.25" customHeight="1" x14ac:dyDescent="0.3">
      <c r="A130" s="270" t="s">
        <v>186</v>
      </c>
      <c r="B130" s="123" t="str">
        <f t="shared" si="24"/>
        <v>Cooking Cream - كريمة طبخ</v>
      </c>
      <c r="C130" s="123" t="str">
        <f t="shared" si="24"/>
        <v>ml</v>
      </c>
      <c r="D130" s="123">
        <f t="shared" si="24"/>
        <v>350</v>
      </c>
      <c r="E130" s="197">
        <f t="shared" si="28"/>
        <v>10.526315789473685</v>
      </c>
      <c r="F130" s="127">
        <f t="shared" si="25"/>
        <v>1</v>
      </c>
      <c r="G130" s="119">
        <f t="shared" si="26"/>
        <v>3684.2105263157896</v>
      </c>
      <c r="H130" s="120">
        <f t="shared" si="27"/>
        <v>3684.2105263157896</v>
      </c>
    </row>
    <row r="131" spans="1:8" ht="14.25" customHeight="1" x14ac:dyDescent="0.3">
      <c r="A131" s="270" t="s">
        <v>97</v>
      </c>
      <c r="B131" s="123" t="str">
        <f t="shared" si="24"/>
        <v>Water - ماء</v>
      </c>
      <c r="C131" s="123" t="str">
        <f t="shared" si="24"/>
        <v>ml</v>
      </c>
      <c r="D131" s="123">
        <f t="shared" si="24"/>
        <v>250</v>
      </c>
      <c r="E131" s="197">
        <f t="shared" si="28"/>
        <v>10.526315789473685</v>
      </c>
      <c r="F131" s="127">
        <f t="shared" si="25"/>
        <v>1</v>
      </c>
      <c r="G131" s="119">
        <f t="shared" si="26"/>
        <v>2631.5789473684213</v>
      </c>
      <c r="H131" s="120">
        <f t="shared" si="27"/>
        <v>2631.5789473684213</v>
      </c>
    </row>
    <row r="132" spans="1:8" ht="14.25" customHeight="1" x14ac:dyDescent="0.3">
      <c r="A132" s="270" t="s">
        <v>158</v>
      </c>
      <c r="B132" s="123" t="str">
        <f t="shared" si="24"/>
        <v>Butter - زبدة</v>
      </c>
      <c r="C132" s="123" t="str">
        <f t="shared" si="24"/>
        <v>gm</v>
      </c>
      <c r="D132" s="123">
        <f t="shared" si="24"/>
        <v>50</v>
      </c>
      <c r="E132" s="197">
        <f t="shared" si="28"/>
        <v>10.526315789473685</v>
      </c>
      <c r="F132" s="127">
        <f t="shared" si="25"/>
        <v>1</v>
      </c>
      <c r="G132" s="119">
        <f t="shared" si="26"/>
        <v>526.31578947368428</v>
      </c>
      <c r="H132" s="120">
        <f t="shared" si="27"/>
        <v>526.31578947368428</v>
      </c>
    </row>
    <row r="133" spans="1:8" ht="14.25" customHeight="1" x14ac:dyDescent="0.3">
      <c r="A133" s="270" t="s">
        <v>210</v>
      </c>
      <c r="B133" s="123" t="str">
        <f t="shared" si="24"/>
        <v>Orange Color - لون برتقالي</v>
      </c>
      <c r="C133" s="123" t="str">
        <f t="shared" si="24"/>
        <v>gm</v>
      </c>
      <c r="D133" s="123">
        <f t="shared" si="24"/>
        <v>2</v>
      </c>
      <c r="E133" s="197">
        <f t="shared" si="28"/>
        <v>10.526315789473685</v>
      </c>
      <c r="F133" s="127">
        <f t="shared" si="25"/>
        <v>0.75</v>
      </c>
      <c r="G133" s="119">
        <f t="shared" si="26"/>
        <v>21.05263157894737</v>
      </c>
      <c r="H133" s="120">
        <f t="shared" si="27"/>
        <v>15.789473684210527</v>
      </c>
    </row>
    <row r="134" spans="1:8" ht="14.25" customHeight="1" x14ac:dyDescent="0.3">
      <c r="A134" s="270" t="s">
        <v>158</v>
      </c>
      <c r="B134" s="123" t="str">
        <f t="shared" si="24"/>
        <v>Kasuri Methi - ورق حلبة مجففة</v>
      </c>
      <c r="C134" s="123" t="str">
        <f t="shared" si="24"/>
        <v>gm</v>
      </c>
      <c r="D134" s="123">
        <f t="shared" si="24"/>
        <v>1</v>
      </c>
      <c r="E134" s="197">
        <f t="shared" si="28"/>
        <v>10.526315789473685</v>
      </c>
      <c r="F134" s="127">
        <f t="shared" si="25"/>
        <v>1</v>
      </c>
      <c r="G134" s="119">
        <f t="shared" si="26"/>
        <v>10.526315789473685</v>
      </c>
      <c r="H134" s="120">
        <f t="shared" si="27"/>
        <v>10.526315789473685</v>
      </c>
    </row>
    <row r="135" spans="1:8" ht="14.25" customHeight="1" x14ac:dyDescent="0.3">
      <c r="A135" s="270" t="s">
        <v>220</v>
      </c>
      <c r="B135" s="123" t="str">
        <f t="shared" si="24"/>
        <v>Black Pepper Whole - فلفل أسود حب</v>
      </c>
      <c r="C135" s="123" t="str">
        <f t="shared" si="24"/>
        <v>gm</v>
      </c>
      <c r="D135" s="123">
        <f t="shared" si="24"/>
        <v>1</v>
      </c>
      <c r="E135" s="197">
        <f t="shared" si="28"/>
        <v>10.526315789473685</v>
      </c>
      <c r="F135" s="127">
        <f t="shared" si="25"/>
        <v>1</v>
      </c>
      <c r="G135" s="119">
        <f t="shared" si="26"/>
        <v>10.526315789473685</v>
      </c>
      <c r="H135" s="120">
        <f t="shared" si="27"/>
        <v>10.526315789473685</v>
      </c>
    </row>
    <row r="136" spans="1:8" ht="14.25" customHeight="1" x14ac:dyDescent="0.3">
      <c r="A136" s="270" t="s">
        <v>97</v>
      </c>
      <c r="B136" s="123" t="str">
        <f t="shared" si="24"/>
        <v>Cumin Whole - كمون حب</v>
      </c>
      <c r="C136" s="123" t="str">
        <f t="shared" si="24"/>
        <v>gm</v>
      </c>
      <c r="D136" s="123">
        <f t="shared" si="24"/>
        <v>1</v>
      </c>
      <c r="E136" s="197">
        <f t="shared" si="28"/>
        <v>10.526315789473685</v>
      </c>
      <c r="F136" s="127">
        <f t="shared" si="25"/>
        <v>1</v>
      </c>
      <c r="G136" s="119">
        <f t="shared" si="26"/>
        <v>10.526315789473685</v>
      </c>
      <c r="H136" s="120">
        <f t="shared" si="27"/>
        <v>10.526315789473685</v>
      </c>
    </row>
    <row r="137" spans="1:8" ht="14.25" customHeight="1" x14ac:dyDescent="0.3">
      <c r="A137" s="270" t="s">
        <v>97</v>
      </c>
      <c r="B137" s="123" t="str">
        <f t="shared" si="24"/>
        <v>Cloves Whole - قرنفل حب</v>
      </c>
      <c r="C137" s="123" t="str">
        <f t="shared" si="24"/>
        <v>gm</v>
      </c>
      <c r="D137" s="123">
        <f t="shared" si="24"/>
        <v>1</v>
      </c>
      <c r="E137" s="197">
        <f t="shared" si="28"/>
        <v>10.526315789473685</v>
      </c>
      <c r="F137" s="127">
        <f t="shared" si="25"/>
        <v>1</v>
      </c>
      <c r="G137" s="119">
        <f t="shared" si="26"/>
        <v>10.526315789473685</v>
      </c>
      <c r="H137" s="120">
        <f t="shared" si="27"/>
        <v>10.526315789473685</v>
      </c>
    </row>
    <row r="138" spans="1:8" ht="14.25" customHeight="1" x14ac:dyDescent="0.3">
      <c r="A138" s="270" t="s">
        <v>220</v>
      </c>
      <c r="B138" s="123" t="str">
        <f t="shared" si="24"/>
        <v>Cinnamon Whole - قرفة أعواد</v>
      </c>
      <c r="C138" s="123" t="str">
        <f t="shared" si="24"/>
        <v>gm</v>
      </c>
      <c r="D138" s="123">
        <f t="shared" si="24"/>
        <v>0.5</v>
      </c>
      <c r="E138" s="197">
        <f t="shared" si="28"/>
        <v>10.526315789473685</v>
      </c>
      <c r="F138" s="127">
        <f t="shared" si="25"/>
        <v>1</v>
      </c>
      <c r="G138" s="119">
        <f t="shared" si="26"/>
        <v>5.2631578947368425</v>
      </c>
      <c r="H138" s="120">
        <f t="shared" si="27"/>
        <v>5.2631578947368425</v>
      </c>
    </row>
    <row r="139" spans="1:8" ht="14.25" customHeight="1" x14ac:dyDescent="0.3">
      <c r="A139" s="270" t="s">
        <v>97</v>
      </c>
      <c r="B139" s="123" t="str">
        <f t="shared" si="24"/>
        <v>Cardamom Whole - هيل حب</v>
      </c>
      <c r="C139" s="123" t="str">
        <f t="shared" si="24"/>
        <v>gm</v>
      </c>
      <c r="D139" s="123">
        <f t="shared" si="24"/>
        <v>0.5</v>
      </c>
      <c r="E139" s="197">
        <f t="shared" si="28"/>
        <v>10.526315789473685</v>
      </c>
      <c r="F139" s="127">
        <f t="shared" si="25"/>
        <v>1</v>
      </c>
      <c r="G139" s="119">
        <f t="shared" si="26"/>
        <v>5.2631578947368425</v>
      </c>
      <c r="H139" s="120">
        <f t="shared" si="27"/>
        <v>5.2631578947368425</v>
      </c>
    </row>
    <row r="140" spans="1:8" ht="14.25" customHeight="1" x14ac:dyDescent="0.3">
      <c r="A140" s="270" t="s">
        <v>97</v>
      </c>
      <c r="B140" s="123" t="str">
        <f t="shared" si="24"/>
        <v>Tomato Ketchup - كاتشب طماطم</v>
      </c>
      <c r="C140" s="123" t="str">
        <f t="shared" si="24"/>
        <v>ml</v>
      </c>
      <c r="D140" s="123">
        <f t="shared" si="24"/>
        <v>50</v>
      </c>
      <c r="E140" s="197">
        <f t="shared" si="28"/>
        <v>10.526315789473685</v>
      </c>
      <c r="F140" s="127">
        <f t="shared" si="25"/>
        <v>1</v>
      </c>
      <c r="G140" s="119">
        <f t="shared" si="26"/>
        <v>526.31578947368428</v>
      </c>
      <c r="H140" s="120">
        <f t="shared" si="27"/>
        <v>526.31578947368428</v>
      </c>
    </row>
    <row r="141" spans="1:8" ht="20.25" customHeight="1" x14ac:dyDescent="0.3">
      <c r="A141" s="211"/>
      <c r="B141" s="198" t="s">
        <v>299</v>
      </c>
      <c r="C141" s="200" t="s">
        <v>285</v>
      </c>
      <c r="D141" s="14"/>
      <c r="E141" s="200" t="s">
        <v>300</v>
      </c>
      <c r="F141" s="14"/>
      <c r="G141" s="890" t="s">
        <v>276</v>
      </c>
      <c r="H141" s="890" t="s">
        <v>733</v>
      </c>
    </row>
    <row r="142" spans="1:8" ht="20" x14ac:dyDescent="0.4">
      <c r="A142" s="211"/>
      <c r="B142" s="199">
        <f>$J$55</f>
        <v>13846.952000000005</v>
      </c>
      <c r="C142" s="199">
        <f>E142+G142</f>
        <v>10000</v>
      </c>
      <c r="D142" s="930"/>
      <c r="E142" s="199">
        <f>$D$55*$S$44</f>
        <v>4347.826</v>
      </c>
      <c r="F142" s="934"/>
      <c r="G142" s="199">
        <f>$D$55*$T$44</f>
        <v>5652.174</v>
      </c>
      <c r="H142" s="199">
        <f>B142+E142</f>
        <v>18194.778000000006</v>
      </c>
    </row>
  </sheetData>
  <mergeCells count="13">
    <mergeCell ref="AE2:AG3"/>
    <mergeCell ref="B118:H118"/>
    <mergeCell ref="R26:U26"/>
    <mergeCell ref="B91:H91"/>
    <mergeCell ref="AN2:AN3"/>
    <mergeCell ref="R25:U25"/>
    <mergeCell ref="B62:H62"/>
    <mergeCell ref="B117:H117"/>
    <mergeCell ref="B90:H90"/>
    <mergeCell ref="F2:F3"/>
    <mergeCell ref="B63:H63"/>
    <mergeCell ref="AK2:AM2"/>
    <mergeCell ref="B35:F35"/>
  </mergeCells>
  <printOptions horizontalCentered="1"/>
  <pageMargins left="0.5" right="0.5" top="1" bottom="0.5" header="0.3" footer="0.511811023622047"/>
  <pageSetup paperSize="9" scale="43" orientation="portrait" r:id="rId1"/>
  <legacyDrawing r:id="rId2"/>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rgb="FFC55A11"/>
    <pageSetUpPr fitToPage="1"/>
  </sheetPr>
  <dimension ref="A1:AT106"/>
  <sheetViews>
    <sheetView topLeftCell="S11" zoomScale="85" zoomScaleNormal="85" workbookViewId="0">
      <selection activeCell="Z24" sqref="Z24"/>
    </sheetView>
  </sheetViews>
  <sheetFormatPr defaultColWidth="12.5" defaultRowHeight="14" x14ac:dyDescent="0.3"/>
  <cols>
    <col min="1" max="1" width="12.5" style="1" customWidth="1"/>
    <col min="2" max="2" width="34.1640625" customWidth="1"/>
    <col min="3" max="3" width="14.5" customWidth="1"/>
    <col min="4" max="4" width="25.83203125" customWidth="1"/>
    <col min="5" max="5" width="16.1640625" customWidth="1"/>
    <col min="6" max="6" width="23.08203125" customWidth="1"/>
    <col min="7" max="7" width="25.1640625" customWidth="1"/>
    <col min="8" max="8" width="36.1640625" customWidth="1"/>
    <col min="12" max="12" width="8.33203125" customWidth="1"/>
    <col min="13" max="13" width="31.83203125" customWidth="1"/>
    <col min="18" max="18" width="38.83203125" bestFit="1" customWidth="1"/>
    <col min="28" max="29" width="13.25" bestFit="1" customWidth="1"/>
    <col min="30" max="30" width="11.33203125" bestFit="1" customWidth="1"/>
    <col min="31" max="34" width="4.1640625" customWidth="1"/>
    <col min="36" max="36" width="37.1640625" customWidth="1"/>
  </cols>
  <sheetData>
    <row r="1" spans="1:46" s="133" customFormat="1" ht="35.25" customHeight="1" x14ac:dyDescent="0.3">
      <c r="A1" s="264"/>
      <c r="B1" s="80" t="s">
        <v>243</v>
      </c>
      <c r="C1" s="81">
        <v>1000</v>
      </c>
      <c r="D1" s="82" t="s">
        <v>244</v>
      </c>
      <c r="E1" s="83">
        <f>T32</f>
        <v>12465</v>
      </c>
      <c r="F1" s="80" t="s">
        <v>245</v>
      </c>
      <c r="G1" s="84">
        <f>E1/C1</f>
        <v>12.465</v>
      </c>
      <c r="H1" s="80" t="s">
        <v>246</v>
      </c>
      <c r="I1" s="85">
        <f>(G1/K1)</f>
        <v>12.984375</v>
      </c>
      <c r="J1" s="86" t="s">
        <v>247</v>
      </c>
      <c r="K1" s="387">
        <v>0.96</v>
      </c>
      <c r="L1" s="387"/>
      <c r="M1" s="89"/>
      <c r="N1" s="90"/>
      <c r="O1" s="91" t="s">
        <v>248</v>
      </c>
      <c r="P1" s="92" t="s">
        <v>311</v>
      </c>
      <c r="Q1" s="93" t="s">
        <v>250</v>
      </c>
      <c r="R1" s="92">
        <v>0.57999999999999996</v>
      </c>
      <c r="Y1" s="91" t="s">
        <v>479</v>
      </c>
      <c r="Z1" s="847">
        <v>26700</v>
      </c>
      <c r="AA1" s="91" t="s">
        <v>600</v>
      </c>
      <c r="AB1" s="847">
        <v>1000</v>
      </c>
      <c r="AC1" s="91" t="s">
        <v>587</v>
      </c>
      <c r="AD1" s="847">
        <v>175</v>
      </c>
      <c r="AE1" s="250"/>
      <c r="AF1" s="252"/>
      <c r="AG1" s="92"/>
      <c r="AI1" s="1"/>
      <c r="AJ1" s="94" t="s">
        <v>262</v>
      </c>
      <c r="AK1" s="94">
        <v>10000</v>
      </c>
      <c r="AL1" s="628" t="s">
        <v>522</v>
      </c>
      <c r="AM1" s="629">
        <f>$S$32</f>
        <v>27700</v>
      </c>
      <c r="AN1" s="94" t="s">
        <v>251</v>
      </c>
      <c r="AO1" s="329">
        <f>((S32)/$R$1)/$AK$1</f>
        <v>4.7758620689655178</v>
      </c>
      <c r="AP1" s="96"/>
    </row>
    <row r="2" spans="1:46" ht="15.75" customHeight="1" x14ac:dyDescent="0.3">
      <c r="A2" s="265"/>
      <c r="B2" s="98"/>
      <c r="C2" s="98"/>
      <c r="D2" s="98"/>
      <c r="E2" s="98"/>
      <c r="F2" s="1408" t="s">
        <v>131</v>
      </c>
      <c r="G2" s="98"/>
      <c r="H2" s="98"/>
      <c r="I2" s="98"/>
      <c r="J2" s="98"/>
      <c r="K2" s="98"/>
      <c r="L2" s="293"/>
      <c r="M2" s="100"/>
      <c r="N2" s="100"/>
      <c r="O2" s="100"/>
      <c r="P2" s="100"/>
      <c r="Q2" s="100"/>
      <c r="R2" s="100"/>
      <c r="AC2" s="99"/>
      <c r="AD2" s="99"/>
      <c r="AE2" s="1391"/>
      <c r="AF2" s="1422"/>
      <c r="AG2" s="1422"/>
      <c r="AI2" s="1"/>
      <c r="AJ2" s="101"/>
      <c r="AK2" s="1386" t="s">
        <v>461</v>
      </c>
      <c r="AL2" s="1386"/>
      <c r="AM2" s="1386"/>
      <c r="AN2" s="1386"/>
      <c r="AO2" s="101"/>
      <c r="AP2" s="101"/>
    </row>
    <row r="3" spans="1:46" ht="15.75" customHeight="1" x14ac:dyDescent="0.3">
      <c r="A3" s="265"/>
      <c r="B3" s="103"/>
      <c r="C3" s="103"/>
      <c r="D3" s="103"/>
      <c r="E3" s="103"/>
      <c r="F3" s="1388"/>
      <c r="G3" s="103"/>
      <c r="H3" s="103"/>
      <c r="I3" s="103"/>
      <c r="J3" s="103"/>
      <c r="K3" s="103"/>
      <c r="L3" s="293"/>
      <c r="M3" s="100"/>
      <c r="N3" s="100"/>
      <c r="O3" s="100"/>
      <c r="P3" s="100"/>
      <c r="Q3" s="100"/>
      <c r="R3" s="100"/>
      <c r="AC3" s="99"/>
      <c r="AD3" s="99"/>
      <c r="AE3" s="1422"/>
      <c r="AF3" s="1422"/>
      <c r="AG3" s="1422"/>
      <c r="AI3" s="1"/>
      <c r="AJ3" s="101"/>
      <c r="AK3" s="101"/>
      <c r="AL3" s="101"/>
      <c r="AM3" s="101"/>
      <c r="AN3" s="1422"/>
      <c r="AO3" s="101"/>
      <c r="AP3" s="101"/>
    </row>
    <row r="4" spans="1:46" ht="46.5" customHeight="1" x14ac:dyDescent="0.3">
      <c r="A4" s="91" t="s">
        <v>1</v>
      </c>
      <c r="B4" s="91" t="s">
        <v>253</v>
      </c>
      <c r="C4" s="107" t="s">
        <v>254</v>
      </c>
      <c r="D4" s="91" t="s">
        <v>243</v>
      </c>
      <c r="E4" s="108" t="s">
        <v>246</v>
      </c>
      <c r="F4" s="108" t="s">
        <v>255</v>
      </c>
      <c r="G4" s="91" t="s">
        <v>256</v>
      </c>
      <c r="H4" s="331" t="s">
        <v>347</v>
      </c>
      <c r="I4" s="91" t="s">
        <v>258</v>
      </c>
      <c r="J4" s="91" t="s">
        <v>259</v>
      </c>
      <c r="K4" s="91" t="s">
        <v>260</v>
      </c>
      <c r="L4" s="91" t="s">
        <v>261</v>
      </c>
      <c r="M4" s="100"/>
      <c r="N4" s="100"/>
      <c r="O4" s="100"/>
      <c r="P4" s="100"/>
      <c r="Q4" s="100"/>
      <c r="R4" s="100"/>
      <c r="AC4" s="251"/>
      <c r="AD4" s="253"/>
      <c r="AE4" s="251"/>
      <c r="AF4" s="251"/>
      <c r="AG4" s="251"/>
      <c r="AI4" s="1"/>
      <c r="AJ4" s="94" t="s">
        <v>253</v>
      </c>
      <c r="AK4" s="530" t="s">
        <v>254</v>
      </c>
      <c r="AL4" s="94" t="s">
        <v>262</v>
      </c>
      <c r="AM4" s="94" t="s">
        <v>246</v>
      </c>
      <c r="AN4" s="94" t="s">
        <v>255</v>
      </c>
      <c r="AO4" s="94" t="s">
        <v>256</v>
      </c>
      <c r="AP4" s="94" t="s">
        <v>347</v>
      </c>
      <c r="AQ4" s="91" t="s">
        <v>258</v>
      </c>
      <c r="AR4" s="91" t="s">
        <v>259</v>
      </c>
      <c r="AS4" s="91" t="s">
        <v>260</v>
      </c>
      <c r="AT4" s="91" t="s">
        <v>261</v>
      </c>
    </row>
    <row r="5" spans="1:46" ht="14.25" customHeight="1" x14ac:dyDescent="0.3">
      <c r="A5" s="266" t="s">
        <v>230</v>
      </c>
      <c r="B5" s="267" t="s">
        <v>237</v>
      </c>
      <c r="C5" s="115" t="s">
        <v>14</v>
      </c>
      <c r="D5" s="121">
        <f>I51/10</f>
        <v>3831.3793103448274</v>
      </c>
      <c r="E5" s="117">
        <f>H52</f>
        <v>12.465124651246514</v>
      </c>
      <c r="F5" s="127">
        <v>1</v>
      </c>
      <c r="G5" s="119">
        <f t="shared" ref="G5:G21" si="0">D5*E5</f>
        <v>47758.620689655174</v>
      </c>
      <c r="H5" s="120">
        <f t="shared" ref="H5:H21" si="1">G5*F5</f>
        <v>47758.620689655174</v>
      </c>
      <c r="I5" s="81">
        <f>VLOOKUP(B5,All_Ingredients!$A$1:$F$151,6,FALSE())</f>
        <v>0.99</v>
      </c>
      <c r="J5" s="119">
        <f>VLOOKUP(B5,All_Ingredients!$A$1:$J$151,10,FALSE())</f>
        <v>0</v>
      </c>
      <c r="K5" s="122">
        <f t="shared" ref="K5" si="2">(H5/I5)/1000</f>
        <v>48.241030999651692</v>
      </c>
      <c r="L5" s="122">
        <f t="shared" ref="L5" si="3">K5*J5</f>
        <v>0</v>
      </c>
      <c r="M5" s="100"/>
      <c r="N5" s="100"/>
      <c r="O5" s="100"/>
      <c r="P5" s="100"/>
      <c r="Q5" s="100"/>
      <c r="R5" s="100"/>
      <c r="AC5" s="92"/>
      <c r="AD5" s="133"/>
      <c r="AE5" s="254"/>
      <c r="AF5" s="135"/>
      <c r="AG5" s="136"/>
      <c r="AI5" s="1"/>
      <c r="AJ5" s="267" t="s">
        <v>237</v>
      </c>
      <c r="AK5" s="124" t="s">
        <v>238</v>
      </c>
      <c r="AL5" s="125">
        <v>10</v>
      </c>
      <c r="AM5" s="538">
        <f t="shared" ref="AM5:AM15" si="4">$AO$1</f>
        <v>4.7758620689655178</v>
      </c>
      <c r="AN5" s="127">
        <v>1</v>
      </c>
      <c r="AO5" s="119">
        <f t="shared" ref="AO5:AO15" si="5">AL5*AM5</f>
        <v>47.758620689655174</v>
      </c>
      <c r="AP5" s="120">
        <f t="shared" ref="AP5:AP15" si="6">AO5*AN5</f>
        <v>47.758620689655174</v>
      </c>
      <c r="AQ5" s="295"/>
      <c r="AR5" s="1171"/>
      <c r="AS5" s="175"/>
      <c r="AT5" s="1172"/>
    </row>
    <row r="6" spans="1:46" x14ac:dyDescent="0.3">
      <c r="A6" s="270" t="s">
        <v>13</v>
      </c>
      <c r="B6" s="114" t="s">
        <v>12</v>
      </c>
      <c r="C6" s="124" t="s">
        <v>14</v>
      </c>
      <c r="D6" s="125">
        <v>580</v>
      </c>
      <c r="E6" s="126">
        <f t="shared" ref="E6:E21" si="7">$I$1</f>
        <v>12.984375</v>
      </c>
      <c r="F6" s="127">
        <v>0.95</v>
      </c>
      <c r="G6" s="119">
        <f t="shared" si="0"/>
        <v>7530.9375</v>
      </c>
      <c r="H6" s="120">
        <f t="shared" si="1"/>
        <v>7154.390625</v>
      </c>
      <c r="I6" s="81">
        <f>VLOOKUP(B6,All_Ingredients!$A$1:$F$151,6,FALSE())</f>
        <v>0.9</v>
      </c>
      <c r="J6" s="119">
        <f>VLOOKUP(B6,All_Ingredients!$A$1:$J$151,10,FALSE())</f>
        <v>3</v>
      </c>
      <c r="K6" s="122">
        <f t="shared" ref="K6:K21" si="8">(H6/I6)/1000</f>
        <v>7.9493229166666657</v>
      </c>
      <c r="L6" s="122">
        <f t="shared" ref="L6:L21" si="9">K6*J6</f>
        <v>23.847968749999996</v>
      </c>
      <c r="AI6" s="1" t="s">
        <v>97</v>
      </c>
      <c r="AJ6" s="327" t="s">
        <v>149</v>
      </c>
      <c r="AK6" s="124" t="s">
        <v>14</v>
      </c>
      <c r="AL6" s="125">
        <v>50</v>
      </c>
      <c r="AM6" s="538">
        <f t="shared" si="4"/>
        <v>4.7758620689655178</v>
      </c>
      <c r="AN6" s="127">
        <v>1</v>
      </c>
      <c r="AO6" s="119">
        <f t="shared" si="5"/>
        <v>238.7931034482759</v>
      </c>
      <c r="AP6" s="120">
        <f t="shared" si="6"/>
        <v>238.7931034482759</v>
      </c>
      <c r="AQ6" s="1172">
        <f>VLOOKUP(AJ6,Marination_Ordering!$A:$J,6,FALSE)</f>
        <v>1</v>
      </c>
      <c r="AR6" s="1172">
        <f>VLOOKUP(AJ6,Marination_Ordering!$A:$J,10,FALSE)</f>
        <v>18</v>
      </c>
      <c r="AS6" s="175">
        <f>AP6/AQ6</f>
        <v>238.7931034482759</v>
      </c>
      <c r="AT6" s="1172">
        <f>AR6*(AS6/1000)</f>
        <v>4.2982758620689658</v>
      </c>
    </row>
    <row r="7" spans="1:46" x14ac:dyDescent="0.3">
      <c r="A7" s="270" t="s">
        <v>13</v>
      </c>
      <c r="B7" s="114" t="s">
        <v>792</v>
      </c>
      <c r="C7" s="124" t="s">
        <v>14</v>
      </c>
      <c r="D7" s="125">
        <v>15</v>
      </c>
      <c r="E7" s="126">
        <f t="shared" si="7"/>
        <v>12.984375</v>
      </c>
      <c r="F7" s="127">
        <v>0.95</v>
      </c>
      <c r="G7" s="119">
        <f t="shared" si="0"/>
        <v>194.765625</v>
      </c>
      <c r="H7" s="120">
        <f t="shared" si="1"/>
        <v>185.02734375</v>
      </c>
      <c r="I7" s="81">
        <f>VLOOKUP(B7,All_Ingredients!$A$1:$F$151,6,FALSE())</f>
        <v>1</v>
      </c>
      <c r="J7" s="119">
        <f>VLOOKUP(B7,All_Ingredients!$A$1:$J$151,10,FALSE())</f>
        <v>10.5</v>
      </c>
      <c r="K7" s="122">
        <f t="shared" si="8"/>
        <v>0.18502734374999999</v>
      </c>
      <c r="L7" s="122">
        <f t="shared" si="9"/>
        <v>1.942787109375</v>
      </c>
      <c r="AI7" s="1" t="s">
        <v>97</v>
      </c>
      <c r="AJ7" s="327" t="s">
        <v>154</v>
      </c>
      <c r="AK7" s="124" t="s">
        <v>14</v>
      </c>
      <c r="AL7" s="125">
        <v>50</v>
      </c>
      <c r="AM7" s="538">
        <f t="shared" si="4"/>
        <v>4.7758620689655178</v>
      </c>
      <c r="AN7" s="127">
        <v>1</v>
      </c>
      <c r="AO7" s="119">
        <f t="shared" si="5"/>
        <v>238.7931034482759</v>
      </c>
      <c r="AP7" s="120">
        <f t="shared" si="6"/>
        <v>238.7931034482759</v>
      </c>
      <c r="AQ7" s="1172">
        <f>VLOOKUP(AJ7,Marination_Ordering!$A:$J,6,FALSE)</f>
        <v>1</v>
      </c>
      <c r="AR7" s="1172">
        <f>VLOOKUP(AJ7,Marination_Ordering!$A:$J,10,FALSE)</f>
        <v>10</v>
      </c>
      <c r="AS7" s="175">
        <f t="shared" ref="AS7:AS8" si="10">AP7/AQ7</f>
        <v>238.7931034482759</v>
      </c>
      <c r="AT7" s="1172">
        <f t="shared" ref="AT7:AT8" si="11">AR7*(AS7/1000)</f>
        <v>2.3879310344827589</v>
      </c>
    </row>
    <row r="8" spans="1:46" ht="14.25" customHeight="1" x14ac:dyDescent="0.3">
      <c r="A8" s="270" t="s">
        <v>97</v>
      </c>
      <c r="B8" s="114" t="s">
        <v>112</v>
      </c>
      <c r="C8" s="124" t="s">
        <v>14</v>
      </c>
      <c r="D8" s="125">
        <v>10</v>
      </c>
      <c r="E8" s="126">
        <f t="shared" si="7"/>
        <v>12.984375</v>
      </c>
      <c r="F8" s="127">
        <v>0.75</v>
      </c>
      <c r="G8" s="119">
        <f t="shared" si="0"/>
        <v>129.84375</v>
      </c>
      <c r="H8" s="120">
        <f t="shared" si="1"/>
        <v>97.3828125</v>
      </c>
      <c r="I8" s="81">
        <f>VLOOKUP(B8,All_Ingredients!$A$1:$F$151,6,FALSE())</f>
        <v>1</v>
      </c>
      <c r="J8" s="119">
        <f>VLOOKUP(B8,All_Ingredients!$A$1:$J$151,10,FALSE())</f>
        <v>26.5</v>
      </c>
      <c r="K8" s="122">
        <f t="shared" si="8"/>
        <v>9.7382812499999999E-2</v>
      </c>
      <c r="L8" s="122">
        <f t="shared" si="9"/>
        <v>2.5806445312499999</v>
      </c>
      <c r="AI8" s="1" t="s">
        <v>63</v>
      </c>
      <c r="AJ8" s="327" t="s">
        <v>66</v>
      </c>
      <c r="AK8" s="124" t="s">
        <v>14</v>
      </c>
      <c r="AL8" s="125">
        <v>50</v>
      </c>
      <c r="AM8" s="538">
        <f t="shared" si="4"/>
        <v>4.7758620689655178</v>
      </c>
      <c r="AN8" s="127">
        <v>1</v>
      </c>
      <c r="AO8" s="119">
        <f t="shared" si="5"/>
        <v>238.7931034482759</v>
      </c>
      <c r="AP8" s="120">
        <f t="shared" si="6"/>
        <v>238.7931034482759</v>
      </c>
      <c r="AQ8" s="1172">
        <f>VLOOKUP(AJ8,Marination_Ordering!$A:$J,6,FALSE)</f>
        <v>0.65</v>
      </c>
      <c r="AR8" s="1172">
        <f>VLOOKUP(AJ8,Marination_Ordering!$A:$J,10,FALSE)</f>
        <v>3.5</v>
      </c>
      <c r="AS8" s="175">
        <f t="shared" si="10"/>
        <v>367.37400530503982</v>
      </c>
      <c r="AT8" s="1172">
        <f t="shared" si="11"/>
        <v>1.2858090185676394</v>
      </c>
    </row>
    <row r="9" spans="1:46" x14ac:dyDescent="0.3">
      <c r="A9" s="270" t="s">
        <v>97</v>
      </c>
      <c r="B9" s="114" t="s">
        <v>104</v>
      </c>
      <c r="C9" s="124" t="s">
        <v>14</v>
      </c>
      <c r="D9" s="125">
        <v>3</v>
      </c>
      <c r="E9" s="126">
        <f t="shared" si="7"/>
        <v>12.984375</v>
      </c>
      <c r="F9" s="127">
        <v>0.75</v>
      </c>
      <c r="G9" s="119">
        <f t="shared" si="0"/>
        <v>38.953125</v>
      </c>
      <c r="H9" s="120">
        <f t="shared" si="1"/>
        <v>29.21484375</v>
      </c>
      <c r="I9" s="81">
        <f>VLOOKUP(B9,All_Ingredients!$A$1:$F$151,6,FALSE())</f>
        <v>1</v>
      </c>
      <c r="J9" s="119">
        <f>VLOOKUP(B9,All_Ingredients!$A$1:$J$151,10,FALSE())</f>
        <v>47</v>
      </c>
      <c r="K9" s="122">
        <f t="shared" si="8"/>
        <v>2.921484375E-2</v>
      </c>
      <c r="L9" s="122">
        <f t="shared" si="9"/>
        <v>1.3730976562499999</v>
      </c>
      <c r="AI9" s="1" t="s">
        <v>97</v>
      </c>
      <c r="AJ9" s="327" t="s">
        <v>790</v>
      </c>
      <c r="AK9" s="124" t="s">
        <v>14</v>
      </c>
      <c r="AL9" s="125">
        <v>100</v>
      </c>
      <c r="AM9" s="538">
        <f t="shared" si="4"/>
        <v>4.7758620689655178</v>
      </c>
      <c r="AN9" s="127">
        <v>1</v>
      </c>
      <c r="AO9" s="119">
        <f t="shared" si="5"/>
        <v>477.5862068965518</v>
      </c>
      <c r="AP9" s="120">
        <f t="shared" si="6"/>
        <v>477.5862068965518</v>
      </c>
      <c r="AQ9" s="1172">
        <f>VLOOKUP(AJ9,Marination_Ordering!$A:$J,6,FALSE)</f>
        <v>1</v>
      </c>
      <c r="AR9" s="1172">
        <f>VLOOKUP(AJ9,Marination_Ordering!$A:$J,10,FALSE)</f>
        <v>43.333333333333336</v>
      </c>
      <c r="AS9" s="175">
        <f t="shared" ref="AS9:AS15" si="12">AP9/AQ9</f>
        <v>477.5862068965518</v>
      </c>
      <c r="AT9" s="1172">
        <f t="shared" ref="AT9:AT15" si="13">AR9*(AS9/1000)</f>
        <v>20.695402298850578</v>
      </c>
    </row>
    <row r="10" spans="1:46" ht="14.25" customHeight="1" x14ac:dyDescent="0.3">
      <c r="A10" s="270" t="s">
        <v>97</v>
      </c>
      <c r="B10" s="114" t="s">
        <v>108</v>
      </c>
      <c r="C10" s="124" t="s">
        <v>14</v>
      </c>
      <c r="D10" s="125">
        <v>5</v>
      </c>
      <c r="E10" s="126">
        <f t="shared" si="7"/>
        <v>12.984375</v>
      </c>
      <c r="F10" s="127">
        <v>0.9</v>
      </c>
      <c r="G10" s="119">
        <f t="shared" si="0"/>
        <v>64.921875</v>
      </c>
      <c r="H10" s="120">
        <f t="shared" si="1"/>
        <v>58.4296875</v>
      </c>
      <c r="I10" s="81">
        <f>VLOOKUP(B10,All_Ingredients!$A$1:$F$151,6,FALSE())</f>
        <v>1</v>
      </c>
      <c r="J10" s="119">
        <f>VLOOKUP(B10,All_Ingredients!$A$1:$J$151,10,FALSE())</f>
        <v>15</v>
      </c>
      <c r="K10" s="122">
        <f t="shared" si="8"/>
        <v>5.8429687500000001E-2</v>
      </c>
      <c r="L10" s="122">
        <f t="shared" si="9"/>
        <v>0.87644531250000002</v>
      </c>
      <c r="AI10" s="1" t="s">
        <v>97</v>
      </c>
      <c r="AJ10" s="327" t="s">
        <v>96</v>
      </c>
      <c r="AK10" s="124" t="s">
        <v>14</v>
      </c>
      <c r="AL10" s="125">
        <v>25</v>
      </c>
      <c r="AM10" s="538">
        <f t="shared" si="4"/>
        <v>4.7758620689655178</v>
      </c>
      <c r="AN10" s="127">
        <v>1</v>
      </c>
      <c r="AO10" s="119">
        <f t="shared" si="5"/>
        <v>119.39655172413795</v>
      </c>
      <c r="AP10" s="120">
        <f t="shared" si="6"/>
        <v>119.39655172413795</v>
      </c>
      <c r="AQ10" s="1172">
        <f>VLOOKUP(AJ10,Marination_Ordering!$A:$J,6,FALSE)</f>
        <v>1</v>
      </c>
      <c r="AR10" s="1172">
        <f>VLOOKUP(AJ10,Marination_Ordering!$A:$J,10,FALSE)</f>
        <v>0.74</v>
      </c>
      <c r="AS10" s="175">
        <f t="shared" si="12"/>
        <v>119.39655172413795</v>
      </c>
      <c r="AT10" s="1172">
        <f t="shared" si="13"/>
        <v>8.8353448275862084E-2</v>
      </c>
    </row>
    <row r="11" spans="1:46" x14ac:dyDescent="0.3">
      <c r="A11" s="270" t="s">
        <v>97</v>
      </c>
      <c r="B11" s="114" t="s">
        <v>110</v>
      </c>
      <c r="C11" s="124" t="s">
        <v>14</v>
      </c>
      <c r="D11" s="125">
        <v>5</v>
      </c>
      <c r="E11" s="126">
        <f t="shared" si="7"/>
        <v>12.984375</v>
      </c>
      <c r="F11" s="127">
        <v>0.9</v>
      </c>
      <c r="G11" s="119">
        <f t="shared" si="0"/>
        <v>64.921875</v>
      </c>
      <c r="H11" s="120">
        <f t="shared" si="1"/>
        <v>58.4296875</v>
      </c>
      <c r="I11" s="81">
        <f>VLOOKUP(B11,All_Ingredients!$A$1:$F$151,6,FALSE())</f>
        <v>1</v>
      </c>
      <c r="J11" s="119">
        <f>VLOOKUP(B11,All_Ingredients!$A$1:$J$151,10,FALSE())</f>
        <v>8</v>
      </c>
      <c r="K11" s="122">
        <f t="shared" si="8"/>
        <v>5.8429687500000001E-2</v>
      </c>
      <c r="L11" s="122">
        <f t="shared" si="9"/>
        <v>0.46743750000000001</v>
      </c>
      <c r="AI11" s="1" t="s">
        <v>97</v>
      </c>
      <c r="AJ11" s="327" t="s">
        <v>100</v>
      </c>
      <c r="AK11" s="124" t="s">
        <v>14</v>
      </c>
      <c r="AL11" s="125">
        <v>25</v>
      </c>
      <c r="AM11" s="538">
        <f t="shared" si="4"/>
        <v>4.7758620689655178</v>
      </c>
      <c r="AN11" s="127">
        <v>1</v>
      </c>
      <c r="AO11" s="119">
        <f t="shared" si="5"/>
        <v>119.39655172413795</v>
      </c>
      <c r="AP11" s="120">
        <f t="shared" si="6"/>
        <v>119.39655172413795</v>
      </c>
      <c r="AQ11" s="1172">
        <f>VLOOKUP(AJ11,Marination_Ordering!$A:$J,6,FALSE)</f>
        <v>1</v>
      </c>
      <c r="AR11" s="1172">
        <f>VLOOKUP(AJ11,Marination_Ordering!$A:$J,10,FALSE)</f>
        <v>38</v>
      </c>
      <c r="AS11" s="175">
        <f t="shared" si="12"/>
        <v>119.39655172413795</v>
      </c>
      <c r="AT11" s="1172">
        <f t="shared" si="13"/>
        <v>4.5370689655172418</v>
      </c>
    </row>
    <row r="12" spans="1:46" x14ac:dyDescent="0.3">
      <c r="A12" s="270" t="s">
        <v>63</v>
      </c>
      <c r="B12" s="114" t="s">
        <v>62</v>
      </c>
      <c r="C12" s="124" t="s">
        <v>14</v>
      </c>
      <c r="D12" s="125">
        <v>10</v>
      </c>
      <c r="E12" s="126">
        <f t="shared" si="7"/>
        <v>12.984375</v>
      </c>
      <c r="F12" s="127">
        <v>1</v>
      </c>
      <c r="G12" s="119">
        <f t="shared" si="0"/>
        <v>129.84375</v>
      </c>
      <c r="H12" s="120">
        <f t="shared" si="1"/>
        <v>129.84375</v>
      </c>
      <c r="I12" s="81">
        <f>VLOOKUP(B12,All_Ingredients!$A$1:$F$151,6,FALSE())</f>
        <v>0.94</v>
      </c>
      <c r="J12" s="119">
        <f>VLOOKUP(B12,All_Ingredients!$A$1:$J$151,10,FALSE())</f>
        <v>3.6363636363636367</v>
      </c>
      <c r="K12" s="122">
        <f t="shared" si="8"/>
        <v>0.13813164893617022</v>
      </c>
      <c r="L12" s="122">
        <f t="shared" si="9"/>
        <v>0.5022969052224372</v>
      </c>
      <c r="AI12" s="1" t="s">
        <v>97</v>
      </c>
      <c r="AJ12" s="327" t="s">
        <v>110</v>
      </c>
      <c r="AK12" s="124" t="s">
        <v>14</v>
      </c>
      <c r="AL12" s="125">
        <v>50</v>
      </c>
      <c r="AM12" s="538">
        <f t="shared" si="4"/>
        <v>4.7758620689655178</v>
      </c>
      <c r="AN12" s="127">
        <v>1</v>
      </c>
      <c r="AO12" s="119">
        <f t="shared" si="5"/>
        <v>238.7931034482759</v>
      </c>
      <c r="AP12" s="120">
        <f t="shared" si="6"/>
        <v>238.7931034482759</v>
      </c>
      <c r="AQ12" s="1172">
        <f>VLOOKUP(AJ12,Marination_Ordering!$A:$J,6,FALSE)</f>
        <v>1</v>
      </c>
      <c r="AR12" s="1172">
        <f>VLOOKUP(AJ12,Marination_Ordering!$A:$J,10,FALSE)</f>
        <v>8</v>
      </c>
      <c r="AS12" s="175">
        <f t="shared" si="12"/>
        <v>238.7931034482759</v>
      </c>
      <c r="AT12" s="1172">
        <f t="shared" si="13"/>
        <v>1.9103448275862072</v>
      </c>
    </row>
    <row r="13" spans="1:46" ht="14.25" customHeight="1" x14ac:dyDescent="0.3">
      <c r="A13" s="270" t="s">
        <v>158</v>
      </c>
      <c r="B13" s="114" t="s">
        <v>168</v>
      </c>
      <c r="C13" s="124" t="s">
        <v>14</v>
      </c>
      <c r="D13" s="125">
        <v>400</v>
      </c>
      <c r="E13" s="126">
        <f t="shared" si="7"/>
        <v>12.984375</v>
      </c>
      <c r="F13" s="127">
        <v>1</v>
      </c>
      <c r="G13" s="119">
        <f t="shared" si="0"/>
        <v>5193.75</v>
      </c>
      <c r="H13" s="120">
        <f t="shared" si="1"/>
        <v>5193.75</v>
      </c>
      <c r="I13" s="81">
        <f>VLOOKUP(B13,All_Ingredients!$A$1:$F$151,6,FALSE())</f>
        <v>1</v>
      </c>
      <c r="J13" s="119">
        <f>VLOOKUP(B13,All_Ingredients!$A$1:$J$151,10,FALSE())</f>
        <v>6.6959999999999997</v>
      </c>
      <c r="K13" s="122">
        <f t="shared" si="8"/>
        <v>5.1937499999999996</v>
      </c>
      <c r="L13" s="122">
        <f t="shared" si="9"/>
        <v>34.777349999999998</v>
      </c>
      <c r="AI13" s="1" t="s">
        <v>97</v>
      </c>
      <c r="AJ13" s="327" t="s">
        <v>122</v>
      </c>
      <c r="AK13" s="124" t="s">
        <v>14</v>
      </c>
      <c r="AL13" s="125">
        <v>50</v>
      </c>
      <c r="AM13" s="538">
        <f t="shared" si="4"/>
        <v>4.7758620689655178</v>
      </c>
      <c r="AN13" s="127">
        <v>1</v>
      </c>
      <c r="AO13" s="119">
        <f t="shared" si="5"/>
        <v>238.7931034482759</v>
      </c>
      <c r="AP13" s="120">
        <f t="shared" si="6"/>
        <v>238.7931034482759</v>
      </c>
      <c r="AQ13" s="1172">
        <f>VLOOKUP(AJ13,Marination_Ordering!$A:$J,6,FALSE)</f>
        <v>1</v>
      </c>
      <c r="AR13" s="1172">
        <f>VLOOKUP(AJ13,Marination_Ordering!$A:$J,10,FALSE)</f>
        <v>15</v>
      </c>
      <c r="AS13" s="175">
        <f t="shared" si="12"/>
        <v>238.7931034482759</v>
      </c>
      <c r="AT13" s="1172">
        <f t="shared" si="13"/>
        <v>3.5818965517241383</v>
      </c>
    </row>
    <row r="14" spans="1:46" x14ac:dyDescent="0.3">
      <c r="A14" s="270" t="s">
        <v>158</v>
      </c>
      <c r="B14" s="114" t="s">
        <v>171</v>
      </c>
      <c r="C14" s="124" t="s">
        <v>165</v>
      </c>
      <c r="D14" s="125">
        <v>450</v>
      </c>
      <c r="E14" s="126">
        <f t="shared" si="7"/>
        <v>12.984375</v>
      </c>
      <c r="F14" s="127">
        <v>1</v>
      </c>
      <c r="G14" s="119">
        <f t="shared" si="0"/>
        <v>5842.96875</v>
      </c>
      <c r="H14" s="120">
        <f t="shared" si="1"/>
        <v>5842.96875</v>
      </c>
      <c r="I14" s="81">
        <f>VLOOKUP(B14,All_Ingredients!$A$1:$F$151,6,FALSE())</f>
        <v>1</v>
      </c>
      <c r="J14" s="119">
        <f>VLOOKUP(B14,All_Ingredients!$A$1:$J$151,10,FALSE())</f>
        <v>12.666666666666666</v>
      </c>
      <c r="K14" s="122">
        <f t="shared" si="8"/>
        <v>5.8429687499999998</v>
      </c>
      <c r="L14" s="122">
        <f t="shared" si="9"/>
        <v>74.010937499999997</v>
      </c>
      <c r="AI14" s="1" t="s">
        <v>97</v>
      </c>
      <c r="AJ14" s="327" t="s">
        <v>108</v>
      </c>
      <c r="AK14" s="124" t="s">
        <v>14</v>
      </c>
      <c r="AL14" s="125">
        <v>50</v>
      </c>
      <c r="AM14" s="538">
        <f t="shared" si="4"/>
        <v>4.7758620689655178</v>
      </c>
      <c r="AN14" s="127">
        <v>1</v>
      </c>
      <c r="AO14" s="119">
        <f t="shared" si="5"/>
        <v>238.7931034482759</v>
      </c>
      <c r="AP14" s="120">
        <f t="shared" si="6"/>
        <v>238.7931034482759</v>
      </c>
      <c r="AQ14" s="1172">
        <f>VLOOKUP(AJ14,Marination_Ordering!$A:$J,6,FALSE)</f>
        <v>1</v>
      </c>
      <c r="AR14" s="1172">
        <f>VLOOKUP(AJ14,Marination_Ordering!$A:$J,10,FALSE)</f>
        <v>15</v>
      </c>
      <c r="AS14" s="175">
        <f t="shared" si="12"/>
        <v>238.7931034482759</v>
      </c>
      <c r="AT14" s="1172">
        <f t="shared" si="13"/>
        <v>3.5818965517241383</v>
      </c>
    </row>
    <row r="15" spans="1:46" x14ac:dyDescent="0.3">
      <c r="A15" s="270" t="s">
        <v>97</v>
      </c>
      <c r="B15" s="114" t="s">
        <v>96</v>
      </c>
      <c r="C15" s="124" t="s">
        <v>14</v>
      </c>
      <c r="D15" s="125">
        <v>11</v>
      </c>
      <c r="E15" s="126">
        <f t="shared" si="7"/>
        <v>12.984375</v>
      </c>
      <c r="F15" s="127">
        <v>1</v>
      </c>
      <c r="G15" s="119">
        <f t="shared" si="0"/>
        <v>142.828125</v>
      </c>
      <c r="H15" s="120">
        <f t="shared" si="1"/>
        <v>142.828125</v>
      </c>
      <c r="I15" s="81">
        <f>VLOOKUP(B15,All_Ingredients!$A$1:$F$151,6,FALSE())</f>
        <v>1</v>
      </c>
      <c r="J15" s="119">
        <f>VLOOKUP(B15,All_Ingredients!$A$1:$J$151,10,FALSE())</f>
        <v>0.74</v>
      </c>
      <c r="K15" s="122">
        <f t="shared" si="8"/>
        <v>0.142828125</v>
      </c>
      <c r="L15" s="122">
        <f t="shared" si="9"/>
        <v>0.1056928125</v>
      </c>
      <c r="AI15" s="1" t="s">
        <v>220</v>
      </c>
      <c r="AJ15" s="369" t="s">
        <v>221</v>
      </c>
      <c r="AK15" s="124" t="s">
        <v>14</v>
      </c>
      <c r="AL15" s="125">
        <v>4</v>
      </c>
      <c r="AM15" s="539">
        <f t="shared" si="4"/>
        <v>4.7758620689655178</v>
      </c>
      <c r="AN15" s="447">
        <v>1</v>
      </c>
      <c r="AO15" s="455">
        <f t="shared" si="5"/>
        <v>19.103448275862071</v>
      </c>
      <c r="AP15" s="449">
        <f t="shared" si="6"/>
        <v>19.103448275862071</v>
      </c>
      <c r="AQ15" s="1172">
        <f>VLOOKUP(AJ15,Marination_Ordering!$A:$J,6,FALSE)</f>
        <v>1</v>
      </c>
      <c r="AR15" s="1172">
        <f>VLOOKUP(AJ15,Marination_Ordering!$A:$J,10,FALSE)</f>
        <v>35</v>
      </c>
      <c r="AS15" s="175">
        <f t="shared" si="12"/>
        <v>19.103448275862071</v>
      </c>
      <c r="AT15" s="1172">
        <f t="shared" si="13"/>
        <v>0.66862068965517252</v>
      </c>
    </row>
    <row r="16" spans="1:46" ht="14.25" customHeight="1" x14ac:dyDescent="0.3">
      <c r="A16" s="270" t="s">
        <v>158</v>
      </c>
      <c r="B16" s="114" t="s">
        <v>157</v>
      </c>
      <c r="C16" s="124" t="s">
        <v>14</v>
      </c>
      <c r="D16" s="125">
        <v>50</v>
      </c>
      <c r="E16" s="126">
        <f t="shared" si="7"/>
        <v>12.984375</v>
      </c>
      <c r="F16" s="127">
        <v>1</v>
      </c>
      <c r="G16" s="119">
        <f t="shared" si="0"/>
        <v>649.21875</v>
      </c>
      <c r="H16" s="120">
        <f t="shared" si="1"/>
        <v>649.21875</v>
      </c>
      <c r="I16" s="81">
        <f>VLOOKUP(B16,All_Ingredients!$A$1:$F$151,6,FALSE())</f>
        <v>1</v>
      </c>
      <c r="J16" s="119">
        <f>VLOOKUP(B16,All_Ingredients!$A$1:$J$151,10,FALSE())</f>
        <v>30</v>
      </c>
      <c r="K16" s="122">
        <f t="shared" si="8"/>
        <v>0.64921874999999996</v>
      </c>
      <c r="L16" s="122">
        <f t="shared" si="9"/>
        <v>19.4765625</v>
      </c>
    </row>
    <row r="17" spans="1:30" ht="14.25" customHeight="1" x14ac:dyDescent="0.3">
      <c r="A17" s="270" t="s">
        <v>97</v>
      </c>
      <c r="B17" s="114" t="s">
        <v>132</v>
      </c>
      <c r="C17" s="124" t="s">
        <v>14</v>
      </c>
      <c r="D17" s="125">
        <v>3</v>
      </c>
      <c r="E17" s="126">
        <f t="shared" si="7"/>
        <v>12.984375</v>
      </c>
      <c r="F17" s="127">
        <v>0.75</v>
      </c>
      <c r="G17" s="119">
        <f t="shared" si="0"/>
        <v>38.953125</v>
      </c>
      <c r="H17" s="120">
        <f t="shared" si="1"/>
        <v>29.21484375</v>
      </c>
      <c r="I17" s="81">
        <f>VLOOKUP(B17,All_Ingredients!$A$1:$F$151,6,FALSE())</f>
        <v>1</v>
      </c>
      <c r="J17" s="119">
        <f>VLOOKUP(B17,All_Ingredients!$A$1:$J$151,10,FALSE())</f>
        <v>107</v>
      </c>
      <c r="K17" s="122">
        <f t="shared" si="8"/>
        <v>2.921484375E-2</v>
      </c>
      <c r="L17" s="122">
        <f t="shared" si="9"/>
        <v>3.1259882812500002</v>
      </c>
    </row>
    <row r="18" spans="1:30" ht="14.25" customHeight="1" x14ac:dyDescent="0.3">
      <c r="A18" s="270" t="s">
        <v>97</v>
      </c>
      <c r="B18" s="114" t="s">
        <v>126</v>
      </c>
      <c r="C18" s="124" t="s">
        <v>14</v>
      </c>
      <c r="D18" s="125">
        <v>2</v>
      </c>
      <c r="E18" s="126">
        <f t="shared" si="7"/>
        <v>12.984375</v>
      </c>
      <c r="F18" s="127">
        <v>0.75</v>
      </c>
      <c r="G18" s="119">
        <f t="shared" si="0"/>
        <v>25.96875</v>
      </c>
      <c r="H18" s="120">
        <f t="shared" si="1"/>
        <v>19.4765625</v>
      </c>
      <c r="I18" s="81">
        <f>VLOOKUP(B18,All_Ingredients!$A$1:$F$151,6,FALSE())</f>
        <v>1</v>
      </c>
      <c r="J18" s="119">
        <f>VLOOKUP(B18,All_Ingredients!$A$1:$J$151,10,FALSE())</f>
        <v>14</v>
      </c>
      <c r="K18" s="122">
        <f t="shared" si="8"/>
        <v>1.9476562499999999E-2</v>
      </c>
      <c r="L18" s="122">
        <f t="shared" si="9"/>
        <v>0.27267187500000001</v>
      </c>
    </row>
    <row r="19" spans="1:30" ht="14.25" customHeight="1" x14ac:dyDescent="0.3">
      <c r="A19" s="270" t="s">
        <v>63</v>
      </c>
      <c r="B19" s="123" t="s">
        <v>70</v>
      </c>
      <c r="C19" s="124" t="s">
        <v>14</v>
      </c>
      <c r="D19" s="125">
        <v>15</v>
      </c>
      <c r="E19" s="126">
        <f t="shared" si="7"/>
        <v>12.984375</v>
      </c>
      <c r="F19" s="127">
        <v>0.85</v>
      </c>
      <c r="G19" s="119">
        <f t="shared" si="0"/>
        <v>194.765625</v>
      </c>
      <c r="H19" s="120">
        <f t="shared" si="1"/>
        <v>165.55078125</v>
      </c>
      <c r="I19" s="81">
        <f>VLOOKUP(B19,All_Ingredients!$A$1:$F$151,6,FALSE())</f>
        <v>0.43</v>
      </c>
      <c r="J19" s="119">
        <f>VLOOKUP(B19,All_Ingredients!$A$1:$J$151,10,FALSE())</f>
        <v>3.333333333333333</v>
      </c>
      <c r="K19" s="122">
        <f t="shared" si="8"/>
        <v>0.38500181686046508</v>
      </c>
      <c r="L19" s="122">
        <f t="shared" si="9"/>
        <v>1.2833393895348835</v>
      </c>
    </row>
    <row r="20" spans="1:30" ht="14.25" customHeight="1" x14ac:dyDescent="0.3">
      <c r="A20" s="270" t="s">
        <v>83</v>
      </c>
      <c r="B20" s="123" t="s">
        <v>90</v>
      </c>
      <c r="C20" s="124" t="s">
        <v>14</v>
      </c>
      <c r="D20" s="125">
        <v>1</v>
      </c>
      <c r="E20" s="126">
        <f t="shared" si="7"/>
        <v>12.984375</v>
      </c>
      <c r="F20" s="127">
        <v>0.75</v>
      </c>
      <c r="G20" s="119">
        <f t="shared" si="0"/>
        <v>12.984375</v>
      </c>
      <c r="H20" s="120">
        <f t="shared" si="1"/>
        <v>9.73828125</v>
      </c>
      <c r="I20" s="81">
        <f>VLOOKUP(B20,All_Ingredients!$A$1:$F$151,6,FALSE())</f>
        <v>1</v>
      </c>
      <c r="J20" s="119">
        <f>VLOOKUP(B20,All_Ingredients!$A$1:$J$151,10,FALSE())</f>
        <v>20</v>
      </c>
      <c r="K20" s="122">
        <f t="shared" si="8"/>
        <v>9.7382812499999995E-3</v>
      </c>
      <c r="L20" s="122">
        <f t="shared" si="9"/>
        <v>0.194765625</v>
      </c>
    </row>
    <row r="21" spans="1:30" ht="14.25" customHeight="1" x14ac:dyDescent="0.3">
      <c r="A21" s="270" t="s">
        <v>220</v>
      </c>
      <c r="B21" s="81" t="s">
        <v>815</v>
      </c>
      <c r="C21" s="124" t="s">
        <v>14</v>
      </c>
      <c r="D21" s="125">
        <v>1</v>
      </c>
      <c r="E21" s="126">
        <f t="shared" si="7"/>
        <v>12.984375</v>
      </c>
      <c r="F21" s="127">
        <v>1</v>
      </c>
      <c r="G21" s="119">
        <f t="shared" si="0"/>
        <v>12.984375</v>
      </c>
      <c r="H21" s="120">
        <f t="shared" si="1"/>
        <v>12.984375</v>
      </c>
      <c r="I21" s="81">
        <f>VLOOKUP(B21,All_Ingredients!$A$1:$F$151,6,FALSE())</f>
        <v>1</v>
      </c>
      <c r="J21" s="119">
        <f>VLOOKUP(B21,All_Ingredients!$A$1:$J$151,10,FALSE())</f>
        <v>22.5</v>
      </c>
      <c r="K21" s="122">
        <f t="shared" si="8"/>
        <v>1.2984374999999999E-2</v>
      </c>
      <c r="L21" s="122">
        <f t="shared" si="9"/>
        <v>0.29214843749999997</v>
      </c>
    </row>
    <row r="22" spans="1:30" ht="14.25" customHeight="1" x14ac:dyDescent="0.3">
      <c r="B22" s="100"/>
      <c r="E22" s="100"/>
      <c r="F22" s="100"/>
      <c r="L22" s="209"/>
    </row>
    <row r="23" spans="1:30" ht="14.25" customHeight="1" x14ac:dyDescent="0.3">
      <c r="B23" s="100"/>
      <c r="E23" s="100"/>
      <c r="F23" s="100"/>
      <c r="L23" s="209"/>
    </row>
    <row r="24" spans="1:30" ht="14.25" customHeight="1" x14ac:dyDescent="0.3">
      <c r="L24" s="209"/>
      <c r="Z24" s="1294"/>
    </row>
    <row r="25" spans="1:30" ht="14.25" customHeight="1" x14ac:dyDescent="0.35">
      <c r="L25" s="209"/>
      <c r="R25" s="1411" t="s">
        <v>461</v>
      </c>
      <c r="S25" s="1388"/>
      <c r="T25" s="1388"/>
      <c r="U25" s="1388"/>
      <c r="V25" s="1151"/>
      <c r="Z25" s="141" t="s">
        <v>264</v>
      </c>
      <c r="AA25" s="142">
        <v>27700</v>
      </c>
      <c r="AB25" s="141" t="s">
        <v>261</v>
      </c>
      <c r="AC25" s="143">
        <f>(AA25*(1.45))*AD30+(Z30*(AA28/R1))</f>
        <v>203.62306775495566</v>
      </c>
      <c r="AD25" s="14"/>
    </row>
    <row r="26" spans="1:30" ht="14.25" customHeight="1" x14ac:dyDescent="0.3">
      <c r="L26" s="209"/>
      <c r="R26" s="1423" t="s">
        <v>265</v>
      </c>
      <c r="S26" s="1388"/>
      <c r="T26" s="1388"/>
      <c r="U26" s="1388"/>
      <c r="V26" s="1151"/>
      <c r="Z26" s="14"/>
      <c r="AA26" s="14"/>
      <c r="AB26" s="14"/>
      <c r="AC26" s="14"/>
      <c r="AD26" s="14"/>
    </row>
    <row r="27" spans="1:30" ht="14.25" customHeight="1" thickBot="1" x14ac:dyDescent="0.35">
      <c r="L27" s="209"/>
      <c r="R27" s="145" t="s">
        <v>266</v>
      </c>
      <c r="S27" s="146" t="s">
        <v>398</v>
      </c>
      <c r="T27" s="146" t="s">
        <v>268</v>
      </c>
      <c r="U27" s="146" t="s">
        <v>269</v>
      </c>
      <c r="V27" s="146" t="s">
        <v>839</v>
      </c>
      <c r="W27" s="146" t="s">
        <v>848</v>
      </c>
      <c r="Y27" s="141" t="s">
        <v>270</v>
      </c>
      <c r="Z27" s="1185" t="s">
        <v>324</v>
      </c>
      <c r="AA27" s="147" t="s">
        <v>271</v>
      </c>
      <c r="AB27" s="147" t="s">
        <v>273</v>
      </c>
      <c r="AC27" s="1186" t="s">
        <v>848</v>
      </c>
      <c r="AD27" s="147" t="s">
        <v>274</v>
      </c>
    </row>
    <row r="28" spans="1:30" ht="14.25" customHeight="1" thickBot="1" x14ac:dyDescent="0.35">
      <c r="L28" s="209"/>
      <c r="R28" s="148" t="s">
        <v>275</v>
      </c>
      <c r="S28" s="150">
        <f>$Z$1</f>
        <v>26700</v>
      </c>
      <c r="T28" s="149"/>
      <c r="U28" s="304">
        <f>T28+S28</f>
        <v>26700</v>
      </c>
      <c r="V28" s="149">
        <f>SUM(AP5:AP13)</f>
        <v>1958.1034482758621</v>
      </c>
      <c r="W28" s="149">
        <f>H37</f>
        <v>0</v>
      </c>
      <c r="Y28" s="151"/>
      <c r="Z28" s="1188"/>
      <c r="AA28" s="152">
        <f>AA25*$S$40</f>
        <v>27700</v>
      </c>
      <c r="AB28" s="153">
        <f>AA25*0.45</f>
        <v>12465</v>
      </c>
      <c r="AC28" s="1188"/>
      <c r="AD28" s="154">
        <f>SUM(AA28:AB28)</f>
        <v>40165</v>
      </c>
    </row>
    <row r="29" spans="1:30" ht="14.25" customHeight="1" thickBot="1" x14ac:dyDescent="0.35">
      <c r="L29" s="209"/>
      <c r="R29" s="148" t="s">
        <v>276</v>
      </c>
      <c r="S29" s="155"/>
      <c r="T29" s="149">
        <f>S28*0.45</f>
        <v>12015</v>
      </c>
      <c r="U29" s="149">
        <f>T29</f>
        <v>12015</v>
      </c>
      <c r="V29" s="149"/>
      <c r="W29" s="149"/>
      <c r="Y29" s="151"/>
      <c r="Z29" s="1192"/>
      <c r="AA29" s="156">
        <f>AA28/$AD$28</f>
        <v>0.68965517241379315</v>
      </c>
      <c r="AB29" s="156">
        <f>AB28/$AD$28</f>
        <v>0.31034482758620691</v>
      </c>
      <c r="AC29" s="1192"/>
      <c r="AD29" s="156">
        <f>AD28/$AD$28</f>
        <v>1</v>
      </c>
    </row>
    <row r="30" spans="1:30" ht="14.25" customHeight="1" thickBot="1" x14ac:dyDescent="0.35">
      <c r="L30" s="209"/>
      <c r="R30" s="148" t="s">
        <v>277</v>
      </c>
      <c r="S30" s="1236">
        <f>$AB$1</f>
        <v>1000</v>
      </c>
      <c r="T30" s="155">
        <f>S30*0.45</f>
        <v>450</v>
      </c>
      <c r="U30" s="155">
        <f>S30+T30</f>
        <v>1450</v>
      </c>
      <c r="V30" s="1143"/>
      <c r="W30" s="1143"/>
      <c r="Y30" s="141" t="s">
        <v>278</v>
      </c>
      <c r="Z30" s="1196">
        <f>V35/(S32/R1)</f>
        <v>8.1210641025641016E-4</v>
      </c>
      <c r="AA30" s="157">
        <f>S35/(S32)</f>
        <v>0</v>
      </c>
      <c r="AB30" s="158">
        <f>T35/T32</f>
        <v>1.3224066245317471E-2</v>
      </c>
      <c r="AC30" s="1199">
        <f>W35/U32</f>
        <v>0</v>
      </c>
      <c r="AD30" s="159">
        <f>SUMPRODUCT(AA30:AB30,AA29:AB29)</f>
        <v>4.104020558891629E-3</v>
      </c>
    </row>
    <row r="31" spans="1:30" ht="14.25" customHeight="1" thickBot="1" x14ac:dyDescent="0.35">
      <c r="L31" s="209"/>
      <c r="R31" s="148" t="s">
        <v>279</v>
      </c>
      <c r="S31" s="155"/>
      <c r="T31" s="149"/>
      <c r="U31" s="149"/>
      <c r="V31" s="149"/>
      <c r="W31" s="149"/>
      <c r="AB31">
        <f>AB30*AB28</f>
        <v>164.83798574788227</v>
      </c>
    </row>
    <row r="32" spans="1:30" ht="14.25" customHeight="1" thickBot="1" x14ac:dyDescent="0.35">
      <c r="L32" s="209"/>
      <c r="R32" s="160" t="s">
        <v>269</v>
      </c>
      <c r="S32" s="149">
        <f>SUM(S28:S30)</f>
        <v>27700</v>
      </c>
      <c r="T32" s="149">
        <f>SUM(T28:T30)</f>
        <v>12465</v>
      </c>
      <c r="U32" s="149">
        <f>SUM(U28:U30)</f>
        <v>40165</v>
      </c>
      <c r="V32" s="149"/>
      <c r="W32" s="149">
        <f>SUM(W28:W30)</f>
        <v>0</v>
      </c>
    </row>
    <row r="33" spans="2:23" ht="14.25" customHeight="1" thickBot="1" x14ac:dyDescent="0.35">
      <c r="L33" s="209"/>
      <c r="R33" s="161" t="s">
        <v>280</v>
      </c>
      <c r="S33" s="155"/>
      <c r="T33" s="155"/>
      <c r="U33" s="155"/>
      <c r="V33" s="155"/>
      <c r="W33" s="155"/>
    </row>
    <row r="34" spans="2:23" ht="14.25" customHeight="1" thickBot="1" x14ac:dyDescent="0.35">
      <c r="L34" s="209"/>
      <c r="R34" s="162" t="s">
        <v>281</v>
      </c>
      <c r="S34" s="155"/>
      <c r="T34" s="149"/>
      <c r="U34" s="155"/>
      <c r="V34" s="155"/>
      <c r="W34" s="155"/>
    </row>
    <row r="35" spans="2:23" ht="14.25" customHeight="1" thickBot="1" x14ac:dyDescent="0.35">
      <c r="L35" s="209"/>
      <c r="R35" s="163" t="s">
        <v>261</v>
      </c>
      <c r="S35" s="1144">
        <f>$L$5</f>
        <v>0</v>
      </c>
      <c r="T35" s="1144">
        <f>SUM(L6:L20)</f>
        <v>164.83798574788227</v>
      </c>
      <c r="U35" s="1144">
        <f>S35+T35+V35</f>
        <v>203.62306775495566</v>
      </c>
      <c r="V35" s="1144">
        <f>SUM(AT6:AT13)</f>
        <v>38.785082007073385</v>
      </c>
      <c r="W35" s="1144">
        <f>L37</f>
        <v>0</v>
      </c>
    </row>
    <row r="36" spans="2:23" ht="14.25" customHeight="1" x14ac:dyDescent="0.3">
      <c r="L36" s="209"/>
    </row>
    <row r="37" spans="2:23" ht="14.25" customHeight="1" x14ac:dyDescent="0.3">
      <c r="L37" s="209"/>
      <c r="U37" s="129" t="s">
        <v>312</v>
      </c>
    </row>
    <row r="38" spans="2:23" ht="14.25" customHeight="1" x14ac:dyDescent="0.3">
      <c r="L38" s="209"/>
      <c r="U38" s="129" t="s">
        <v>462</v>
      </c>
    </row>
    <row r="39" spans="2:23" ht="14.25" customHeight="1" x14ac:dyDescent="0.3">
      <c r="B39" s="100"/>
      <c r="E39" s="100"/>
      <c r="F39" s="100"/>
      <c r="L39" s="209"/>
    </row>
    <row r="40" spans="2:23" ht="16.5" customHeight="1" x14ac:dyDescent="0.3">
      <c r="B40" s="100"/>
      <c r="E40" s="100"/>
      <c r="F40" s="100"/>
      <c r="L40" s="209"/>
      <c r="Q40" s="14"/>
      <c r="R40" s="165" t="s">
        <v>282</v>
      </c>
      <c r="S40" s="239">
        <v>1</v>
      </c>
      <c r="T40" s="165" t="s">
        <v>283</v>
      </c>
      <c r="U40" s="239">
        <v>0</v>
      </c>
      <c r="V40" s="168">
        <f>S40+U40</f>
        <v>1</v>
      </c>
      <c r="W40" s="14"/>
    </row>
    <row r="41" spans="2:23" ht="14.25" customHeight="1" x14ac:dyDescent="0.3">
      <c r="B41" s="100"/>
      <c r="E41" s="100"/>
      <c r="F41" s="100"/>
      <c r="K41" s="1"/>
      <c r="L41" s="209"/>
      <c r="Q41" s="14"/>
      <c r="R41" s="14"/>
      <c r="S41" s="14"/>
      <c r="T41" s="14"/>
      <c r="U41" s="169"/>
      <c r="V41" s="14"/>
      <c r="W41" s="14"/>
    </row>
    <row r="42" spans="2:23" ht="14.25" customHeight="1" x14ac:dyDescent="0.3">
      <c r="B42" s="100"/>
      <c r="E42" s="100"/>
      <c r="F42" s="100"/>
      <c r="L42" s="209"/>
      <c r="Q42" s="14"/>
      <c r="R42" s="14"/>
      <c r="S42" s="14"/>
      <c r="T42" s="14"/>
      <c r="U42" s="14"/>
      <c r="V42" s="14"/>
      <c r="W42" s="14"/>
    </row>
    <row r="43" spans="2:23" ht="14.25" customHeight="1" x14ac:dyDescent="0.3">
      <c r="B43" s="100"/>
      <c r="E43" s="100"/>
      <c r="F43" s="100"/>
      <c r="L43" s="209"/>
      <c r="Q43" s="170" t="s">
        <v>284</v>
      </c>
      <c r="R43" s="170" t="s">
        <v>285</v>
      </c>
      <c r="S43" s="170" t="s">
        <v>286</v>
      </c>
      <c r="T43" s="170" t="s">
        <v>287</v>
      </c>
      <c r="U43" s="170" t="s">
        <v>288</v>
      </c>
      <c r="V43" s="170" t="s">
        <v>289</v>
      </c>
      <c r="W43" s="258" t="s">
        <v>290</v>
      </c>
    </row>
    <row r="44" spans="2:23" ht="14.25" customHeight="1" x14ac:dyDescent="0.3">
      <c r="B44" s="100"/>
      <c r="E44" s="100"/>
      <c r="F44" s="100"/>
      <c r="L44" s="209"/>
      <c r="Q44" s="172">
        <v>22222</v>
      </c>
      <c r="R44" s="173">
        <f>D51</f>
        <v>10000</v>
      </c>
      <c r="S44" s="174">
        <v>0</v>
      </c>
      <c r="T44" s="174">
        <v>1</v>
      </c>
      <c r="U44" s="242">
        <f>R44*S44</f>
        <v>0</v>
      </c>
      <c r="V44" s="176">
        <f>R44*T44</f>
        <v>10000</v>
      </c>
      <c r="W44" s="260">
        <f>Q44-U44</f>
        <v>22222</v>
      </c>
    </row>
    <row r="45" spans="2:23" ht="14.25" customHeight="1" x14ac:dyDescent="0.3">
      <c r="B45" s="100"/>
      <c r="E45" s="100"/>
      <c r="F45" s="100"/>
      <c r="L45" s="209"/>
    </row>
    <row r="46" spans="2:23" ht="14.25" customHeight="1" x14ac:dyDescent="0.3">
      <c r="B46" s="100"/>
      <c r="E46" s="100"/>
      <c r="F46" s="100"/>
      <c r="L46" s="209"/>
    </row>
    <row r="47" spans="2:23" ht="14.25" customHeight="1" x14ac:dyDescent="0.3">
      <c r="B47" s="100"/>
      <c r="E47" s="100"/>
      <c r="F47" s="100"/>
      <c r="L47" s="209"/>
    </row>
    <row r="48" spans="2:23" ht="14.25" customHeight="1" x14ac:dyDescent="0.3">
      <c r="B48" s="100"/>
      <c r="E48" s="100"/>
      <c r="F48" s="100"/>
      <c r="L48" s="209"/>
    </row>
    <row r="49" spans="1:12" ht="14.25" customHeight="1" x14ac:dyDescent="0.3">
      <c r="B49" s="100"/>
      <c r="E49" s="100"/>
      <c r="F49" s="100"/>
      <c r="L49" s="209"/>
    </row>
    <row r="50" spans="1:12" ht="14.25" customHeight="1" x14ac:dyDescent="0.3">
      <c r="B50" s="145"/>
      <c r="C50" s="145" t="s">
        <v>245</v>
      </c>
      <c r="D50" s="145" t="s">
        <v>291</v>
      </c>
      <c r="F50" s="100"/>
      <c r="G50" s="145" t="s">
        <v>292</v>
      </c>
      <c r="H50" s="145" t="s">
        <v>245</v>
      </c>
      <c r="I50" s="145" t="s">
        <v>293</v>
      </c>
      <c r="J50" s="145" t="s">
        <v>294</v>
      </c>
      <c r="L50" s="209"/>
    </row>
    <row r="51" spans="1:12" ht="14.25" customHeight="1" x14ac:dyDescent="0.3">
      <c r="B51" s="180" t="s">
        <v>295</v>
      </c>
      <c r="C51" s="181">
        <f>10/$K$1</f>
        <v>10.416666666666668</v>
      </c>
      <c r="D51" s="182">
        <f>$C$1*10</f>
        <v>10000</v>
      </c>
      <c r="E51" s="183"/>
      <c r="F51" s="100"/>
      <c r="G51" s="180" t="s">
        <v>295</v>
      </c>
      <c r="H51" s="277">
        <f>I51/$D$5</f>
        <v>10</v>
      </c>
      <c r="I51" s="181">
        <f>J51/$R$1</f>
        <v>38313.793103448275</v>
      </c>
      <c r="J51" s="181">
        <f>$W$44</f>
        <v>22222</v>
      </c>
      <c r="L51" s="209"/>
    </row>
    <row r="52" spans="1:12" ht="14.25" customHeight="1" x14ac:dyDescent="0.3">
      <c r="B52" s="231" t="s">
        <v>274</v>
      </c>
      <c r="C52" s="232">
        <f>$I$1</f>
        <v>12.984375</v>
      </c>
      <c r="D52" s="233">
        <f>$E$1</f>
        <v>12465</v>
      </c>
      <c r="E52" s="100"/>
      <c r="F52" s="100"/>
      <c r="G52" s="148" t="s">
        <v>274</v>
      </c>
      <c r="H52" s="210">
        <f>I52/$D$5</f>
        <v>12.465124651246514</v>
      </c>
      <c r="I52" s="176">
        <f>J52/$R$1</f>
        <v>47758.620689655174</v>
      </c>
      <c r="J52" s="184">
        <f>$S$32</f>
        <v>27700</v>
      </c>
      <c r="L52" s="209"/>
    </row>
    <row r="53" spans="1:12" ht="14.25" customHeight="1" x14ac:dyDescent="0.3">
      <c r="B53" s="231" t="s">
        <v>296</v>
      </c>
      <c r="C53" s="234">
        <f>MIN(C52, C51)</f>
        <v>10.416666666666668</v>
      </c>
      <c r="D53" s="233">
        <f>(C53*$K$1)*$C$1</f>
        <v>10000</v>
      </c>
      <c r="E53" s="100"/>
      <c r="F53" s="100"/>
      <c r="G53" s="148" t="s">
        <v>296</v>
      </c>
      <c r="H53" s="187">
        <f>MIN(H52,H51)</f>
        <v>10</v>
      </c>
      <c r="I53" s="176">
        <f>J53/$R$1</f>
        <v>38313.793103448275</v>
      </c>
      <c r="J53" s="176">
        <f>MIN(J52,J51)</f>
        <v>22222</v>
      </c>
      <c r="L53" s="209"/>
    </row>
    <row r="54" spans="1:12" ht="14.25" customHeight="1" x14ac:dyDescent="0.3">
      <c r="B54" s="231" t="s">
        <v>297</v>
      </c>
      <c r="C54" s="234">
        <f>MIN(MAX(C52-C53,0),C51)</f>
        <v>2.5677083333333321</v>
      </c>
      <c r="D54" s="233">
        <f>(C54*$K$1)*$C$1</f>
        <v>2464.9999999999991</v>
      </c>
      <c r="E54" s="100"/>
      <c r="F54" s="100"/>
      <c r="G54" s="148" t="s">
        <v>297</v>
      </c>
      <c r="H54" s="187">
        <f>MIN(MAX(H52-H53),H51)</f>
        <v>2.4651246512465139</v>
      </c>
      <c r="I54" s="176">
        <f>J54/$R$1</f>
        <v>9444.8275862068967</v>
      </c>
      <c r="J54" s="176">
        <f>MIN(MAX(J52-J53),J51)</f>
        <v>5478</v>
      </c>
      <c r="L54" s="209"/>
    </row>
    <row r="55" spans="1:12" ht="14.25" customHeight="1" x14ac:dyDescent="0.3">
      <c r="B55" s="231" t="s">
        <v>298</v>
      </c>
      <c r="C55" s="234">
        <f>MIN(MAX(C52-C53-C54,0),C51)</f>
        <v>0</v>
      </c>
      <c r="D55" s="233">
        <f>(C55*$K$1)*$C$1</f>
        <v>0</v>
      </c>
      <c r="E55" s="100"/>
      <c r="F55" s="100"/>
      <c r="G55" s="145" t="s">
        <v>298</v>
      </c>
      <c r="H55" s="187">
        <f>MIN(MAX(H52-H53-H54),H51)</f>
        <v>0</v>
      </c>
      <c r="I55" s="176">
        <f>J55/$R$1</f>
        <v>0</v>
      </c>
      <c r="J55" s="176">
        <f>MIN(MAX(J52-J53-J54),J51)</f>
        <v>0</v>
      </c>
    </row>
    <row r="56" spans="1:12" ht="14.25" customHeight="1" x14ac:dyDescent="0.3"/>
    <row r="57" spans="1:12" ht="14.25" customHeight="1" x14ac:dyDescent="0.3"/>
    <row r="58" spans="1:12" ht="14.25" customHeight="1" x14ac:dyDescent="0.3"/>
    <row r="59" spans="1:12" ht="14.25" customHeight="1" x14ac:dyDescent="0.3"/>
    <row r="60" spans="1:12" ht="14.25" customHeight="1" x14ac:dyDescent="0.3">
      <c r="B60" s="100"/>
      <c r="E60" s="100"/>
      <c r="F60" s="100"/>
    </row>
    <row r="61" spans="1:12" ht="14.25" customHeight="1" x14ac:dyDescent="0.3">
      <c r="B61" s="100"/>
      <c r="E61" s="100"/>
      <c r="F61" s="100"/>
    </row>
    <row r="62" spans="1:12" ht="17.75" customHeight="1" x14ac:dyDescent="0.3">
      <c r="A62" s="938"/>
      <c r="B62" s="1382" t="str">
        <f>"كباب اللحم1 / " &amp; COUNTIF($C$53:$C$55, "&gt;0")</f>
        <v>كباب اللحم1 / 2</v>
      </c>
      <c r="C62" s="1383"/>
      <c r="D62" s="1383"/>
      <c r="E62" s="1383"/>
      <c r="F62" s="1383"/>
      <c r="G62" s="1383"/>
      <c r="H62" s="1383"/>
    </row>
    <row r="63" spans="1:12" ht="17.75" customHeight="1" x14ac:dyDescent="0.3">
      <c r="A63" s="938"/>
      <c r="B63" s="1384" t="str">
        <f>"Meat Kebab 1 / " &amp; COUNTIF($C$53:$C$55, "&gt;0")</f>
        <v>Meat Kebab 1 / 2</v>
      </c>
      <c r="C63" s="1385"/>
      <c r="D63" s="1385"/>
      <c r="E63" s="1385"/>
      <c r="F63" s="1385"/>
      <c r="G63" s="1385"/>
      <c r="H63" s="1385"/>
    </row>
    <row r="64" spans="1:12" ht="39" customHeight="1" x14ac:dyDescent="0.3">
      <c r="A64" s="91"/>
      <c r="B64" s="243" t="s">
        <v>253</v>
      </c>
      <c r="C64" s="244" t="s">
        <v>254</v>
      </c>
      <c r="D64" s="245" t="s">
        <v>243</v>
      </c>
      <c r="E64" s="218" t="s">
        <v>246</v>
      </c>
      <c r="F64" s="218" t="s">
        <v>255</v>
      </c>
      <c r="G64" s="245" t="s">
        <v>256</v>
      </c>
      <c r="H64" s="218" t="s">
        <v>257</v>
      </c>
    </row>
    <row r="65" spans="1:8" ht="14.25" customHeight="1" x14ac:dyDescent="0.3">
      <c r="A65" s="219" t="s">
        <v>230</v>
      </c>
      <c r="B65" s="123" t="str">
        <f t="shared" ref="B65:D81" si="14">B5</f>
        <v>Indian Meat Tammam Mafroom - مفروم هندى</v>
      </c>
      <c r="C65" s="123" t="str">
        <f t="shared" si="14"/>
        <v>gm</v>
      </c>
      <c r="D65" s="263">
        <f t="shared" si="14"/>
        <v>3831.3793103448274</v>
      </c>
      <c r="E65" s="281">
        <f>H53</f>
        <v>10</v>
      </c>
      <c r="F65" s="127">
        <f t="shared" ref="F65:F81" si="15">F5</f>
        <v>1</v>
      </c>
      <c r="G65" s="119">
        <f t="shared" ref="G65:G80" si="16">D65*E65</f>
        <v>38313.793103448275</v>
      </c>
      <c r="H65" s="120">
        <f t="shared" ref="H65:H80" si="17">G65*F65</f>
        <v>38313.793103448275</v>
      </c>
    </row>
    <row r="66" spans="1:8" ht="14.25" customHeight="1" x14ac:dyDescent="0.3">
      <c r="A66" s="270" t="s">
        <v>13</v>
      </c>
      <c r="B66" s="123" t="str">
        <f t="shared" si="14"/>
        <v>Onion - بصل</v>
      </c>
      <c r="C66" s="123" t="str">
        <f t="shared" si="14"/>
        <v>gm</v>
      </c>
      <c r="D66" s="123">
        <f t="shared" si="14"/>
        <v>580</v>
      </c>
      <c r="E66" s="281">
        <f t="shared" ref="E66:E81" si="18">$C$53</f>
        <v>10.416666666666668</v>
      </c>
      <c r="F66" s="127">
        <f t="shared" si="15"/>
        <v>0.95</v>
      </c>
      <c r="G66" s="119">
        <f t="shared" si="16"/>
        <v>6041.666666666667</v>
      </c>
      <c r="H66" s="120">
        <f t="shared" si="17"/>
        <v>5739.583333333333</v>
      </c>
    </row>
    <row r="67" spans="1:8" ht="14.25" customHeight="1" x14ac:dyDescent="0.3">
      <c r="A67" s="270" t="s">
        <v>13</v>
      </c>
      <c r="B67" s="123" t="str">
        <f t="shared" si="14"/>
        <v>Garlic - ثوم مقشر</v>
      </c>
      <c r="C67" s="123" t="str">
        <f t="shared" si="14"/>
        <v>gm</v>
      </c>
      <c r="D67" s="123">
        <f t="shared" si="14"/>
        <v>15</v>
      </c>
      <c r="E67" s="281">
        <f t="shared" si="18"/>
        <v>10.416666666666668</v>
      </c>
      <c r="F67" s="127">
        <f t="shared" si="15"/>
        <v>0.95</v>
      </c>
      <c r="G67" s="119">
        <f t="shared" si="16"/>
        <v>156.25000000000003</v>
      </c>
      <c r="H67" s="120">
        <f t="shared" si="17"/>
        <v>148.43750000000003</v>
      </c>
    </row>
    <row r="68" spans="1:8" ht="14.25" customHeight="1" x14ac:dyDescent="0.3">
      <c r="A68" s="270" t="s">
        <v>97</v>
      </c>
      <c r="B68" s="123" t="str">
        <f t="shared" si="14"/>
        <v>Curry Powder - كاري بودرة</v>
      </c>
      <c r="C68" s="123" t="str">
        <f t="shared" si="14"/>
        <v>gm</v>
      </c>
      <c r="D68" s="123">
        <f t="shared" si="14"/>
        <v>10</v>
      </c>
      <c r="E68" s="281">
        <f t="shared" si="18"/>
        <v>10.416666666666668</v>
      </c>
      <c r="F68" s="127">
        <f t="shared" si="15"/>
        <v>0.75</v>
      </c>
      <c r="G68" s="119">
        <f t="shared" si="16"/>
        <v>104.16666666666669</v>
      </c>
      <c r="H68" s="120">
        <f t="shared" si="17"/>
        <v>78.125000000000014</v>
      </c>
    </row>
    <row r="69" spans="1:8" ht="14.25" customHeight="1" x14ac:dyDescent="0.3">
      <c r="A69" s="270" t="s">
        <v>97</v>
      </c>
      <c r="B69" s="123" t="str">
        <f t="shared" si="14"/>
        <v>White Pepper - فلفل أبيض</v>
      </c>
      <c r="C69" s="123" t="str">
        <f t="shared" si="14"/>
        <v>gm</v>
      </c>
      <c r="D69" s="123">
        <f t="shared" si="14"/>
        <v>3</v>
      </c>
      <c r="E69" s="281">
        <f t="shared" si="18"/>
        <v>10.416666666666668</v>
      </c>
      <c r="F69" s="127">
        <f t="shared" si="15"/>
        <v>0.75</v>
      </c>
      <c r="G69" s="119">
        <f t="shared" si="16"/>
        <v>31.250000000000004</v>
      </c>
      <c r="H69" s="120">
        <f t="shared" si="17"/>
        <v>23.437500000000004</v>
      </c>
    </row>
    <row r="70" spans="1:8" ht="14.25" customHeight="1" x14ac:dyDescent="0.3">
      <c r="A70" s="270" t="s">
        <v>97</v>
      </c>
      <c r="B70" s="123" t="str">
        <f t="shared" si="14"/>
        <v>Cumin Powder - كمون مطحون</v>
      </c>
      <c r="C70" s="123" t="str">
        <f t="shared" si="14"/>
        <v>gm</v>
      </c>
      <c r="D70" s="123">
        <f t="shared" si="14"/>
        <v>5</v>
      </c>
      <c r="E70" s="281">
        <f t="shared" si="18"/>
        <v>10.416666666666668</v>
      </c>
      <c r="F70" s="127">
        <f t="shared" si="15"/>
        <v>0.9</v>
      </c>
      <c r="G70" s="119">
        <f t="shared" si="16"/>
        <v>52.083333333333343</v>
      </c>
      <c r="H70" s="120">
        <f t="shared" si="17"/>
        <v>46.875000000000007</v>
      </c>
    </row>
    <row r="71" spans="1:8" ht="14.25" customHeight="1" x14ac:dyDescent="0.3">
      <c r="A71" s="270" t="s">
        <v>97</v>
      </c>
      <c r="B71" s="123" t="str">
        <f t="shared" si="14"/>
        <v>Coriander Powder - كزبرة مطحونة</v>
      </c>
      <c r="C71" s="123" t="str">
        <f t="shared" si="14"/>
        <v>gm</v>
      </c>
      <c r="D71" s="123">
        <f t="shared" si="14"/>
        <v>5</v>
      </c>
      <c r="E71" s="281">
        <f t="shared" si="18"/>
        <v>10.416666666666668</v>
      </c>
      <c r="F71" s="127">
        <f t="shared" si="15"/>
        <v>0.9</v>
      </c>
      <c r="G71" s="119">
        <f t="shared" si="16"/>
        <v>52.083333333333343</v>
      </c>
      <c r="H71" s="120">
        <f t="shared" si="17"/>
        <v>46.875000000000007</v>
      </c>
    </row>
    <row r="72" spans="1:8" ht="14.25" customHeight="1" x14ac:dyDescent="0.3">
      <c r="A72" s="270" t="s">
        <v>63</v>
      </c>
      <c r="B72" s="123" t="str">
        <f t="shared" si="14"/>
        <v>Coriander Leaves - كزبرة خضراء</v>
      </c>
      <c r="C72" s="123" t="str">
        <f t="shared" si="14"/>
        <v>gm</v>
      </c>
      <c r="D72" s="123">
        <f t="shared" si="14"/>
        <v>10</v>
      </c>
      <c r="E72" s="281">
        <f t="shared" si="18"/>
        <v>10.416666666666668</v>
      </c>
      <c r="F72" s="127">
        <f t="shared" si="15"/>
        <v>1</v>
      </c>
      <c r="G72" s="119">
        <f t="shared" si="16"/>
        <v>104.16666666666669</v>
      </c>
      <c r="H72" s="120">
        <f t="shared" si="17"/>
        <v>104.16666666666669</v>
      </c>
    </row>
    <row r="73" spans="1:8" ht="14.25" customHeight="1" x14ac:dyDescent="0.3">
      <c r="A73" s="270" t="s">
        <v>158</v>
      </c>
      <c r="B73" s="123" t="str">
        <f t="shared" si="14"/>
        <v>Yogurt - زبادي</v>
      </c>
      <c r="C73" s="123" t="str">
        <f t="shared" si="14"/>
        <v>gm</v>
      </c>
      <c r="D73" s="123">
        <f t="shared" si="14"/>
        <v>400</v>
      </c>
      <c r="E73" s="281">
        <f t="shared" si="18"/>
        <v>10.416666666666668</v>
      </c>
      <c r="F73" s="127">
        <f t="shared" si="15"/>
        <v>1</v>
      </c>
      <c r="G73" s="119">
        <f t="shared" si="16"/>
        <v>4166.666666666667</v>
      </c>
      <c r="H73" s="120">
        <f t="shared" si="17"/>
        <v>4166.666666666667</v>
      </c>
    </row>
    <row r="74" spans="1:8" ht="14.25" customHeight="1" x14ac:dyDescent="0.3">
      <c r="A74" s="270" t="s">
        <v>158</v>
      </c>
      <c r="B74" s="123" t="str">
        <f t="shared" si="14"/>
        <v>Cooking Cream - كريمة طبخ</v>
      </c>
      <c r="C74" s="123" t="str">
        <f t="shared" si="14"/>
        <v>ml</v>
      </c>
      <c r="D74" s="123">
        <f t="shared" si="14"/>
        <v>450</v>
      </c>
      <c r="E74" s="281">
        <f t="shared" si="18"/>
        <v>10.416666666666668</v>
      </c>
      <c r="F74" s="127">
        <f t="shared" si="15"/>
        <v>1</v>
      </c>
      <c r="G74" s="119">
        <f t="shared" si="16"/>
        <v>4687.5000000000009</v>
      </c>
      <c r="H74" s="120">
        <f t="shared" si="17"/>
        <v>4687.5000000000009</v>
      </c>
    </row>
    <row r="75" spans="1:8" ht="14.25" customHeight="1" x14ac:dyDescent="0.3">
      <c r="A75" s="270" t="s">
        <v>97</v>
      </c>
      <c r="B75" s="123" t="str">
        <f t="shared" si="14"/>
        <v>Salt - ملح</v>
      </c>
      <c r="C75" s="123" t="str">
        <f t="shared" si="14"/>
        <v>gm</v>
      </c>
      <c r="D75" s="123">
        <f t="shared" si="14"/>
        <v>11</v>
      </c>
      <c r="E75" s="281">
        <f t="shared" si="18"/>
        <v>10.416666666666668</v>
      </c>
      <c r="F75" s="127">
        <f t="shared" si="15"/>
        <v>1</v>
      </c>
      <c r="G75" s="119">
        <f t="shared" si="16"/>
        <v>114.58333333333334</v>
      </c>
      <c r="H75" s="120">
        <f t="shared" si="17"/>
        <v>114.58333333333334</v>
      </c>
    </row>
    <row r="76" spans="1:8" ht="14.25" customHeight="1" x14ac:dyDescent="0.3">
      <c r="A76" s="270" t="s">
        <v>158</v>
      </c>
      <c r="B76" s="123" t="str">
        <f t="shared" si="14"/>
        <v>Butter - زبدة</v>
      </c>
      <c r="C76" s="123" t="str">
        <f t="shared" si="14"/>
        <v>gm</v>
      </c>
      <c r="D76" s="123">
        <f t="shared" si="14"/>
        <v>50</v>
      </c>
      <c r="E76" s="281">
        <f t="shared" si="18"/>
        <v>10.416666666666668</v>
      </c>
      <c r="F76" s="127">
        <f t="shared" si="15"/>
        <v>1</v>
      </c>
      <c r="G76" s="119">
        <f t="shared" si="16"/>
        <v>520.83333333333337</v>
      </c>
      <c r="H76" s="120">
        <f t="shared" si="17"/>
        <v>520.83333333333337</v>
      </c>
    </row>
    <row r="77" spans="1:8" ht="14.25" customHeight="1" x14ac:dyDescent="0.3">
      <c r="A77" s="270" t="s">
        <v>97</v>
      </c>
      <c r="B77" s="123" t="str">
        <f t="shared" si="14"/>
        <v>Cardamom Powder - هيل مطحون</v>
      </c>
      <c r="C77" s="123" t="str">
        <f t="shared" si="14"/>
        <v>gm</v>
      </c>
      <c r="D77" s="123">
        <f t="shared" si="14"/>
        <v>3</v>
      </c>
      <c r="E77" s="281">
        <f t="shared" si="18"/>
        <v>10.416666666666668</v>
      </c>
      <c r="F77" s="127">
        <f t="shared" si="15"/>
        <v>0.75</v>
      </c>
      <c r="G77" s="119">
        <f t="shared" si="16"/>
        <v>31.250000000000004</v>
      </c>
      <c r="H77" s="120">
        <f t="shared" si="17"/>
        <v>23.437500000000004</v>
      </c>
    </row>
    <row r="78" spans="1:8" ht="14.25" customHeight="1" x14ac:dyDescent="0.3">
      <c r="A78" s="270" t="s">
        <v>97</v>
      </c>
      <c r="B78" s="123" t="str">
        <f t="shared" si="14"/>
        <v>Cinnamon Powder - قرفة مطحونة</v>
      </c>
      <c r="C78" s="123" t="str">
        <f t="shared" si="14"/>
        <v>gm</v>
      </c>
      <c r="D78" s="123">
        <f t="shared" si="14"/>
        <v>2</v>
      </c>
      <c r="E78" s="281">
        <f t="shared" si="18"/>
        <v>10.416666666666668</v>
      </c>
      <c r="F78" s="127">
        <f t="shared" si="15"/>
        <v>0.75</v>
      </c>
      <c r="G78" s="119">
        <f t="shared" si="16"/>
        <v>20.833333333333336</v>
      </c>
      <c r="H78" s="120">
        <f t="shared" si="17"/>
        <v>15.625000000000002</v>
      </c>
    </row>
    <row r="79" spans="1:8" ht="14.25" customHeight="1" x14ac:dyDescent="0.3">
      <c r="A79" s="270" t="s">
        <v>63</v>
      </c>
      <c r="B79" s="123" t="str">
        <f t="shared" si="14"/>
        <v>Mint Leaves - نعناع طازج</v>
      </c>
      <c r="C79" s="123" t="str">
        <f t="shared" si="14"/>
        <v>gm</v>
      </c>
      <c r="D79" s="123">
        <f t="shared" si="14"/>
        <v>15</v>
      </c>
      <c r="E79" s="281">
        <f t="shared" si="18"/>
        <v>10.416666666666668</v>
      </c>
      <c r="F79" s="127">
        <f t="shared" si="15"/>
        <v>0.85</v>
      </c>
      <c r="G79" s="119">
        <f t="shared" si="16"/>
        <v>156.25000000000003</v>
      </c>
      <c r="H79" s="120">
        <f t="shared" si="17"/>
        <v>132.81250000000003</v>
      </c>
    </row>
    <row r="80" spans="1:8" ht="14.25" customHeight="1" x14ac:dyDescent="0.3">
      <c r="A80" s="270" t="s">
        <v>83</v>
      </c>
      <c r="B80" s="123" t="str">
        <f t="shared" si="14"/>
        <v>Dried Mint Leaves - نعناع مجفف</v>
      </c>
      <c r="C80" s="123" t="str">
        <f t="shared" si="14"/>
        <v>gm</v>
      </c>
      <c r="D80" s="123">
        <f t="shared" si="14"/>
        <v>1</v>
      </c>
      <c r="E80" s="281">
        <f t="shared" si="18"/>
        <v>10.416666666666668</v>
      </c>
      <c r="F80" s="127">
        <f t="shared" si="15"/>
        <v>0.75</v>
      </c>
      <c r="G80" s="119">
        <f t="shared" si="16"/>
        <v>10.416666666666668</v>
      </c>
      <c r="H80" s="120">
        <f t="shared" si="17"/>
        <v>7.8125000000000009</v>
      </c>
    </row>
    <row r="81" spans="1:8" ht="20.25" customHeight="1" x14ac:dyDescent="0.3">
      <c r="A81" s="270" t="s">
        <v>83</v>
      </c>
      <c r="B81" s="123" t="str">
        <f t="shared" si="14"/>
        <v>لون صفار زعفران بودر - Saffron yellow color powder</v>
      </c>
      <c r="C81" s="123" t="str">
        <f t="shared" si="14"/>
        <v>gm</v>
      </c>
      <c r="D81" s="123">
        <f t="shared" si="14"/>
        <v>1</v>
      </c>
      <c r="E81" s="281">
        <f t="shared" si="18"/>
        <v>10.416666666666668</v>
      </c>
      <c r="F81" s="127">
        <f t="shared" si="15"/>
        <v>1</v>
      </c>
      <c r="G81" s="119">
        <f>D81*E81</f>
        <v>10.416666666666668</v>
      </c>
      <c r="H81" s="120">
        <f>G81*F81</f>
        <v>10.416666666666668</v>
      </c>
    </row>
    <row r="82" spans="1:8" ht="19.5" customHeight="1" x14ac:dyDescent="0.3">
      <c r="A82" s="211"/>
      <c r="B82" s="198" t="s">
        <v>299</v>
      </c>
      <c r="C82" s="200" t="s">
        <v>285</v>
      </c>
      <c r="D82" s="14"/>
      <c r="E82" s="200" t="s">
        <v>300</v>
      </c>
      <c r="F82" s="14"/>
      <c r="G82" s="890" t="s">
        <v>276</v>
      </c>
      <c r="H82" s="890" t="s">
        <v>733</v>
      </c>
    </row>
    <row r="83" spans="1:8" ht="22.25" customHeight="1" x14ac:dyDescent="0.4">
      <c r="A83" s="211"/>
      <c r="B83" s="199">
        <f>$J$53</f>
        <v>22222</v>
      </c>
      <c r="C83" s="199">
        <f>E83+G83</f>
        <v>10000</v>
      </c>
      <c r="D83" s="209"/>
      <c r="E83" s="199">
        <f>$D$53*$S$44</f>
        <v>0</v>
      </c>
      <c r="F83" s="934"/>
      <c r="G83" s="199">
        <f>$D$53*$T$44</f>
        <v>10000</v>
      </c>
      <c r="H83" s="199">
        <f>B83+E83</f>
        <v>22222</v>
      </c>
    </row>
    <row r="84" spans="1:8" ht="17.75" customHeight="1" x14ac:dyDescent="0.3">
      <c r="B84" s="100"/>
      <c r="E84" s="100"/>
      <c r="F84" s="100"/>
    </row>
    <row r="85" spans="1:8" ht="17.75" customHeight="1" x14ac:dyDescent="0.3">
      <c r="A85" s="938"/>
      <c r="B85" s="1382" t="str">
        <f>"كباب اللحم 2  / " &amp; COUNTIF($C$53:$C$55, "&gt;0")</f>
        <v>كباب اللحم 2  / 2</v>
      </c>
      <c r="C85" s="1383"/>
      <c r="D85" s="1383"/>
      <c r="E85" s="1383"/>
      <c r="F85" s="1383"/>
      <c r="G85" s="1383"/>
      <c r="H85" s="1383"/>
    </row>
    <row r="86" spans="1:8" ht="25.5" customHeight="1" x14ac:dyDescent="0.3">
      <c r="A86" s="938"/>
      <c r="B86" s="1384" t="str">
        <f>"Meat Kebab 2  / " &amp; COUNTIF($C$53:$C$55, "&gt;0")</f>
        <v>Meat Kebab 2  / 2</v>
      </c>
      <c r="C86" s="1385"/>
      <c r="D86" s="1385"/>
      <c r="E86" s="1385"/>
      <c r="F86" s="1385"/>
      <c r="G86" s="1385"/>
      <c r="H86" s="1385"/>
    </row>
    <row r="87" spans="1:8" ht="38" customHeight="1" x14ac:dyDescent="0.3">
      <c r="A87" s="91"/>
      <c r="B87" s="243" t="s">
        <v>253</v>
      </c>
      <c r="C87" s="244" t="s">
        <v>254</v>
      </c>
      <c r="D87" s="245" t="s">
        <v>243</v>
      </c>
      <c r="E87" s="218" t="s">
        <v>246</v>
      </c>
      <c r="F87" s="218" t="s">
        <v>255</v>
      </c>
      <c r="G87" s="245" t="s">
        <v>256</v>
      </c>
      <c r="H87" s="218" t="s">
        <v>257</v>
      </c>
    </row>
    <row r="88" spans="1:8" ht="14.25" customHeight="1" x14ac:dyDescent="0.3">
      <c r="A88" s="270" t="s">
        <v>230</v>
      </c>
      <c r="B88" s="123" t="str">
        <f t="shared" ref="B88:D104" si="19">B5</f>
        <v>Indian Meat Tammam Mafroom - مفروم هندى</v>
      </c>
      <c r="C88" s="123" t="str">
        <f t="shared" si="19"/>
        <v>gm</v>
      </c>
      <c r="D88" s="263">
        <f t="shared" si="19"/>
        <v>3831.3793103448274</v>
      </c>
      <c r="E88" s="223">
        <f>H54</f>
        <v>2.4651246512465139</v>
      </c>
      <c r="F88" s="127">
        <f t="shared" ref="F88:F104" si="20">F5</f>
        <v>1</v>
      </c>
      <c r="G88" s="119">
        <f t="shared" ref="G88:G103" si="21">D88*E88</f>
        <v>9444.8275862069022</v>
      </c>
      <c r="H88" s="120">
        <f t="shared" ref="H88:H103" si="22">G88*F88</f>
        <v>9444.8275862069022</v>
      </c>
    </row>
    <row r="89" spans="1:8" ht="14.25" customHeight="1" x14ac:dyDescent="0.3">
      <c r="A89" s="270" t="s">
        <v>13</v>
      </c>
      <c r="B89" s="123" t="str">
        <f t="shared" si="19"/>
        <v>Onion - بصل</v>
      </c>
      <c r="C89" s="123" t="str">
        <f t="shared" si="19"/>
        <v>gm</v>
      </c>
      <c r="D89" s="123">
        <f t="shared" si="19"/>
        <v>580</v>
      </c>
      <c r="E89" s="223">
        <f t="shared" ref="E89:E104" si="23">$C$54</f>
        <v>2.5677083333333321</v>
      </c>
      <c r="F89" s="127">
        <f t="shared" si="20"/>
        <v>0.95</v>
      </c>
      <c r="G89" s="119">
        <f t="shared" si="21"/>
        <v>1489.2708333333326</v>
      </c>
      <c r="H89" s="120">
        <f t="shared" si="22"/>
        <v>1414.8072916666658</v>
      </c>
    </row>
    <row r="90" spans="1:8" ht="14.25" customHeight="1" x14ac:dyDescent="0.3">
      <c r="A90" s="270" t="s">
        <v>13</v>
      </c>
      <c r="B90" s="123" t="str">
        <f t="shared" si="19"/>
        <v>Garlic - ثوم مقشر</v>
      </c>
      <c r="C90" s="123" t="str">
        <f t="shared" si="19"/>
        <v>gm</v>
      </c>
      <c r="D90" s="123">
        <f t="shared" si="19"/>
        <v>15</v>
      </c>
      <c r="E90" s="223">
        <f t="shared" si="23"/>
        <v>2.5677083333333321</v>
      </c>
      <c r="F90" s="127">
        <f t="shared" si="20"/>
        <v>0.95</v>
      </c>
      <c r="G90" s="119">
        <f t="shared" si="21"/>
        <v>38.515624999999986</v>
      </c>
      <c r="H90" s="120">
        <f t="shared" si="22"/>
        <v>36.589843749999986</v>
      </c>
    </row>
    <row r="91" spans="1:8" ht="14.25" customHeight="1" x14ac:dyDescent="0.3">
      <c r="A91" s="270" t="s">
        <v>97</v>
      </c>
      <c r="B91" s="123" t="str">
        <f t="shared" si="19"/>
        <v>Curry Powder - كاري بودرة</v>
      </c>
      <c r="C91" s="123" t="str">
        <f t="shared" si="19"/>
        <v>gm</v>
      </c>
      <c r="D91" s="123">
        <f t="shared" si="19"/>
        <v>10</v>
      </c>
      <c r="E91" s="223">
        <f t="shared" si="23"/>
        <v>2.5677083333333321</v>
      </c>
      <c r="F91" s="127">
        <f t="shared" si="20"/>
        <v>0.75</v>
      </c>
      <c r="G91" s="119">
        <f t="shared" si="21"/>
        <v>25.677083333333321</v>
      </c>
      <c r="H91" s="120">
        <f t="shared" si="22"/>
        <v>19.257812499999993</v>
      </c>
    </row>
    <row r="92" spans="1:8" ht="14.25" customHeight="1" x14ac:dyDescent="0.3">
      <c r="A92" s="270" t="s">
        <v>97</v>
      </c>
      <c r="B92" s="123" t="str">
        <f t="shared" si="19"/>
        <v>White Pepper - فلفل أبيض</v>
      </c>
      <c r="C92" s="123" t="str">
        <f t="shared" si="19"/>
        <v>gm</v>
      </c>
      <c r="D92" s="123">
        <f t="shared" si="19"/>
        <v>3</v>
      </c>
      <c r="E92" s="223">
        <f t="shared" si="23"/>
        <v>2.5677083333333321</v>
      </c>
      <c r="F92" s="127">
        <f t="shared" si="20"/>
        <v>0.75</v>
      </c>
      <c r="G92" s="119">
        <f t="shared" si="21"/>
        <v>7.7031249999999964</v>
      </c>
      <c r="H92" s="120">
        <f t="shared" si="22"/>
        <v>5.7773437499999973</v>
      </c>
    </row>
    <row r="93" spans="1:8" ht="14.25" customHeight="1" x14ac:dyDescent="0.3">
      <c r="A93" s="270" t="s">
        <v>97</v>
      </c>
      <c r="B93" s="123" t="str">
        <f t="shared" si="19"/>
        <v>Cumin Powder - كمون مطحون</v>
      </c>
      <c r="C93" s="123" t="str">
        <f t="shared" si="19"/>
        <v>gm</v>
      </c>
      <c r="D93" s="123">
        <f t="shared" si="19"/>
        <v>5</v>
      </c>
      <c r="E93" s="223">
        <f t="shared" si="23"/>
        <v>2.5677083333333321</v>
      </c>
      <c r="F93" s="127">
        <f t="shared" si="20"/>
        <v>0.9</v>
      </c>
      <c r="G93" s="119">
        <f t="shared" si="21"/>
        <v>12.838541666666661</v>
      </c>
      <c r="H93" s="120">
        <f t="shared" si="22"/>
        <v>11.554687499999995</v>
      </c>
    </row>
    <row r="94" spans="1:8" ht="14.25" customHeight="1" x14ac:dyDescent="0.3">
      <c r="A94" s="270" t="s">
        <v>97</v>
      </c>
      <c r="B94" s="123" t="str">
        <f t="shared" si="19"/>
        <v>Coriander Powder - كزبرة مطحونة</v>
      </c>
      <c r="C94" s="123" t="str">
        <f t="shared" si="19"/>
        <v>gm</v>
      </c>
      <c r="D94" s="123">
        <f t="shared" si="19"/>
        <v>5</v>
      </c>
      <c r="E94" s="223">
        <f t="shared" si="23"/>
        <v>2.5677083333333321</v>
      </c>
      <c r="F94" s="127">
        <f t="shared" si="20"/>
        <v>0.9</v>
      </c>
      <c r="G94" s="119">
        <f t="shared" si="21"/>
        <v>12.838541666666661</v>
      </c>
      <c r="H94" s="120">
        <f t="shared" si="22"/>
        <v>11.554687499999995</v>
      </c>
    </row>
    <row r="95" spans="1:8" ht="14.25" customHeight="1" x14ac:dyDescent="0.3">
      <c r="A95" s="270" t="s">
        <v>63</v>
      </c>
      <c r="B95" s="123" t="str">
        <f t="shared" si="19"/>
        <v>Coriander Leaves - كزبرة خضراء</v>
      </c>
      <c r="C95" s="123" t="str">
        <f t="shared" si="19"/>
        <v>gm</v>
      </c>
      <c r="D95" s="123">
        <f t="shared" si="19"/>
        <v>10</v>
      </c>
      <c r="E95" s="223">
        <f t="shared" si="23"/>
        <v>2.5677083333333321</v>
      </c>
      <c r="F95" s="127">
        <f t="shared" si="20"/>
        <v>1</v>
      </c>
      <c r="G95" s="119">
        <f t="shared" si="21"/>
        <v>25.677083333333321</v>
      </c>
      <c r="H95" s="120">
        <f t="shared" si="22"/>
        <v>25.677083333333321</v>
      </c>
    </row>
    <row r="96" spans="1:8" ht="14.25" customHeight="1" x14ac:dyDescent="0.3">
      <c r="A96" s="270" t="s">
        <v>158</v>
      </c>
      <c r="B96" s="123" t="str">
        <f t="shared" si="19"/>
        <v>Yogurt - زبادي</v>
      </c>
      <c r="C96" s="123" t="str">
        <f t="shared" si="19"/>
        <v>gm</v>
      </c>
      <c r="D96" s="123">
        <f t="shared" si="19"/>
        <v>400</v>
      </c>
      <c r="E96" s="223">
        <f t="shared" si="23"/>
        <v>2.5677083333333321</v>
      </c>
      <c r="F96" s="127">
        <f t="shared" si="20"/>
        <v>1</v>
      </c>
      <c r="G96" s="119">
        <f t="shared" si="21"/>
        <v>1027.0833333333328</v>
      </c>
      <c r="H96" s="120">
        <f t="shared" si="22"/>
        <v>1027.0833333333328</v>
      </c>
    </row>
    <row r="97" spans="1:10" ht="14.25" customHeight="1" x14ac:dyDescent="0.3">
      <c r="A97" s="270" t="s">
        <v>158</v>
      </c>
      <c r="B97" s="123" t="str">
        <f t="shared" si="19"/>
        <v>Cooking Cream - كريمة طبخ</v>
      </c>
      <c r="C97" s="123" t="str">
        <f t="shared" si="19"/>
        <v>ml</v>
      </c>
      <c r="D97" s="123">
        <f t="shared" si="19"/>
        <v>450</v>
      </c>
      <c r="E97" s="223">
        <f t="shared" si="23"/>
        <v>2.5677083333333321</v>
      </c>
      <c r="F97" s="127">
        <f t="shared" si="20"/>
        <v>1</v>
      </c>
      <c r="G97" s="119">
        <f t="shared" si="21"/>
        <v>1155.4687499999995</v>
      </c>
      <c r="H97" s="120">
        <f t="shared" si="22"/>
        <v>1155.4687499999995</v>
      </c>
    </row>
    <row r="98" spans="1:10" ht="14.25" customHeight="1" x14ac:dyDescent="0.3">
      <c r="A98" s="270" t="s">
        <v>97</v>
      </c>
      <c r="B98" s="123" t="str">
        <f t="shared" si="19"/>
        <v>Salt - ملح</v>
      </c>
      <c r="C98" s="123" t="str">
        <f t="shared" si="19"/>
        <v>gm</v>
      </c>
      <c r="D98" s="123">
        <f t="shared" si="19"/>
        <v>11</v>
      </c>
      <c r="E98" s="223">
        <f t="shared" si="23"/>
        <v>2.5677083333333321</v>
      </c>
      <c r="F98" s="127">
        <f t="shared" si="20"/>
        <v>1</v>
      </c>
      <c r="G98" s="119">
        <f t="shared" si="21"/>
        <v>28.244791666666654</v>
      </c>
      <c r="H98" s="120">
        <f t="shared" si="22"/>
        <v>28.244791666666654</v>
      </c>
    </row>
    <row r="99" spans="1:10" ht="14.25" customHeight="1" x14ac:dyDescent="0.3">
      <c r="A99" s="270" t="s">
        <v>158</v>
      </c>
      <c r="B99" s="123" t="str">
        <f t="shared" si="19"/>
        <v>Butter - زبدة</v>
      </c>
      <c r="C99" s="123" t="str">
        <f t="shared" si="19"/>
        <v>gm</v>
      </c>
      <c r="D99" s="123">
        <f t="shared" si="19"/>
        <v>50</v>
      </c>
      <c r="E99" s="223">
        <f t="shared" si="23"/>
        <v>2.5677083333333321</v>
      </c>
      <c r="F99" s="127">
        <f t="shared" si="20"/>
        <v>1</v>
      </c>
      <c r="G99" s="119">
        <f t="shared" si="21"/>
        <v>128.3854166666666</v>
      </c>
      <c r="H99" s="120">
        <f t="shared" si="22"/>
        <v>128.3854166666666</v>
      </c>
    </row>
    <row r="100" spans="1:10" ht="14.25" customHeight="1" x14ac:dyDescent="0.3">
      <c r="A100" s="270" t="s">
        <v>97</v>
      </c>
      <c r="B100" s="123" t="str">
        <f t="shared" si="19"/>
        <v>Cardamom Powder - هيل مطحون</v>
      </c>
      <c r="C100" s="123" t="str">
        <f t="shared" si="19"/>
        <v>gm</v>
      </c>
      <c r="D100" s="123">
        <f t="shared" si="19"/>
        <v>3</v>
      </c>
      <c r="E100" s="223">
        <f t="shared" si="23"/>
        <v>2.5677083333333321</v>
      </c>
      <c r="F100" s="127">
        <f t="shared" si="20"/>
        <v>0.75</v>
      </c>
      <c r="G100" s="119">
        <f t="shared" si="21"/>
        <v>7.7031249999999964</v>
      </c>
      <c r="H100" s="120">
        <f t="shared" si="22"/>
        <v>5.7773437499999973</v>
      </c>
    </row>
    <row r="101" spans="1:10" ht="14.25" customHeight="1" x14ac:dyDescent="0.3">
      <c r="A101" s="270" t="s">
        <v>97</v>
      </c>
      <c r="B101" s="123" t="str">
        <f t="shared" si="19"/>
        <v>Cinnamon Powder - قرفة مطحونة</v>
      </c>
      <c r="C101" s="123" t="str">
        <f t="shared" si="19"/>
        <v>gm</v>
      </c>
      <c r="D101" s="123">
        <f t="shared" si="19"/>
        <v>2</v>
      </c>
      <c r="E101" s="223">
        <f t="shared" si="23"/>
        <v>2.5677083333333321</v>
      </c>
      <c r="F101" s="127">
        <f t="shared" si="20"/>
        <v>0.75</v>
      </c>
      <c r="G101" s="119">
        <f t="shared" si="21"/>
        <v>5.1354166666666643</v>
      </c>
      <c r="H101" s="120">
        <f t="shared" si="22"/>
        <v>3.8515624999999982</v>
      </c>
    </row>
    <row r="102" spans="1:10" ht="14.25" customHeight="1" x14ac:dyDescent="0.3">
      <c r="A102" s="270" t="s">
        <v>63</v>
      </c>
      <c r="B102" s="123" t="str">
        <f t="shared" si="19"/>
        <v>Mint Leaves - نعناع طازج</v>
      </c>
      <c r="C102" s="123" t="str">
        <f t="shared" si="19"/>
        <v>gm</v>
      </c>
      <c r="D102" s="123">
        <f t="shared" si="19"/>
        <v>15</v>
      </c>
      <c r="E102" s="223">
        <f t="shared" si="23"/>
        <v>2.5677083333333321</v>
      </c>
      <c r="F102" s="127">
        <f t="shared" si="20"/>
        <v>0.85</v>
      </c>
      <c r="G102" s="119">
        <f t="shared" si="21"/>
        <v>38.515624999999986</v>
      </c>
      <c r="H102" s="120">
        <f t="shared" si="22"/>
        <v>32.738281249999986</v>
      </c>
    </row>
    <row r="103" spans="1:10" ht="20.25" customHeight="1" x14ac:dyDescent="0.4">
      <c r="A103" s="270" t="s">
        <v>83</v>
      </c>
      <c r="B103" s="123" t="str">
        <f t="shared" si="19"/>
        <v>Dried Mint Leaves - نعناع مجفف</v>
      </c>
      <c r="C103" s="123" t="str">
        <f t="shared" si="19"/>
        <v>gm</v>
      </c>
      <c r="D103" s="123">
        <f t="shared" si="19"/>
        <v>1</v>
      </c>
      <c r="E103" s="223">
        <f t="shared" si="23"/>
        <v>2.5677083333333321</v>
      </c>
      <c r="F103" s="127">
        <f t="shared" si="20"/>
        <v>0.75</v>
      </c>
      <c r="G103" s="119">
        <f t="shared" si="21"/>
        <v>2.5677083333333321</v>
      </c>
      <c r="H103" s="120">
        <f t="shared" si="22"/>
        <v>1.9257812499999991</v>
      </c>
      <c r="I103" s="204"/>
      <c r="J103" s="203"/>
    </row>
    <row r="104" spans="1:10" ht="25" x14ac:dyDescent="0.3">
      <c r="A104" s="270" t="s">
        <v>83</v>
      </c>
      <c r="B104" s="123" t="str">
        <f t="shared" si="19"/>
        <v>لون صفار زعفران بودر - Saffron yellow color powder</v>
      </c>
      <c r="C104" s="123" t="str">
        <f t="shared" si="19"/>
        <v>gm</v>
      </c>
      <c r="D104" s="123">
        <f t="shared" si="19"/>
        <v>1</v>
      </c>
      <c r="E104" s="223">
        <f t="shared" si="23"/>
        <v>2.5677083333333321</v>
      </c>
      <c r="F104" s="127">
        <f t="shared" si="20"/>
        <v>1</v>
      </c>
      <c r="G104" s="119">
        <f>D104*E104</f>
        <v>2.5677083333333321</v>
      </c>
      <c r="H104" s="120">
        <f>G104*F104</f>
        <v>2.5677083333333321</v>
      </c>
    </row>
    <row r="105" spans="1:10" ht="18" x14ac:dyDescent="0.3">
      <c r="A105" s="211"/>
      <c r="B105" s="198" t="s">
        <v>299</v>
      </c>
      <c r="C105" s="200" t="s">
        <v>285</v>
      </c>
      <c r="D105" s="14"/>
      <c r="E105" s="200" t="s">
        <v>300</v>
      </c>
      <c r="F105" s="14"/>
      <c r="G105" s="890" t="s">
        <v>276</v>
      </c>
      <c r="H105" s="890" t="s">
        <v>733</v>
      </c>
    </row>
    <row r="106" spans="1:10" ht="25.5" customHeight="1" x14ac:dyDescent="0.4">
      <c r="A106" s="211"/>
      <c r="B106" s="199">
        <f>$J$54</f>
        <v>5478</v>
      </c>
      <c r="C106" s="199">
        <f>E106+G106</f>
        <v>2464.9999999999991</v>
      </c>
      <c r="D106" s="209"/>
      <c r="E106" s="199">
        <f>$D$54*$S$44</f>
        <v>0</v>
      </c>
      <c r="F106" s="934"/>
      <c r="G106" s="199">
        <f>$D$54*$T$44</f>
        <v>2464.9999999999991</v>
      </c>
      <c r="H106" s="199">
        <f>B106+E106</f>
        <v>5478</v>
      </c>
    </row>
  </sheetData>
  <mergeCells count="10">
    <mergeCell ref="B86:H86"/>
    <mergeCell ref="AE2:AG3"/>
    <mergeCell ref="B85:H85"/>
    <mergeCell ref="R26:U26"/>
    <mergeCell ref="AN2:AN3"/>
    <mergeCell ref="R25:U25"/>
    <mergeCell ref="B62:H62"/>
    <mergeCell ref="F2:F3"/>
    <mergeCell ref="B63:H63"/>
    <mergeCell ref="AK2:AM2"/>
  </mergeCells>
  <printOptions horizontalCentered="1"/>
  <pageMargins left="0.4" right="0.4" top="1" bottom="0.5" header="0.3" footer="0.511811023622047"/>
  <pageSetup paperSize="9" scale="41" fitToHeight="0" orientation="landscape" r:id="rId1"/>
  <legacyDrawing r:id="rId2"/>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rgb="FFC55A11"/>
    <pageSetUpPr fitToPage="1"/>
  </sheetPr>
  <dimension ref="A1:AG105"/>
  <sheetViews>
    <sheetView topLeftCell="A15" zoomScale="85" zoomScaleNormal="85" workbookViewId="0">
      <selection activeCell="B35" sqref="B35:L37"/>
    </sheetView>
  </sheetViews>
  <sheetFormatPr defaultColWidth="12.5" defaultRowHeight="14" x14ac:dyDescent="0.3"/>
  <cols>
    <col min="1" max="1" width="12.5" style="79" customWidth="1"/>
    <col min="2" max="2" width="36"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3.83203125" style="14" customWidth="1"/>
    <col min="15" max="17" width="12.5" style="14" customWidth="1"/>
    <col min="18" max="18" width="32.83203125" style="14" customWidth="1"/>
    <col min="19" max="19" width="12.5" style="14" customWidth="1"/>
    <col min="20" max="29" width="12.5" style="14"/>
    <col min="30" max="31" width="12.5" style="828"/>
    <col min="32" max="16384" width="12.5" style="14"/>
  </cols>
  <sheetData>
    <row r="1" spans="1:33" ht="35.25" customHeight="1" x14ac:dyDescent="0.3">
      <c r="B1" s="80" t="s">
        <v>243</v>
      </c>
      <c r="C1" s="81">
        <v>1000</v>
      </c>
      <c r="D1" s="82" t="s">
        <v>244</v>
      </c>
      <c r="E1" s="117">
        <f>T32</f>
        <v>11916.923076923089</v>
      </c>
      <c r="F1" s="80" t="s">
        <v>245</v>
      </c>
      <c r="G1" s="249">
        <f>E1/C1</f>
        <v>11.916923076923089</v>
      </c>
      <c r="H1" s="80" t="s">
        <v>246</v>
      </c>
      <c r="I1" s="282">
        <f>G1/K1</f>
        <v>12.160125588697028</v>
      </c>
      <c r="J1" s="86" t="s">
        <v>247</v>
      </c>
      <c r="K1" s="327">
        <f>9.8/10</f>
        <v>0.98000000000000009</v>
      </c>
      <c r="L1" s="100"/>
      <c r="M1" s="89"/>
      <c r="N1" s="90"/>
      <c r="O1" s="91" t="s">
        <v>248</v>
      </c>
      <c r="P1" s="92" t="s">
        <v>301</v>
      </c>
      <c r="Q1" s="93" t="s">
        <v>250</v>
      </c>
      <c r="R1" s="92">
        <v>0.51</v>
      </c>
      <c r="Y1" s="91" t="s">
        <v>479</v>
      </c>
      <c r="Z1" s="847">
        <v>50640</v>
      </c>
      <c r="AA1" s="91" t="s">
        <v>600</v>
      </c>
      <c r="AB1" s="847">
        <v>1000</v>
      </c>
      <c r="AC1" s="91" t="s">
        <v>587</v>
      </c>
      <c r="AD1" s="847">
        <v>345</v>
      </c>
      <c r="AE1" s="824"/>
      <c r="AF1" s="252"/>
      <c r="AG1" s="92"/>
    </row>
    <row r="2" spans="1:33" ht="12.75" customHeight="1" x14ac:dyDescent="0.3">
      <c r="A2" s="97"/>
      <c r="B2" s="1387" t="s">
        <v>133</v>
      </c>
      <c r="C2" s="1389"/>
      <c r="D2" s="1389"/>
      <c r="E2" s="1389"/>
      <c r="F2" s="1389"/>
      <c r="G2" s="1389"/>
      <c r="H2" s="1389"/>
      <c r="I2" s="1389"/>
      <c r="J2" s="1389"/>
      <c r="K2" s="397"/>
      <c r="L2" s="293"/>
      <c r="M2" s="100"/>
      <c r="N2" s="100"/>
      <c r="O2" s="100"/>
      <c r="P2" s="100"/>
      <c r="Q2" s="100"/>
      <c r="R2" s="100"/>
      <c r="AC2" s="99"/>
      <c r="AD2" s="825"/>
      <c r="AE2" s="1391"/>
      <c r="AF2" s="1389"/>
      <c r="AG2" s="1389"/>
    </row>
    <row r="3" spans="1:33" ht="12.75" customHeight="1" x14ac:dyDescent="0.3">
      <c r="A3" s="97"/>
      <c r="B3" s="1388"/>
      <c r="C3" s="1388"/>
      <c r="D3" s="1388"/>
      <c r="E3" s="1388"/>
      <c r="F3" s="1388"/>
      <c r="G3" s="1388"/>
      <c r="H3" s="1388"/>
      <c r="I3" s="1388"/>
      <c r="J3" s="1388"/>
      <c r="K3" s="397"/>
      <c r="L3" s="293"/>
      <c r="M3" s="100"/>
      <c r="N3" s="100"/>
      <c r="O3" s="100"/>
      <c r="P3" s="100"/>
      <c r="Q3" s="100"/>
      <c r="R3" s="100"/>
      <c r="AC3" s="99"/>
      <c r="AD3" s="825"/>
      <c r="AE3" s="1389"/>
      <c r="AF3" s="1389"/>
      <c r="AG3" s="1389"/>
    </row>
    <row r="4" spans="1:33" ht="35.25" customHeight="1" x14ac:dyDescent="0.25">
      <c r="A4" s="91" t="s">
        <v>1</v>
      </c>
      <c r="B4" s="91" t="s">
        <v>253</v>
      </c>
      <c r="C4" s="107" t="s">
        <v>254</v>
      </c>
      <c r="D4" s="91" t="s">
        <v>243</v>
      </c>
      <c r="E4" s="108" t="s">
        <v>246</v>
      </c>
      <c r="F4" s="108" t="s">
        <v>255</v>
      </c>
      <c r="G4" s="91" t="s">
        <v>256</v>
      </c>
      <c r="H4" s="107" t="s">
        <v>347</v>
      </c>
      <c r="I4" s="91" t="s">
        <v>258</v>
      </c>
      <c r="J4" s="91" t="s">
        <v>259</v>
      </c>
      <c r="K4" s="91" t="s">
        <v>260</v>
      </c>
      <c r="L4" s="91" t="s">
        <v>261</v>
      </c>
      <c r="M4" s="100"/>
      <c r="N4" s="100"/>
      <c r="O4" s="100"/>
      <c r="P4" s="100"/>
      <c r="AA4" s="251"/>
      <c r="AB4" s="253"/>
      <c r="AC4" s="251"/>
      <c r="AD4" s="823"/>
      <c r="AE4" s="823"/>
    </row>
    <row r="5" spans="1:33" ht="14.25" customHeight="1" x14ac:dyDescent="0.25">
      <c r="A5" s="266" t="s">
        <v>230</v>
      </c>
      <c r="B5" s="22" t="s">
        <v>236</v>
      </c>
      <c r="C5" s="115" t="s">
        <v>14</v>
      </c>
      <c r="D5" s="121">
        <f>I51/10</f>
        <v>6536.0784313725489</v>
      </c>
      <c r="E5" s="117">
        <f>H52</f>
        <v>11.916684743228206</v>
      </c>
      <c r="F5" s="127">
        <v>1</v>
      </c>
      <c r="G5" s="119">
        <f t="shared" ref="G5:G20" si="0">D5*E5</f>
        <v>77888.386123680204</v>
      </c>
      <c r="H5" s="120">
        <f t="shared" ref="H5:H20" si="1">G5*F5</f>
        <v>77888.386123680204</v>
      </c>
      <c r="I5" s="81">
        <f>VLOOKUP(B5,All_Ingredients!$A$1:$F$151,6,FALSE())</f>
        <v>0.61</v>
      </c>
      <c r="J5" s="119">
        <f>VLOOKUP(B5,All_Ingredients!$A$1:$J$151,10,FALSE())</f>
        <v>39</v>
      </c>
      <c r="K5" s="122">
        <f t="shared" ref="K5" si="2">(H5/I5)/1000</f>
        <v>127.68587889127902</v>
      </c>
      <c r="L5" s="122">
        <f t="shared" ref="L5" si="3">K5*J5</f>
        <v>4979.7492767598815</v>
      </c>
      <c r="M5" s="100"/>
      <c r="N5" s="100"/>
      <c r="O5" s="100"/>
      <c r="P5" s="100"/>
      <c r="AA5" s="92"/>
      <c r="AB5" s="133"/>
      <c r="AC5" s="254"/>
      <c r="AD5" s="826"/>
      <c r="AE5" s="827"/>
    </row>
    <row r="6" spans="1:33" ht="14.25" customHeight="1" x14ac:dyDescent="0.3">
      <c r="A6" s="128" t="s">
        <v>13</v>
      </c>
      <c r="B6" s="22" t="s">
        <v>12</v>
      </c>
      <c r="C6" s="124" t="s">
        <v>14</v>
      </c>
      <c r="D6" s="125">
        <v>300</v>
      </c>
      <c r="E6" s="197">
        <f t="shared" ref="E6:E20" si="4">$I$1</f>
        <v>12.160125588697028</v>
      </c>
      <c r="F6" s="127">
        <v>0.95</v>
      </c>
      <c r="G6" s="119">
        <f t="shared" si="0"/>
        <v>3648.0376766091085</v>
      </c>
      <c r="H6" s="120">
        <f t="shared" si="1"/>
        <v>3465.635792778653</v>
      </c>
      <c r="I6" s="81">
        <f>VLOOKUP(B6,All_Ingredients!$A$1:$F$151,6,FALSE())</f>
        <v>0.9</v>
      </c>
      <c r="J6" s="119">
        <f>VLOOKUP(B6,All_Ingredients!$A$1:$J$151,10,FALSE())</f>
        <v>3</v>
      </c>
      <c r="K6" s="122">
        <f t="shared" ref="K6:K20" si="5">(H6/I6)/1000</f>
        <v>3.8507064364207255</v>
      </c>
      <c r="L6" s="122">
        <f t="shared" ref="L6:L20" si="6">K6*J6</f>
        <v>11.552119309262176</v>
      </c>
    </row>
    <row r="7" spans="1:33" ht="14.25" customHeight="1" x14ac:dyDescent="0.3">
      <c r="A7" s="128" t="s">
        <v>13</v>
      </c>
      <c r="B7" s="22" t="s">
        <v>792</v>
      </c>
      <c r="C7" s="124" t="s">
        <v>14</v>
      </c>
      <c r="D7" s="125">
        <v>25</v>
      </c>
      <c r="E7" s="197">
        <f t="shared" si="4"/>
        <v>12.160125588697028</v>
      </c>
      <c r="F7" s="127">
        <v>1</v>
      </c>
      <c r="G7" s="119">
        <f t="shared" si="0"/>
        <v>304.00313971742571</v>
      </c>
      <c r="H7" s="120">
        <f t="shared" si="1"/>
        <v>304.00313971742571</v>
      </c>
      <c r="I7" s="81">
        <f>VLOOKUP(B7,All_Ingredients!$A$1:$F$151,6,FALSE())</f>
        <v>1</v>
      </c>
      <c r="J7" s="119">
        <f>VLOOKUP(B7,All_Ingredients!$A$1:$J$151,10,FALSE())</f>
        <v>10.5</v>
      </c>
      <c r="K7" s="122">
        <f t="shared" si="5"/>
        <v>0.30400313971742571</v>
      </c>
      <c r="L7" s="122">
        <f t="shared" si="6"/>
        <v>3.1920329670329699</v>
      </c>
    </row>
    <row r="8" spans="1:33" ht="14.25" customHeight="1" x14ac:dyDescent="0.3">
      <c r="A8" s="128" t="s">
        <v>13</v>
      </c>
      <c r="B8" s="22" t="s">
        <v>17</v>
      </c>
      <c r="C8" s="124" t="s">
        <v>14</v>
      </c>
      <c r="D8" s="125">
        <v>300</v>
      </c>
      <c r="E8" s="197">
        <f t="shared" si="4"/>
        <v>12.160125588697028</v>
      </c>
      <c r="F8" s="127">
        <v>1</v>
      </c>
      <c r="G8" s="119">
        <f t="shared" si="0"/>
        <v>3648.0376766091085</v>
      </c>
      <c r="H8" s="120">
        <f t="shared" si="1"/>
        <v>3648.0376766091085</v>
      </c>
      <c r="I8" s="81">
        <f>VLOOKUP(B8,All_Ingredients!$A$1:$F$151,6,FALSE())</f>
        <v>0.98</v>
      </c>
      <c r="J8" s="119">
        <f>VLOOKUP(B8,All_Ingredients!$A$1:$J$151,10,FALSE())</f>
        <v>3.5</v>
      </c>
      <c r="K8" s="122">
        <f t="shared" si="5"/>
        <v>3.7224874251113351</v>
      </c>
      <c r="L8" s="122">
        <f t="shared" si="6"/>
        <v>13.028705987889673</v>
      </c>
    </row>
    <row r="9" spans="1:33" ht="14.25" customHeight="1" x14ac:dyDescent="0.3">
      <c r="A9" s="128" t="s">
        <v>57</v>
      </c>
      <c r="B9" s="22" t="s">
        <v>56</v>
      </c>
      <c r="C9" s="124" t="s">
        <v>14</v>
      </c>
      <c r="D9" s="125">
        <v>20</v>
      </c>
      <c r="E9" s="197">
        <f t="shared" si="4"/>
        <v>12.160125588697028</v>
      </c>
      <c r="F9" s="127">
        <v>1</v>
      </c>
      <c r="G9" s="119">
        <f t="shared" si="0"/>
        <v>243.20251177394056</v>
      </c>
      <c r="H9" s="120">
        <f t="shared" si="1"/>
        <v>243.20251177394056</v>
      </c>
      <c r="I9" s="81">
        <f>VLOOKUP(B9,All_Ingredients!$A$1:$F$151,6,FALSE())</f>
        <v>0.87</v>
      </c>
      <c r="J9" s="119">
        <f>VLOOKUP(B9,All_Ingredients!$A$1:$J$151,10,FALSE())</f>
        <v>7</v>
      </c>
      <c r="K9" s="122">
        <f t="shared" si="5"/>
        <v>0.27954311698154088</v>
      </c>
      <c r="L9" s="122">
        <f t="shared" si="6"/>
        <v>1.9568018188707863</v>
      </c>
    </row>
    <row r="10" spans="1:33" ht="14.25" customHeight="1" x14ac:dyDescent="0.3">
      <c r="A10" s="128" t="s">
        <v>97</v>
      </c>
      <c r="B10" s="22" t="s">
        <v>112</v>
      </c>
      <c r="C10" s="124" t="s">
        <v>14</v>
      </c>
      <c r="D10" s="125">
        <v>25</v>
      </c>
      <c r="E10" s="197">
        <f t="shared" si="4"/>
        <v>12.160125588697028</v>
      </c>
      <c r="F10" s="127">
        <v>0.75</v>
      </c>
      <c r="G10" s="119">
        <f t="shared" si="0"/>
        <v>304.00313971742571</v>
      </c>
      <c r="H10" s="120">
        <f t="shared" si="1"/>
        <v>228.00235478806928</v>
      </c>
      <c r="I10" s="81">
        <f>VLOOKUP(B10,All_Ingredients!$A$1:$F$151,6,FALSE())</f>
        <v>1</v>
      </c>
      <c r="J10" s="119">
        <f>VLOOKUP(B10,All_Ingredients!$A$1:$J$151,10,FALSE())</f>
        <v>26.5</v>
      </c>
      <c r="K10" s="122">
        <f t="shared" si="5"/>
        <v>0.22800235478806929</v>
      </c>
      <c r="L10" s="122">
        <f t="shared" si="6"/>
        <v>6.042062401883836</v>
      </c>
    </row>
    <row r="11" spans="1:33" ht="14.25" customHeight="1" x14ac:dyDescent="0.3">
      <c r="A11" s="128" t="s">
        <v>97</v>
      </c>
      <c r="B11" s="22" t="s">
        <v>106</v>
      </c>
      <c r="C11" s="124" t="s">
        <v>14</v>
      </c>
      <c r="D11" s="125">
        <v>5</v>
      </c>
      <c r="E11" s="197">
        <f t="shared" si="4"/>
        <v>12.160125588697028</v>
      </c>
      <c r="F11" s="127">
        <v>1</v>
      </c>
      <c r="G11" s="119">
        <f t="shared" si="0"/>
        <v>60.800627943485139</v>
      </c>
      <c r="H11" s="120">
        <f t="shared" si="1"/>
        <v>60.800627943485139</v>
      </c>
      <c r="I11" s="81">
        <f>VLOOKUP(B11,All_Ingredients!$A$1:$F$151,6,FALSE())</f>
        <v>1</v>
      </c>
      <c r="J11" s="119">
        <f>VLOOKUP(B11,All_Ingredients!$A$1:$J$151,10,FALSE())</f>
        <v>19</v>
      </c>
      <c r="K11" s="122">
        <f t="shared" si="5"/>
        <v>6.080062794348514E-2</v>
      </c>
      <c r="L11" s="122">
        <f t="shared" si="6"/>
        <v>1.1552119309262177</v>
      </c>
    </row>
    <row r="12" spans="1:33" ht="14.25" customHeight="1" x14ac:dyDescent="0.3">
      <c r="A12" s="128" t="s">
        <v>97</v>
      </c>
      <c r="B12" s="22" t="s">
        <v>128</v>
      </c>
      <c r="C12" s="124" t="s">
        <v>14</v>
      </c>
      <c r="D12" s="125">
        <v>2</v>
      </c>
      <c r="E12" s="197">
        <f t="shared" si="4"/>
        <v>12.160125588697028</v>
      </c>
      <c r="F12" s="127">
        <v>0.75</v>
      </c>
      <c r="G12" s="119">
        <f t="shared" si="0"/>
        <v>24.320251177394056</v>
      </c>
      <c r="H12" s="120">
        <f t="shared" si="1"/>
        <v>18.240188383045542</v>
      </c>
      <c r="I12" s="81">
        <f>VLOOKUP(B12,All_Ingredients!$A$1:$F$151,6,FALSE())</f>
        <v>1</v>
      </c>
      <c r="J12" s="119">
        <f>VLOOKUP(B12,All_Ingredients!$A$1:$J$151,10,FALSE())</f>
        <v>37</v>
      </c>
      <c r="K12" s="122">
        <f t="shared" si="5"/>
        <v>1.8240188383045541E-2</v>
      </c>
      <c r="L12" s="122">
        <f t="shared" si="6"/>
        <v>0.67488697017268495</v>
      </c>
    </row>
    <row r="13" spans="1:33" ht="14.25" customHeight="1" x14ac:dyDescent="0.3">
      <c r="A13" s="128" t="s">
        <v>97</v>
      </c>
      <c r="B13" s="22" t="s">
        <v>789</v>
      </c>
      <c r="C13" s="124" t="s">
        <v>14</v>
      </c>
      <c r="D13" s="273">
        <v>3</v>
      </c>
      <c r="E13" s="197">
        <f t="shared" si="4"/>
        <v>12.160125588697028</v>
      </c>
      <c r="F13" s="127">
        <v>0.75</v>
      </c>
      <c r="G13" s="119">
        <f t="shared" si="0"/>
        <v>36.480376766091084</v>
      </c>
      <c r="H13" s="120">
        <f t="shared" si="1"/>
        <v>27.360282574568313</v>
      </c>
      <c r="I13" s="81">
        <f>VLOOKUP(B13,All_Ingredients!$A$1:$F$151,6,FALSE())</f>
        <v>1</v>
      </c>
      <c r="J13" s="119">
        <f>VLOOKUP(B13,All_Ingredients!$A$1:$J$151,10,FALSE())</f>
        <v>52</v>
      </c>
      <c r="K13" s="122">
        <f t="shared" si="5"/>
        <v>2.7360282574568313E-2</v>
      </c>
      <c r="L13" s="122">
        <f t="shared" si="6"/>
        <v>1.4227346938775522</v>
      </c>
    </row>
    <row r="14" spans="1:33" ht="14.25" customHeight="1" x14ac:dyDescent="0.3">
      <c r="A14" s="128" t="s">
        <v>97</v>
      </c>
      <c r="B14" s="22" t="s">
        <v>144</v>
      </c>
      <c r="C14" s="124" t="s">
        <v>14</v>
      </c>
      <c r="D14" s="125">
        <v>10</v>
      </c>
      <c r="E14" s="197">
        <f t="shared" si="4"/>
        <v>12.160125588697028</v>
      </c>
      <c r="F14" s="127">
        <v>1</v>
      </c>
      <c r="G14" s="119">
        <f t="shared" si="0"/>
        <v>121.60125588697028</v>
      </c>
      <c r="H14" s="120">
        <f t="shared" si="1"/>
        <v>121.60125588697028</v>
      </c>
      <c r="I14" s="81">
        <f>VLOOKUP(B14,All_Ingredients!$A$1:$F$151,6,FALSE())</f>
        <v>1</v>
      </c>
      <c r="J14" s="119">
        <f>VLOOKUP(B14,All_Ingredients!$A$1:$J$151,10,FALSE())</f>
        <v>15.277777777777779</v>
      </c>
      <c r="K14" s="122">
        <f t="shared" si="5"/>
        <v>0.12160125588697028</v>
      </c>
      <c r="L14" s="122">
        <f t="shared" si="6"/>
        <v>1.8577969649398238</v>
      </c>
    </row>
    <row r="15" spans="1:33" ht="14.25" customHeight="1" x14ac:dyDescent="0.3">
      <c r="A15" s="128" t="s">
        <v>13</v>
      </c>
      <c r="B15" s="22" t="s">
        <v>34</v>
      </c>
      <c r="C15" s="124" t="s">
        <v>14</v>
      </c>
      <c r="D15" s="125">
        <v>5</v>
      </c>
      <c r="E15" s="197">
        <f t="shared" si="4"/>
        <v>12.160125588697028</v>
      </c>
      <c r="F15" s="127">
        <v>0.75</v>
      </c>
      <c r="G15" s="119">
        <f t="shared" si="0"/>
        <v>60.800627943485139</v>
      </c>
      <c r="H15" s="120">
        <f t="shared" si="1"/>
        <v>45.600470957613851</v>
      </c>
      <c r="I15" s="81">
        <f>VLOOKUP(B15,All_Ingredients!$A$1:$F$151,6,FALSE())</f>
        <v>0.86</v>
      </c>
      <c r="J15" s="119">
        <f>VLOOKUP(B15,All_Ingredients!$A$1:$J$151,10,FALSE())</f>
        <v>14</v>
      </c>
      <c r="K15" s="122">
        <f t="shared" si="5"/>
        <v>5.3023803439085873E-2</v>
      </c>
      <c r="L15" s="122">
        <f t="shared" si="6"/>
        <v>0.74233324814720225</v>
      </c>
    </row>
    <row r="16" spans="1:33" ht="14.25" customHeight="1" x14ac:dyDescent="0.3">
      <c r="A16" s="128" t="s">
        <v>97</v>
      </c>
      <c r="B16" s="22" t="s">
        <v>122</v>
      </c>
      <c r="C16" s="124" t="s">
        <v>14</v>
      </c>
      <c r="D16" s="125">
        <v>5</v>
      </c>
      <c r="E16" s="197">
        <f t="shared" si="4"/>
        <v>12.160125588697028</v>
      </c>
      <c r="F16" s="127">
        <v>0.75</v>
      </c>
      <c r="G16" s="119">
        <f t="shared" si="0"/>
        <v>60.800627943485139</v>
      </c>
      <c r="H16" s="120">
        <f t="shared" si="1"/>
        <v>45.600470957613851</v>
      </c>
      <c r="I16" s="81">
        <f>VLOOKUP(B16,All_Ingredients!$A$1:$F$151,6,FALSE())</f>
        <v>1</v>
      </c>
      <c r="J16" s="119">
        <f>VLOOKUP(B16,All_Ingredients!$A$1:$J$151,10,FALSE())</f>
        <v>15</v>
      </c>
      <c r="K16" s="122">
        <f t="shared" si="5"/>
        <v>4.5600470957613853E-2</v>
      </c>
      <c r="L16" s="122">
        <f t="shared" si="6"/>
        <v>0.68400706436420777</v>
      </c>
    </row>
    <row r="17" spans="1:30" ht="14.25" customHeight="1" x14ac:dyDescent="0.3">
      <c r="A17" s="128" t="s">
        <v>220</v>
      </c>
      <c r="B17" s="22" t="s">
        <v>815</v>
      </c>
      <c r="C17" s="124" t="s">
        <v>14</v>
      </c>
      <c r="D17" s="125">
        <v>2</v>
      </c>
      <c r="E17" s="197">
        <f t="shared" si="4"/>
        <v>12.160125588697028</v>
      </c>
      <c r="F17" s="127">
        <v>1</v>
      </c>
      <c r="G17" s="119">
        <f t="shared" si="0"/>
        <v>24.320251177394056</v>
      </c>
      <c r="H17" s="120">
        <f t="shared" si="1"/>
        <v>24.320251177394056</v>
      </c>
      <c r="I17" s="81">
        <f>VLOOKUP(B17,All_Ingredients!$A$1:$F$151,6,FALSE())</f>
        <v>1</v>
      </c>
      <c r="J17" s="119">
        <f>VLOOKUP(B17,All_Ingredients!$A$1:$J$151,10,FALSE())</f>
        <v>22.5</v>
      </c>
      <c r="K17" s="122">
        <f t="shared" si="5"/>
        <v>2.4320251177394055E-2</v>
      </c>
      <c r="L17" s="122">
        <f t="shared" si="6"/>
        <v>0.54720565149136624</v>
      </c>
    </row>
    <row r="18" spans="1:30" ht="14.25" customHeight="1" x14ac:dyDescent="0.3">
      <c r="A18" s="128" t="s">
        <v>158</v>
      </c>
      <c r="B18" s="22" t="s">
        <v>171</v>
      </c>
      <c r="C18" s="124" t="s">
        <v>165</v>
      </c>
      <c r="D18" s="125">
        <v>500</v>
      </c>
      <c r="E18" s="197">
        <f t="shared" si="4"/>
        <v>12.160125588697028</v>
      </c>
      <c r="F18" s="127">
        <v>1</v>
      </c>
      <c r="G18" s="119">
        <f t="shared" si="0"/>
        <v>6080.0627943485142</v>
      </c>
      <c r="H18" s="120">
        <f t="shared" si="1"/>
        <v>6080.0627943485142</v>
      </c>
      <c r="I18" s="81">
        <f>VLOOKUP(B18,All_Ingredients!$A$1:$F$151,6,FALSE())</f>
        <v>1</v>
      </c>
      <c r="J18" s="119">
        <f>VLOOKUP(B18,All_Ingredients!$A$1:$J$151,10,FALSE())</f>
        <v>12.666666666666666</v>
      </c>
      <c r="K18" s="122">
        <f t="shared" si="5"/>
        <v>6.0800627943485139</v>
      </c>
      <c r="L18" s="122">
        <f t="shared" si="6"/>
        <v>77.014128728414505</v>
      </c>
    </row>
    <row r="19" spans="1:30" ht="14.25" customHeight="1" x14ac:dyDescent="0.3">
      <c r="A19" s="128" t="s">
        <v>210</v>
      </c>
      <c r="B19" s="22" t="s">
        <v>214</v>
      </c>
      <c r="C19" s="124" t="s">
        <v>165</v>
      </c>
      <c r="D19" s="125">
        <v>500</v>
      </c>
      <c r="E19" s="197">
        <f t="shared" si="4"/>
        <v>12.160125588697028</v>
      </c>
      <c r="F19" s="127">
        <v>0.75</v>
      </c>
      <c r="G19" s="119">
        <f t="shared" si="0"/>
        <v>6080.0627943485142</v>
      </c>
      <c r="H19" s="120">
        <f t="shared" si="1"/>
        <v>4560.0470957613852</v>
      </c>
      <c r="I19" s="81">
        <f>VLOOKUP(B19,All_Ingredients!$A$1:$F$151,6,FALSE())</f>
        <v>1</v>
      </c>
      <c r="J19" s="119">
        <f>VLOOKUP(B19,All_Ingredients!$A$1:$J$151,10,FALSE())</f>
        <v>0</v>
      </c>
      <c r="K19" s="122">
        <f t="shared" si="5"/>
        <v>4.5600470957613854</v>
      </c>
      <c r="L19" s="122">
        <f t="shared" si="6"/>
        <v>0</v>
      </c>
    </row>
    <row r="20" spans="1:30" ht="14.25" customHeight="1" x14ac:dyDescent="0.3">
      <c r="A20" s="128" t="s">
        <v>158</v>
      </c>
      <c r="B20" s="267" t="s">
        <v>157</v>
      </c>
      <c r="C20" s="124" t="s">
        <v>14</v>
      </c>
      <c r="D20" s="125">
        <v>45</v>
      </c>
      <c r="E20" s="197">
        <f t="shared" si="4"/>
        <v>12.160125588697028</v>
      </c>
      <c r="F20" s="127">
        <v>1</v>
      </c>
      <c r="G20" s="119">
        <f t="shared" si="0"/>
        <v>547.20565149136621</v>
      </c>
      <c r="H20" s="120">
        <f t="shared" si="1"/>
        <v>547.20565149136621</v>
      </c>
      <c r="I20" s="81">
        <f>VLOOKUP(B20,All_Ingredients!$A$1:$F$151,6,FALSE())</f>
        <v>1</v>
      </c>
      <c r="J20" s="119">
        <f>VLOOKUP(B20,All_Ingredients!$A$1:$J$151,10,FALSE())</f>
        <v>30</v>
      </c>
      <c r="K20" s="122">
        <f t="shared" si="5"/>
        <v>0.54720565149136624</v>
      </c>
      <c r="L20" s="122">
        <f t="shared" si="6"/>
        <v>16.416169544740988</v>
      </c>
    </row>
    <row r="21" spans="1:30" ht="14.25" customHeight="1" x14ac:dyDescent="0.3">
      <c r="B21" s="100"/>
      <c r="C21" s="171"/>
      <c r="D21" s="171"/>
      <c r="E21" s="100"/>
      <c r="F21" s="100"/>
      <c r="G21" s="171"/>
      <c r="L21" s="297"/>
    </row>
    <row r="22" spans="1:30" ht="14.25" customHeight="1" x14ac:dyDescent="0.3">
      <c r="L22" s="297"/>
      <c r="V22"/>
    </row>
    <row r="23" spans="1:30" ht="14.25" customHeight="1" x14ac:dyDescent="0.3">
      <c r="L23" s="297"/>
      <c r="V23"/>
    </row>
    <row r="24" spans="1:30" ht="14.25" customHeight="1" x14ac:dyDescent="0.3">
      <c r="L24" s="297"/>
      <c r="V24"/>
      <c r="Z24" s="1234"/>
    </row>
    <row r="25" spans="1:30" ht="14.25" customHeight="1" x14ac:dyDescent="0.35">
      <c r="L25" s="297"/>
      <c r="R25" s="1487" t="s">
        <v>463</v>
      </c>
      <c r="S25" s="1476"/>
      <c r="T25" s="1476"/>
      <c r="U25" s="1476"/>
      <c r="V25" s="1218"/>
      <c r="Z25" s="141" t="s">
        <v>264</v>
      </c>
      <c r="AA25" s="142">
        <v>51640</v>
      </c>
      <c r="AB25" s="141" t="s">
        <v>261</v>
      </c>
      <c r="AC25" s="1232">
        <f>AD30*AA25</f>
        <v>5117.7073971188192</v>
      </c>
      <c r="AD25" s="14"/>
    </row>
    <row r="26" spans="1:30" ht="14.25" customHeight="1" x14ac:dyDescent="0.3">
      <c r="L26" s="297"/>
      <c r="R26" s="1423" t="s">
        <v>309</v>
      </c>
      <c r="S26" s="1476"/>
      <c r="T26" s="1476"/>
      <c r="U26" s="1476"/>
      <c r="V26" s="1218"/>
      <c r="AD26" s="14"/>
    </row>
    <row r="27" spans="1:30" ht="14.25" customHeight="1" thickBot="1" x14ac:dyDescent="0.35">
      <c r="R27" s="145" t="s">
        <v>266</v>
      </c>
      <c r="S27" s="146" t="s">
        <v>376</v>
      </c>
      <c r="T27" s="146" t="s">
        <v>268</v>
      </c>
      <c r="U27" s="146" t="s">
        <v>269</v>
      </c>
      <c r="V27" s="146" t="s">
        <v>848</v>
      </c>
      <c r="Z27" s="141" t="s">
        <v>270</v>
      </c>
      <c r="AA27" s="147" t="s">
        <v>271</v>
      </c>
      <c r="AB27" s="147" t="s">
        <v>272</v>
      </c>
      <c r="AC27" s="1186" t="s">
        <v>848</v>
      </c>
      <c r="AD27" s="147" t="s">
        <v>274</v>
      </c>
    </row>
    <row r="28" spans="1:30" ht="14.25" customHeight="1" thickBot="1" x14ac:dyDescent="0.35">
      <c r="B28" s="100"/>
      <c r="E28" s="100"/>
      <c r="F28" s="100"/>
      <c r="R28" s="148" t="s">
        <v>275</v>
      </c>
      <c r="S28" s="149">
        <f>U28*S40</f>
        <v>38953.846153846142</v>
      </c>
      <c r="T28" s="149">
        <f>U28*U40</f>
        <v>11686.153846153858</v>
      </c>
      <c r="U28" s="150">
        <f>$Z$1</f>
        <v>50640</v>
      </c>
      <c r="V28" s="149">
        <f>H37</f>
        <v>24.150000000000002</v>
      </c>
      <c r="Z28" s="151"/>
      <c r="AA28" s="152">
        <f>AA25*$S$40</f>
        <v>39723.076923076915</v>
      </c>
      <c r="AB28" s="152">
        <f>AA25*$U$40</f>
        <v>11916.923076923089</v>
      </c>
      <c r="AC28" s="1188"/>
      <c r="AD28" s="154">
        <f>SUM(AA28:AC28)</f>
        <v>51640</v>
      </c>
    </row>
    <row r="29" spans="1:30" ht="14.25" customHeight="1" thickBot="1" x14ac:dyDescent="0.35">
      <c r="B29" s="100"/>
      <c r="C29" s="861"/>
      <c r="D29" s="861"/>
      <c r="E29" s="861"/>
      <c r="F29" s="861"/>
      <c r="G29" s="861"/>
      <c r="H29"/>
      <c r="R29" s="148" t="s">
        <v>276</v>
      </c>
      <c r="S29" s="155"/>
      <c r="T29" s="149"/>
      <c r="U29" s="149">
        <f>T29</f>
        <v>0</v>
      </c>
      <c r="V29" s="149"/>
      <c r="Z29" s="151"/>
      <c r="AA29" s="156">
        <f>AA28/$AD$28</f>
        <v>0.76923076923076905</v>
      </c>
      <c r="AB29" s="156">
        <f>AB28/$AD$28</f>
        <v>0.230769230769231</v>
      </c>
      <c r="AC29" s="1192"/>
      <c r="AD29" s="156">
        <f>AD28/$AD$28</f>
        <v>1</v>
      </c>
    </row>
    <row r="30" spans="1:30" ht="14.25" customHeight="1" thickBot="1" x14ac:dyDescent="0.35">
      <c r="B30" s="371"/>
      <c r="C30" s="348"/>
      <c r="D30" s="264"/>
      <c r="E30" s="371"/>
      <c r="F30" s="371"/>
      <c r="G30" s="264"/>
      <c r="H30" s="55"/>
      <c r="R30" s="148" t="s">
        <v>277</v>
      </c>
      <c r="S30" s="1228">
        <f>U30*S40</f>
        <v>769.23076923076906</v>
      </c>
      <c r="T30" s="1228">
        <f>U30*U40</f>
        <v>230.769230769231</v>
      </c>
      <c r="U30" s="150">
        <f>$AB$1</f>
        <v>1000</v>
      </c>
      <c r="V30" s="1143"/>
      <c r="Z30" s="141" t="s">
        <v>278</v>
      </c>
      <c r="AA30" s="157">
        <f>S35/(S32)</f>
        <v>0.1253616200578592</v>
      </c>
      <c r="AB30" s="158">
        <f>T35/T32</f>
        <v>1.1436357892242319E-2</v>
      </c>
      <c r="AC30" s="1199">
        <f>V35/U32</f>
        <v>3.2376511946612649E-5</v>
      </c>
      <c r="AD30" s="1201">
        <f>SUMPRODUCT(AA30:AB30,AA29:AB29)+AC30</f>
        <v>9.910355145466343E-2</v>
      </c>
    </row>
    <row r="31" spans="1:30" ht="14.25" customHeight="1" thickBot="1" x14ac:dyDescent="0.35">
      <c r="B31" s="100"/>
      <c r="E31" s="100"/>
      <c r="F31" s="100"/>
      <c r="R31" s="148" t="s">
        <v>279</v>
      </c>
      <c r="S31" s="155"/>
      <c r="T31" s="149"/>
      <c r="U31" s="149"/>
      <c r="V31" s="149"/>
    </row>
    <row r="32" spans="1:30" ht="14.25" customHeight="1" thickBot="1" x14ac:dyDescent="0.35">
      <c r="R32" s="160" t="s">
        <v>269</v>
      </c>
      <c r="S32" s="149">
        <f>SUM(S28:S30)</f>
        <v>39723.076923076907</v>
      </c>
      <c r="T32" s="149">
        <f>SUM(T28:T30)</f>
        <v>11916.923076923089</v>
      </c>
      <c r="U32" s="149">
        <f>SUM(U28:U30)</f>
        <v>51640</v>
      </c>
      <c r="V32" s="149">
        <f>SUM(V28:V30)</f>
        <v>24.150000000000002</v>
      </c>
    </row>
    <row r="33" spans="2:23" ht="14.25" customHeight="1" thickBot="1" x14ac:dyDescent="0.35">
      <c r="R33" s="161" t="s">
        <v>280</v>
      </c>
      <c r="S33" s="155"/>
      <c r="T33" s="155"/>
      <c r="U33" s="155"/>
      <c r="V33" s="155"/>
    </row>
    <row r="34" spans="2:23" ht="14.25" customHeight="1" thickBot="1" x14ac:dyDescent="0.35">
      <c r="R34" s="162" t="s">
        <v>281</v>
      </c>
      <c r="S34" s="155"/>
      <c r="T34" s="149"/>
      <c r="U34" s="155"/>
      <c r="V34" s="155"/>
    </row>
    <row r="35" spans="2:23" ht="14.25" customHeight="1" thickBot="1" x14ac:dyDescent="0.35">
      <c r="B35" s="1394" t="s">
        <v>722</v>
      </c>
      <c r="C35" s="1394"/>
      <c r="D35" s="1394"/>
      <c r="E35" s="1394"/>
      <c r="F35" s="1394"/>
      <c r="G35" s="882"/>
      <c r="H35" s="882"/>
      <c r="I35" s="889"/>
      <c r="J35" s="889"/>
      <c r="K35" s="889"/>
      <c r="L35" s="889"/>
      <c r="R35" s="163" t="s">
        <v>261</v>
      </c>
      <c r="S35" s="1144">
        <f>$L$5</f>
        <v>4979.7492767598815</v>
      </c>
      <c r="T35" s="1292">
        <f>SUM(L6:L20)</f>
        <v>136.286197282014</v>
      </c>
      <c r="U35" s="1144">
        <f>S35+T35+V35</f>
        <v>5117.7073971188183</v>
      </c>
      <c r="V35" s="1144">
        <f>L37</f>
        <v>1.6719230769230771</v>
      </c>
    </row>
    <row r="36" spans="2:23" ht="46.5" x14ac:dyDescent="0.3">
      <c r="B36" s="860" t="s">
        <v>253</v>
      </c>
      <c r="C36" s="860" t="s">
        <v>329</v>
      </c>
      <c r="D36" s="862" t="s">
        <v>671</v>
      </c>
      <c r="E36" s="859" t="s">
        <v>672</v>
      </c>
      <c r="F36" s="862" t="s">
        <v>673</v>
      </c>
      <c r="G36" s="882"/>
      <c r="H36" s="862" t="s">
        <v>673</v>
      </c>
      <c r="I36" s="862" t="s">
        <v>258</v>
      </c>
      <c r="J36" s="862" t="s">
        <v>259</v>
      </c>
      <c r="K36" s="862" t="s">
        <v>260</v>
      </c>
      <c r="L36" s="862" t="s">
        <v>261</v>
      </c>
    </row>
    <row r="37" spans="2:23" x14ac:dyDescent="0.3">
      <c r="B37" s="855" t="s">
        <v>746</v>
      </c>
      <c r="C37" s="856" t="s">
        <v>14</v>
      </c>
      <c r="D37" s="857">
        <v>7.0000000000000007E-2</v>
      </c>
      <c r="E37" s="855">
        <f>$AD$1</f>
        <v>345</v>
      </c>
      <c r="F37" s="855">
        <f>D37*E37</f>
        <v>24.150000000000002</v>
      </c>
      <c r="G37" s="881"/>
      <c r="H37" s="855">
        <f>F37</f>
        <v>24.150000000000002</v>
      </c>
      <c r="I37" s="855">
        <f>VLOOKUP(B37,All_Ingredients!$A$1:$F$151,6,FALSE())</f>
        <v>0.65</v>
      </c>
      <c r="J37" s="855">
        <f>VLOOKUP(B37,All_Ingredients!$A$1:$J$151,10,FALSE())</f>
        <v>45</v>
      </c>
      <c r="K37" s="855">
        <f>(H37/I37)/1000</f>
        <v>3.7153846153846155E-2</v>
      </c>
      <c r="L37" s="855">
        <f>K37*J37</f>
        <v>1.6719230769230771</v>
      </c>
    </row>
    <row r="40" spans="2:23" ht="14.75" customHeight="1" x14ac:dyDescent="0.3">
      <c r="R40" s="165" t="s">
        <v>282</v>
      </c>
      <c r="S40" s="166">
        <v>0.76923076923076905</v>
      </c>
      <c r="T40" s="165" t="s">
        <v>283</v>
      </c>
      <c r="U40" s="167">
        <v>0.230769230769231</v>
      </c>
      <c r="V40" s="168">
        <f>S40+U40</f>
        <v>1</v>
      </c>
    </row>
    <row r="41" spans="2:23" ht="14.25" customHeight="1" x14ac:dyDescent="0.3">
      <c r="U41" s="169"/>
    </row>
    <row r="42" spans="2:23" ht="14.25" customHeight="1" x14ac:dyDescent="0.3"/>
    <row r="43" spans="2:23" ht="14.25" customHeight="1" x14ac:dyDescent="0.3">
      <c r="Q43" s="170" t="s">
        <v>284</v>
      </c>
      <c r="R43" s="170" t="s">
        <v>285</v>
      </c>
      <c r="S43" s="170" t="s">
        <v>286</v>
      </c>
      <c r="T43" s="170" t="s">
        <v>287</v>
      </c>
      <c r="U43" s="170" t="s">
        <v>288</v>
      </c>
      <c r="V43" s="170" t="s">
        <v>289</v>
      </c>
      <c r="W43" s="258" t="s">
        <v>290</v>
      </c>
    </row>
    <row r="44" spans="2:23" ht="14.25" customHeight="1" x14ac:dyDescent="0.3">
      <c r="Q44" s="172">
        <v>43334</v>
      </c>
      <c r="R44" s="173">
        <f>D51</f>
        <v>10000</v>
      </c>
      <c r="S44" s="174">
        <v>1</v>
      </c>
      <c r="T44" s="174">
        <v>0</v>
      </c>
      <c r="U44" s="242">
        <f>R44*S44</f>
        <v>10000</v>
      </c>
      <c r="V44" s="176">
        <f>R44*T44</f>
        <v>0</v>
      </c>
      <c r="W44" s="260">
        <f>Q44-U44</f>
        <v>33334</v>
      </c>
    </row>
    <row r="50" spans="1:10" ht="14" customHeight="1" x14ac:dyDescent="0.3">
      <c r="B50" s="145"/>
      <c r="C50" s="145" t="s">
        <v>245</v>
      </c>
      <c r="D50" s="145" t="s">
        <v>291</v>
      </c>
      <c r="E50" s="100"/>
      <c r="F50" s="100"/>
      <c r="G50" s="145" t="s">
        <v>292</v>
      </c>
      <c r="H50" s="145" t="s">
        <v>245</v>
      </c>
      <c r="I50" s="145" t="s">
        <v>293</v>
      </c>
      <c r="J50" s="145" t="s">
        <v>294</v>
      </c>
    </row>
    <row r="51" spans="1:10" ht="14" customHeight="1" x14ac:dyDescent="0.3">
      <c r="B51" s="180" t="s">
        <v>295</v>
      </c>
      <c r="C51" s="181">
        <f>10/$K$1</f>
        <v>10.204081632653061</v>
      </c>
      <c r="D51" s="182">
        <f>$C$1*10</f>
        <v>10000</v>
      </c>
      <c r="E51" s="183"/>
      <c r="F51" s="100"/>
      <c r="G51" s="180" t="s">
        <v>295</v>
      </c>
      <c r="H51" s="277">
        <f>I51/$D$5</f>
        <v>10</v>
      </c>
      <c r="I51" s="181">
        <f>J51/$R$1</f>
        <v>65360.784313725489</v>
      </c>
      <c r="J51" s="181">
        <f>$W$44</f>
        <v>33334</v>
      </c>
    </row>
    <row r="52" spans="1:10" x14ac:dyDescent="0.3">
      <c r="B52" s="231" t="s">
        <v>274</v>
      </c>
      <c r="C52" s="232">
        <f>$I$1</f>
        <v>12.160125588697028</v>
      </c>
      <c r="D52" s="233">
        <f>$E$1</f>
        <v>11916.923076923089</v>
      </c>
      <c r="E52" s="100"/>
      <c r="F52" s="100"/>
      <c r="G52" s="148" t="s">
        <v>274</v>
      </c>
      <c r="H52" s="210">
        <f>I52/$D$5</f>
        <v>11.916684743228206</v>
      </c>
      <c r="I52" s="176">
        <f>J52/$R$1</f>
        <v>77888.386123680204</v>
      </c>
      <c r="J52" s="184">
        <f>$S$32</f>
        <v>39723.076923076907</v>
      </c>
    </row>
    <row r="53" spans="1:10" x14ac:dyDescent="0.3">
      <c r="B53" s="231" t="s">
        <v>296</v>
      </c>
      <c r="C53" s="234">
        <f>MIN(C52, C51)</f>
        <v>10.204081632653061</v>
      </c>
      <c r="D53" s="233">
        <f>(C53*$K$1)*$C$1</f>
        <v>10000</v>
      </c>
      <c r="E53" s="100"/>
      <c r="F53" s="100"/>
      <c r="G53" s="148" t="s">
        <v>296</v>
      </c>
      <c r="H53" s="187">
        <f>MIN(H52,H51)</f>
        <v>10</v>
      </c>
      <c r="I53" s="176">
        <f>J53/$R$1</f>
        <v>65360.784313725489</v>
      </c>
      <c r="J53" s="176">
        <f>MIN(J52,J51)</f>
        <v>33334</v>
      </c>
    </row>
    <row r="54" spans="1:10" ht="14.25" customHeight="1" x14ac:dyDescent="0.3">
      <c r="B54" s="231" t="s">
        <v>297</v>
      </c>
      <c r="C54" s="234">
        <f>MIN(MAX(C52-C53,0),C51)</f>
        <v>1.9560439560439669</v>
      </c>
      <c r="D54" s="233">
        <f>(C54*$K$1)*$C$1</f>
        <v>1916.9230769230876</v>
      </c>
      <c r="E54" s="100"/>
      <c r="F54" s="100"/>
      <c r="G54" s="148" t="s">
        <v>297</v>
      </c>
      <c r="H54" s="187">
        <f>MIN(MAX(H52-H53),H51)</f>
        <v>1.9166847432282061</v>
      </c>
      <c r="I54" s="176">
        <f>J54/$R$1</f>
        <v>12527.60180995472</v>
      </c>
      <c r="J54" s="176">
        <f>MIN(MAX(J52-J53),J51)</f>
        <v>6389.0769230769074</v>
      </c>
    </row>
    <row r="55" spans="1:10" ht="14.25" customHeight="1" x14ac:dyDescent="0.3">
      <c r="B55" s="231" t="s">
        <v>298</v>
      </c>
      <c r="C55" s="234">
        <f>MIN(MAX(C52-C53-C54,0),C51)</f>
        <v>0</v>
      </c>
      <c r="D55" s="233">
        <f>(C55*$K$1)*$C$1</f>
        <v>0</v>
      </c>
      <c r="E55" s="100"/>
      <c r="F55" s="100"/>
      <c r="G55" s="145" t="s">
        <v>298</v>
      </c>
      <c r="H55" s="187">
        <f>MIN(MAX(H52-H53-H54),H51)</f>
        <v>0</v>
      </c>
      <c r="I55" s="176">
        <f>J55/$R$1</f>
        <v>0</v>
      </c>
      <c r="J55" s="176">
        <f>MIN(MAX(J52-J53-J54),J51)</f>
        <v>0</v>
      </c>
    </row>
    <row r="56" spans="1:10" ht="14.25" customHeight="1" x14ac:dyDescent="0.3">
      <c r="B56" s="100"/>
      <c r="C56" s="100"/>
      <c r="D56" s="100"/>
      <c r="E56" s="100"/>
      <c r="F56" s="100"/>
      <c r="G56" s="100"/>
      <c r="H56" s="100"/>
      <c r="I56" s="100"/>
      <c r="J56" s="100"/>
    </row>
    <row r="57" spans="1:10" ht="17.75" customHeight="1" x14ac:dyDescent="0.3">
      <c r="B57" s="262"/>
    </row>
    <row r="58" spans="1:10" ht="17.75" customHeight="1" x14ac:dyDescent="0.3">
      <c r="B58" s="1428"/>
      <c r="C58" s="1389"/>
      <c r="D58" s="1389"/>
      <c r="E58" s="1389"/>
      <c r="F58" s="1389"/>
      <c r="G58" s="1389"/>
      <c r="H58" s="1389"/>
      <c r="I58" s="1389"/>
      <c r="J58" s="1389"/>
    </row>
    <row r="62" spans="1:10" ht="17.75" customHeight="1" x14ac:dyDescent="0.3">
      <c r="A62" s="937"/>
      <c r="B62" s="1382" t="str">
        <f>"شرمب بالكارى و الكريمة  1 / " &amp; COUNTIF($C$53:$C$55, "&gt;0")</f>
        <v>شرمب بالكارى و الكريمة  1 / 2</v>
      </c>
      <c r="C62" s="1383"/>
      <c r="D62" s="1383"/>
      <c r="E62" s="1383"/>
      <c r="F62" s="1383"/>
      <c r="G62" s="1383"/>
      <c r="H62" s="1383"/>
    </row>
    <row r="63" spans="1:10" ht="17.75" customHeight="1" x14ac:dyDescent="0.3">
      <c r="A63" s="937"/>
      <c r="B63" s="1384" t="str">
        <f>"Curry Shrimp 1 / " &amp; COUNTIF(C$53:C$55, "&gt;0")</f>
        <v>Curry Shrimp 1 / 2</v>
      </c>
      <c r="C63" s="1385"/>
      <c r="D63" s="1385"/>
      <c r="E63" s="1385"/>
      <c r="F63" s="1385"/>
      <c r="G63" s="1385"/>
      <c r="H63" s="1385"/>
    </row>
    <row r="64" spans="1:10" ht="42.5" customHeight="1" x14ac:dyDescent="0.25">
      <c r="A64" s="91"/>
      <c r="B64" s="91" t="s">
        <v>253</v>
      </c>
      <c r="C64" s="107" t="s">
        <v>254</v>
      </c>
      <c r="D64" s="91" t="s">
        <v>243</v>
      </c>
      <c r="E64" s="108" t="s">
        <v>246</v>
      </c>
      <c r="F64" s="108" t="s">
        <v>255</v>
      </c>
      <c r="G64" s="91" t="s">
        <v>256</v>
      </c>
      <c r="H64" s="218" t="s">
        <v>257</v>
      </c>
    </row>
    <row r="65" spans="1:8" ht="14.25" customHeight="1" x14ac:dyDescent="0.25">
      <c r="A65" s="219" t="s">
        <v>230</v>
      </c>
      <c r="B65" s="323" t="str">
        <f t="shared" ref="B65:D80" si="7">B5</f>
        <v>Shrimp - جمبرى</v>
      </c>
      <c r="C65" s="323" t="str">
        <f t="shared" si="7"/>
        <v>gm</v>
      </c>
      <c r="D65" s="488">
        <f t="shared" si="7"/>
        <v>6536.0784313725489</v>
      </c>
      <c r="E65" s="126">
        <f>H53</f>
        <v>10</v>
      </c>
      <c r="F65" s="127">
        <f t="shared" ref="F65:F80" si="8">F5</f>
        <v>1</v>
      </c>
      <c r="G65" s="119">
        <f t="shared" ref="G65:G80" si="9">D65*E65</f>
        <v>65360.784313725489</v>
      </c>
      <c r="H65" s="120">
        <f t="shared" ref="H65:H80" si="10">G65*F65</f>
        <v>65360.784313725489</v>
      </c>
    </row>
    <row r="66" spans="1:8" ht="14.25" customHeight="1" x14ac:dyDescent="0.3">
      <c r="A66" s="128" t="s">
        <v>13</v>
      </c>
      <c r="B66" s="323" t="str">
        <f t="shared" si="7"/>
        <v>Onion - بصل</v>
      </c>
      <c r="C66" s="323" t="str">
        <f t="shared" si="7"/>
        <v>gm</v>
      </c>
      <c r="D66" s="323">
        <f t="shared" si="7"/>
        <v>300</v>
      </c>
      <c r="E66" s="126">
        <f t="shared" ref="E66:E80" si="11">$C$53</f>
        <v>10.204081632653061</v>
      </c>
      <c r="F66" s="127">
        <f t="shared" si="8"/>
        <v>0.95</v>
      </c>
      <c r="G66" s="119">
        <f t="shared" si="9"/>
        <v>3061.2244897959181</v>
      </c>
      <c r="H66" s="120">
        <f t="shared" si="10"/>
        <v>2908.163265306122</v>
      </c>
    </row>
    <row r="67" spans="1:8" ht="14.25" customHeight="1" x14ac:dyDescent="0.3">
      <c r="A67" s="128" t="s">
        <v>13</v>
      </c>
      <c r="B67" s="323" t="str">
        <f t="shared" si="7"/>
        <v>Garlic - ثوم مقشر</v>
      </c>
      <c r="C67" s="323" t="str">
        <f t="shared" si="7"/>
        <v>gm</v>
      </c>
      <c r="D67" s="323">
        <f t="shared" si="7"/>
        <v>25</v>
      </c>
      <c r="E67" s="126">
        <f t="shared" si="11"/>
        <v>10.204081632653061</v>
      </c>
      <c r="F67" s="127">
        <f t="shared" si="8"/>
        <v>1</v>
      </c>
      <c r="G67" s="119">
        <f t="shared" si="9"/>
        <v>255.10204081632654</v>
      </c>
      <c r="H67" s="120">
        <f t="shared" si="10"/>
        <v>255.10204081632654</v>
      </c>
    </row>
    <row r="68" spans="1:8" ht="14.25" customHeight="1" x14ac:dyDescent="0.3">
      <c r="A68" s="128" t="s">
        <v>13</v>
      </c>
      <c r="B68" s="323" t="str">
        <f t="shared" si="7"/>
        <v>Tomato - طماطم</v>
      </c>
      <c r="C68" s="323" t="str">
        <f t="shared" si="7"/>
        <v>gm</v>
      </c>
      <c r="D68" s="323">
        <f t="shared" si="7"/>
        <v>300</v>
      </c>
      <c r="E68" s="126">
        <f t="shared" si="11"/>
        <v>10.204081632653061</v>
      </c>
      <c r="F68" s="127">
        <f t="shared" si="8"/>
        <v>1</v>
      </c>
      <c r="G68" s="119">
        <f t="shared" si="9"/>
        <v>3061.2244897959181</v>
      </c>
      <c r="H68" s="120">
        <f t="shared" si="10"/>
        <v>3061.2244897959181</v>
      </c>
    </row>
    <row r="69" spans="1:8" ht="14.25" customHeight="1" x14ac:dyDescent="0.3">
      <c r="A69" s="128" t="s">
        <v>57</v>
      </c>
      <c r="B69" s="323" t="str">
        <f t="shared" si="7"/>
        <v>Ginger - زنجبيل</v>
      </c>
      <c r="C69" s="323" t="str">
        <f t="shared" si="7"/>
        <v>gm</v>
      </c>
      <c r="D69" s="323">
        <f t="shared" si="7"/>
        <v>20</v>
      </c>
      <c r="E69" s="126">
        <f t="shared" si="11"/>
        <v>10.204081632653061</v>
      </c>
      <c r="F69" s="127">
        <f t="shared" si="8"/>
        <v>1</v>
      </c>
      <c r="G69" s="119">
        <f t="shared" si="9"/>
        <v>204.08163265306121</v>
      </c>
      <c r="H69" s="120">
        <f t="shared" si="10"/>
        <v>204.08163265306121</v>
      </c>
    </row>
    <row r="70" spans="1:8" ht="14.25" customHeight="1" x14ac:dyDescent="0.3">
      <c r="A70" s="128" t="s">
        <v>97</v>
      </c>
      <c r="B70" s="323" t="str">
        <f t="shared" si="7"/>
        <v>Curry Powder - كاري بودرة</v>
      </c>
      <c r="C70" s="323" t="str">
        <f t="shared" si="7"/>
        <v>gm</v>
      </c>
      <c r="D70" s="323">
        <f t="shared" si="7"/>
        <v>25</v>
      </c>
      <c r="E70" s="126">
        <f t="shared" si="11"/>
        <v>10.204081632653061</v>
      </c>
      <c r="F70" s="127">
        <f t="shared" si="8"/>
        <v>0.75</v>
      </c>
      <c r="G70" s="119">
        <f t="shared" si="9"/>
        <v>255.10204081632654</v>
      </c>
      <c r="H70" s="120">
        <f t="shared" si="10"/>
        <v>191.32653061224491</v>
      </c>
    </row>
    <row r="71" spans="1:8" ht="14.25" customHeight="1" x14ac:dyDescent="0.3">
      <c r="A71" s="128" t="s">
        <v>97</v>
      </c>
      <c r="B71" s="323" t="str">
        <f t="shared" si="7"/>
        <v>Cumin Whole - كمون حب</v>
      </c>
      <c r="C71" s="323" t="str">
        <f t="shared" si="7"/>
        <v>gm</v>
      </c>
      <c r="D71" s="323">
        <f t="shared" si="7"/>
        <v>5</v>
      </c>
      <c r="E71" s="126">
        <f t="shared" si="11"/>
        <v>10.204081632653061</v>
      </c>
      <c r="F71" s="127">
        <f t="shared" si="8"/>
        <v>1</v>
      </c>
      <c r="G71" s="119">
        <f t="shared" si="9"/>
        <v>51.020408163265301</v>
      </c>
      <c r="H71" s="120">
        <f t="shared" si="10"/>
        <v>51.020408163265301</v>
      </c>
    </row>
    <row r="72" spans="1:8" ht="14.25" customHeight="1" x14ac:dyDescent="0.3">
      <c r="A72" s="128" t="s">
        <v>97</v>
      </c>
      <c r="B72" s="323" t="str">
        <f t="shared" si="7"/>
        <v>Cloves Whole - قرنفل حب</v>
      </c>
      <c r="C72" s="323" t="str">
        <f t="shared" si="7"/>
        <v>gm</v>
      </c>
      <c r="D72" s="323">
        <f t="shared" si="7"/>
        <v>2</v>
      </c>
      <c r="E72" s="126">
        <f t="shared" si="11"/>
        <v>10.204081632653061</v>
      </c>
      <c r="F72" s="127">
        <f t="shared" si="8"/>
        <v>0.75</v>
      </c>
      <c r="G72" s="119">
        <f t="shared" si="9"/>
        <v>20.408163265306122</v>
      </c>
      <c r="H72" s="120">
        <f t="shared" si="10"/>
        <v>15.306122448979592</v>
      </c>
    </row>
    <row r="73" spans="1:8" ht="14.25" customHeight="1" x14ac:dyDescent="0.3">
      <c r="A73" s="128" t="s">
        <v>97</v>
      </c>
      <c r="B73" s="323" t="str">
        <f t="shared" si="7"/>
        <v>Kasuri Methi - ورق حلبة مجففة</v>
      </c>
      <c r="C73" s="323" t="str">
        <f t="shared" si="7"/>
        <v>gm</v>
      </c>
      <c r="D73" s="323">
        <f t="shared" si="7"/>
        <v>3</v>
      </c>
      <c r="E73" s="126">
        <f t="shared" si="11"/>
        <v>10.204081632653061</v>
      </c>
      <c r="F73" s="127">
        <f t="shared" si="8"/>
        <v>0.75</v>
      </c>
      <c r="G73" s="119">
        <f t="shared" si="9"/>
        <v>30.612244897959183</v>
      </c>
      <c r="H73" s="120">
        <f t="shared" si="10"/>
        <v>22.959183673469386</v>
      </c>
    </row>
    <row r="74" spans="1:8" ht="14.25" customHeight="1" x14ac:dyDescent="0.3">
      <c r="A74" s="128" t="s">
        <v>97</v>
      </c>
      <c r="B74" s="323" t="str">
        <f t="shared" si="7"/>
        <v>Maggi Cubes - مكعبات ماجي</v>
      </c>
      <c r="C74" s="323" t="str">
        <f t="shared" si="7"/>
        <v>gm</v>
      </c>
      <c r="D74" s="323">
        <f t="shared" si="7"/>
        <v>10</v>
      </c>
      <c r="E74" s="126">
        <f t="shared" si="11"/>
        <v>10.204081632653061</v>
      </c>
      <c r="F74" s="127">
        <f t="shared" si="8"/>
        <v>1</v>
      </c>
      <c r="G74" s="119">
        <f t="shared" si="9"/>
        <v>102.0408163265306</v>
      </c>
      <c r="H74" s="120">
        <f t="shared" si="10"/>
        <v>102.0408163265306</v>
      </c>
    </row>
    <row r="75" spans="1:8" ht="14.25" customHeight="1" x14ac:dyDescent="0.3">
      <c r="A75" s="128" t="s">
        <v>13</v>
      </c>
      <c r="B75" s="323" t="str">
        <f t="shared" si="7"/>
        <v>Green Chilli Pepper - فلفل أخضر حار</v>
      </c>
      <c r="C75" s="323" t="str">
        <f t="shared" si="7"/>
        <v>gm</v>
      </c>
      <c r="D75" s="323">
        <f t="shared" si="7"/>
        <v>5</v>
      </c>
      <c r="E75" s="126">
        <f t="shared" si="11"/>
        <v>10.204081632653061</v>
      </c>
      <c r="F75" s="127">
        <f t="shared" si="8"/>
        <v>0.75</v>
      </c>
      <c r="G75" s="119">
        <f t="shared" si="9"/>
        <v>51.020408163265301</v>
      </c>
      <c r="H75" s="120">
        <f t="shared" si="10"/>
        <v>38.265306122448976</v>
      </c>
    </row>
    <row r="76" spans="1:8" ht="14.25" customHeight="1" x14ac:dyDescent="0.3">
      <c r="A76" s="128" t="s">
        <v>97</v>
      </c>
      <c r="B76" s="323" t="str">
        <f t="shared" si="7"/>
        <v>Turmeric - كركم</v>
      </c>
      <c r="C76" s="323" t="str">
        <f t="shared" si="7"/>
        <v>gm</v>
      </c>
      <c r="D76" s="323">
        <f t="shared" si="7"/>
        <v>5</v>
      </c>
      <c r="E76" s="126">
        <f t="shared" si="11"/>
        <v>10.204081632653061</v>
      </c>
      <c r="F76" s="127">
        <f t="shared" si="8"/>
        <v>0.75</v>
      </c>
      <c r="G76" s="119">
        <f t="shared" si="9"/>
        <v>51.020408163265301</v>
      </c>
      <c r="H76" s="120">
        <f t="shared" si="10"/>
        <v>38.265306122448976</v>
      </c>
    </row>
    <row r="77" spans="1:8" ht="14.25" customHeight="1" x14ac:dyDescent="0.3">
      <c r="A77" s="128" t="s">
        <v>220</v>
      </c>
      <c r="B77" s="323" t="str">
        <f t="shared" si="7"/>
        <v>لون صفار زعفران بودر - Saffron yellow color powder</v>
      </c>
      <c r="C77" s="323" t="str">
        <f t="shared" si="7"/>
        <v>gm</v>
      </c>
      <c r="D77" s="323">
        <f t="shared" si="7"/>
        <v>2</v>
      </c>
      <c r="E77" s="126">
        <f t="shared" si="11"/>
        <v>10.204081632653061</v>
      </c>
      <c r="F77" s="127">
        <f t="shared" si="8"/>
        <v>1</v>
      </c>
      <c r="G77" s="119">
        <f t="shared" si="9"/>
        <v>20.408163265306122</v>
      </c>
      <c r="H77" s="120">
        <f t="shared" si="10"/>
        <v>20.408163265306122</v>
      </c>
    </row>
    <row r="78" spans="1:8" ht="14.25" customHeight="1" x14ac:dyDescent="0.3">
      <c r="A78" s="128" t="s">
        <v>158</v>
      </c>
      <c r="B78" s="323" t="str">
        <f t="shared" si="7"/>
        <v>Cooking Cream - كريمة طبخ</v>
      </c>
      <c r="C78" s="323" t="str">
        <f t="shared" si="7"/>
        <v>ml</v>
      </c>
      <c r="D78" s="323">
        <f t="shared" si="7"/>
        <v>500</v>
      </c>
      <c r="E78" s="126">
        <f t="shared" si="11"/>
        <v>10.204081632653061</v>
      </c>
      <c r="F78" s="127">
        <f t="shared" si="8"/>
        <v>1</v>
      </c>
      <c r="G78" s="119">
        <f t="shared" si="9"/>
        <v>5102.0408163265301</v>
      </c>
      <c r="H78" s="120">
        <f t="shared" si="10"/>
        <v>5102.0408163265301</v>
      </c>
    </row>
    <row r="79" spans="1:8" ht="14.25" customHeight="1" x14ac:dyDescent="0.3">
      <c r="A79" s="128" t="s">
        <v>210</v>
      </c>
      <c r="B79" s="323" t="str">
        <f t="shared" si="7"/>
        <v>Shrimp Water - ماء الروبيان</v>
      </c>
      <c r="C79" s="323" t="str">
        <f t="shared" si="7"/>
        <v>ml</v>
      </c>
      <c r="D79" s="323">
        <f t="shared" si="7"/>
        <v>500</v>
      </c>
      <c r="E79" s="126">
        <f t="shared" si="11"/>
        <v>10.204081632653061</v>
      </c>
      <c r="F79" s="127">
        <f t="shared" si="8"/>
        <v>0.75</v>
      </c>
      <c r="G79" s="119">
        <f t="shared" si="9"/>
        <v>5102.0408163265301</v>
      </c>
      <c r="H79" s="120">
        <f t="shared" si="10"/>
        <v>3826.5306122448974</v>
      </c>
    </row>
    <row r="80" spans="1:8" ht="14.25" customHeight="1" x14ac:dyDescent="0.3">
      <c r="A80" s="128" t="s">
        <v>158</v>
      </c>
      <c r="B80" s="323" t="str">
        <f t="shared" si="7"/>
        <v>Butter - زبدة</v>
      </c>
      <c r="C80" s="323" t="str">
        <f t="shared" si="7"/>
        <v>gm</v>
      </c>
      <c r="D80" s="323">
        <f t="shared" si="7"/>
        <v>45</v>
      </c>
      <c r="E80" s="126">
        <f t="shared" si="11"/>
        <v>10.204081632653061</v>
      </c>
      <c r="F80" s="127">
        <f t="shared" si="8"/>
        <v>1</v>
      </c>
      <c r="G80" s="119">
        <f t="shared" si="9"/>
        <v>459.18367346938777</v>
      </c>
      <c r="H80" s="120">
        <f t="shared" si="10"/>
        <v>459.18367346938777</v>
      </c>
    </row>
    <row r="81" spans="1:8" ht="20.25" customHeight="1" x14ac:dyDescent="0.3">
      <c r="A81" s="211"/>
      <c r="B81" s="198" t="s">
        <v>299</v>
      </c>
      <c r="C81" s="200" t="s">
        <v>285</v>
      </c>
      <c r="E81" s="200" t="s">
        <v>300</v>
      </c>
      <c r="G81" s="890" t="s">
        <v>276</v>
      </c>
      <c r="H81" s="890" t="s">
        <v>733</v>
      </c>
    </row>
    <row r="82" spans="1:8" ht="20" x14ac:dyDescent="0.4">
      <c r="A82" s="211"/>
      <c r="B82" s="199">
        <f>$J$53</f>
        <v>33334</v>
      </c>
      <c r="C82" s="199">
        <f>E82+G82</f>
        <v>10000</v>
      </c>
      <c r="D82" s="930"/>
      <c r="E82" s="199">
        <f>$D$53*$S$44</f>
        <v>10000</v>
      </c>
      <c r="F82" s="934"/>
      <c r="G82" s="199">
        <f>$D$53*$T$44</f>
        <v>0</v>
      </c>
      <c r="H82" s="199">
        <f>B82+E82</f>
        <v>43334</v>
      </c>
    </row>
    <row r="85" spans="1:8" x14ac:dyDescent="0.3">
      <c r="A85" s="937"/>
      <c r="B85" s="1382" t="str">
        <f>"شرمب بالكارى و الكريمة  2 / " &amp; COUNTIF($C$53:$C$55, "&gt;0")</f>
        <v>شرمب بالكارى و الكريمة  2 / 2</v>
      </c>
      <c r="C85" s="1383"/>
      <c r="D85" s="1383"/>
      <c r="E85" s="1383"/>
      <c r="F85" s="1383"/>
      <c r="G85" s="1383"/>
      <c r="H85" s="1383"/>
    </row>
    <row r="86" spans="1:8" x14ac:dyDescent="0.3">
      <c r="A86" s="937"/>
      <c r="B86" s="1384" t="str">
        <f>"Curry Shrimp 2 / " &amp; COUNTIF(C$53:C$55, "&gt;0")</f>
        <v>Curry Shrimp 2 / 2</v>
      </c>
      <c r="C86" s="1385"/>
      <c r="D86" s="1385"/>
      <c r="E86" s="1385"/>
      <c r="F86" s="1385"/>
      <c r="G86" s="1385"/>
      <c r="H86" s="1385"/>
    </row>
    <row r="87" spans="1:8" ht="58.25" customHeight="1" x14ac:dyDescent="0.25">
      <c r="A87" s="91"/>
      <c r="B87" s="91" t="s">
        <v>253</v>
      </c>
      <c r="C87" s="107" t="s">
        <v>254</v>
      </c>
      <c r="D87" s="91" t="s">
        <v>243</v>
      </c>
      <c r="E87" s="108" t="s">
        <v>246</v>
      </c>
      <c r="F87" s="108" t="s">
        <v>255</v>
      </c>
      <c r="G87" s="91" t="s">
        <v>256</v>
      </c>
      <c r="H87" s="218" t="s">
        <v>257</v>
      </c>
    </row>
    <row r="88" spans="1:8" x14ac:dyDescent="0.25">
      <c r="A88" s="219" t="s">
        <v>230</v>
      </c>
      <c r="B88" s="323" t="str">
        <f t="shared" ref="B88:D103" si="12">B5</f>
        <v>Shrimp - جمبرى</v>
      </c>
      <c r="C88" s="323" t="str">
        <f t="shared" si="12"/>
        <v>gm</v>
      </c>
      <c r="D88" s="324">
        <f t="shared" si="12"/>
        <v>6536.0784313725489</v>
      </c>
      <c r="E88" s="126">
        <f>$H$54</f>
        <v>1.9166847432282061</v>
      </c>
      <c r="F88" s="127">
        <f>F5</f>
        <v>1</v>
      </c>
      <c r="G88" s="119">
        <f t="shared" ref="G88:G103" si="13">D88*E88</f>
        <v>12527.601809954711</v>
      </c>
      <c r="H88" s="120">
        <f t="shared" ref="H88:H103" si="14">G88*F88</f>
        <v>12527.601809954711</v>
      </c>
    </row>
    <row r="89" spans="1:8" x14ac:dyDescent="0.3">
      <c r="A89" s="128" t="s">
        <v>13</v>
      </c>
      <c r="B89" s="323" t="str">
        <f t="shared" si="12"/>
        <v>Onion - بصل</v>
      </c>
      <c r="C89" s="323" t="str">
        <f t="shared" si="12"/>
        <v>gm</v>
      </c>
      <c r="D89" s="323">
        <f t="shared" si="12"/>
        <v>300</v>
      </c>
      <c r="E89" s="126">
        <f t="shared" ref="E89:E103" si="15">$C$54</f>
        <v>1.9560439560439669</v>
      </c>
      <c r="F89" s="127">
        <f t="shared" ref="F89:F103" si="16">F6</f>
        <v>0.95</v>
      </c>
      <c r="G89" s="119">
        <f t="shared" si="13"/>
        <v>586.8131868131901</v>
      </c>
      <c r="H89" s="120">
        <f t="shared" si="14"/>
        <v>557.4725274725306</v>
      </c>
    </row>
    <row r="90" spans="1:8" x14ac:dyDescent="0.3">
      <c r="A90" s="128" t="s">
        <v>13</v>
      </c>
      <c r="B90" s="323" t="str">
        <f t="shared" si="12"/>
        <v>Garlic - ثوم مقشر</v>
      </c>
      <c r="C90" s="323" t="str">
        <f t="shared" si="12"/>
        <v>gm</v>
      </c>
      <c r="D90" s="323">
        <f t="shared" si="12"/>
        <v>25</v>
      </c>
      <c r="E90" s="126">
        <f t="shared" si="15"/>
        <v>1.9560439560439669</v>
      </c>
      <c r="F90" s="127">
        <f t="shared" si="16"/>
        <v>1</v>
      </c>
      <c r="G90" s="119">
        <f t="shared" si="13"/>
        <v>48.901098901099175</v>
      </c>
      <c r="H90" s="120">
        <f t="shared" si="14"/>
        <v>48.901098901099175</v>
      </c>
    </row>
    <row r="91" spans="1:8" x14ac:dyDescent="0.3">
      <c r="A91" s="128" t="s">
        <v>13</v>
      </c>
      <c r="B91" s="323" t="str">
        <f t="shared" si="12"/>
        <v>Tomato - طماطم</v>
      </c>
      <c r="C91" s="323" t="str">
        <f t="shared" si="12"/>
        <v>gm</v>
      </c>
      <c r="D91" s="323">
        <f t="shared" si="12"/>
        <v>300</v>
      </c>
      <c r="E91" s="126">
        <f t="shared" si="15"/>
        <v>1.9560439560439669</v>
      </c>
      <c r="F91" s="127">
        <f t="shared" si="16"/>
        <v>1</v>
      </c>
      <c r="G91" s="119">
        <f t="shared" si="13"/>
        <v>586.8131868131901</v>
      </c>
      <c r="H91" s="120">
        <f t="shared" si="14"/>
        <v>586.8131868131901</v>
      </c>
    </row>
    <row r="92" spans="1:8" x14ac:dyDescent="0.3">
      <c r="A92" s="128" t="s">
        <v>57</v>
      </c>
      <c r="B92" s="323" t="str">
        <f t="shared" si="12"/>
        <v>Ginger - زنجبيل</v>
      </c>
      <c r="C92" s="323" t="str">
        <f t="shared" si="12"/>
        <v>gm</v>
      </c>
      <c r="D92" s="323">
        <f t="shared" si="12"/>
        <v>20</v>
      </c>
      <c r="E92" s="126">
        <f t="shared" si="15"/>
        <v>1.9560439560439669</v>
      </c>
      <c r="F92" s="127">
        <f t="shared" si="16"/>
        <v>1</v>
      </c>
      <c r="G92" s="119">
        <f t="shared" si="13"/>
        <v>39.120879120879337</v>
      </c>
      <c r="H92" s="120">
        <f t="shared" si="14"/>
        <v>39.120879120879337</v>
      </c>
    </row>
    <row r="93" spans="1:8" x14ac:dyDescent="0.3">
      <c r="A93" s="128" t="s">
        <v>97</v>
      </c>
      <c r="B93" s="323" t="str">
        <f t="shared" si="12"/>
        <v>Curry Powder - كاري بودرة</v>
      </c>
      <c r="C93" s="323" t="str">
        <f t="shared" si="12"/>
        <v>gm</v>
      </c>
      <c r="D93" s="323">
        <f t="shared" si="12"/>
        <v>25</v>
      </c>
      <c r="E93" s="126">
        <f t="shared" si="15"/>
        <v>1.9560439560439669</v>
      </c>
      <c r="F93" s="127">
        <f t="shared" si="16"/>
        <v>0.75</v>
      </c>
      <c r="G93" s="119">
        <f t="shared" si="13"/>
        <v>48.901098901099175</v>
      </c>
      <c r="H93" s="120">
        <f t="shared" si="14"/>
        <v>36.675824175824381</v>
      </c>
    </row>
    <row r="94" spans="1:8" x14ac:dyDescent="0.3">
      <c r="A94" s="128" t="s">
        <v>97</v>
      </c>
      <c r="B94" s="323" t="str">
        <f t="shared" si="12"/>
        <v>Cumin Whole - كمون حب</v>
      </c>
      <c r="C94" s="323" t="str">
        <f t="shared" si="12"/>
        <v>gm</v>
      </c>
      <c r="D94" s="323">
        <f t="shared" si="12"/>
        <v>5</v>
      </c>
      <c r="E94" s="126">
        <f t="shared" si="15"/>
        <v>1.9560439560439669</v>
      </c>
      <c r="F94" s="127">
        <f t="shared" si="16"/>
        <v>1</v>
      </c>
      <c r="G94" s="119">
        <f t="shared" si="13"/>
        <v>9.7802197802198343</v>
      </c>
      <c r="H94" s="120">
        <f t="shared" si="14"/>
        <v>9.7802197802198343</v>
      </c>
    </row>
    <row r="95" spans="1:8" x14ac:dyDescent="0.3">
      <c r="A95" s="128" t="s">
        <v>97</v>
      </c>
      <c r="B95" s="323" t="str">
        <f t="shared" si="12"/>
        <v>Cloves Whole - قرنفل حب</v>
      </c>
      <c r="C95" s="323" t="str">
        <f t="shared" si="12"/>
        <v>gm</v>
      </c>
      <c r="D95" s="323">
        <f t="shared" si="12"/>
        <v>2</v>
      </c>
      <c r="E95" s="126">
        <f t="shared" si="15"/>
        <v>1.9560439560439669</v>
      </c>
      <c r="F95" s="127">
        <f t="shared" si="16"/>
        <v>0.75</v>
      </c>
      <c r="G95" s="119">
        <f t="shared" si="13"/>
        <v>3.9120879120879337</v>
      </c>
      <c r="H95" s="120">
        <f t="shared" si="14"/>
        <v>2.9340659340659503</v>
      </c>
    </row>
    <row r="96" spans="1:8" x14ac:dyDescent="0.3">
      <c r="A96" s="128" t="s">
        <v>97</v>
      </c>
      <c r="B96" s="323" t="str">
        <f t="shared" si="12"/>
        <v>Kasuri Methi - ورق حلبة مجففة</v>
      </c>
      <c r="C96" s="323" t="str">
        <f t="shared" si="12"/>
        <v>gm</v>
      </c>
      <c r="D96" s="323">
        <f t="shared" si="12"/>
        <v>3</v>
      </c>
      <c r="E96" s="126">
        <f t="shared" si="15"/>
        <v>1.9560439560439669</v>
      </c>
      <c r="F96" s="127">
        <f t="shared" si="16"/>
        <v>0.75</v>
      </c>
      <c r="G96" s="119">
        <f t="shared" si="13"/>
        <v>5.8681318681319006</v>
      </c>
      <c r="H96" s="120">
        <f t="shared" si="14"/>
        <v>4.4010989010989254</v>
      </c>
    </row>
    <row r="97" spans="1:8" x14ac:dyDescent="0.3">
      <c r="A97" s="128" t="s">
        <v>97</v>
      </c>
      <c r="B97" s="323" t="str">
        <f t="shared" si="12"/>
        <v>Maggi Cubes - مكعبات ماجي</v>
      </c>
      <c r="C97" s="323" t="str">
        <f t="shared" si="12"/>
        <v>gm</v>
      </c>
      <c r="D97" s="323">
        <f t="shared" si="12"/>
        <v>10</v>
      </c>
      <c r="E97" s="126">
        <f t="shared" si="15"/>
        <v>1.9560439560439669</v>
      </c>
      <c r="F97" s="127">
        <f t="shared" si="16"/>
        <v>1</v>
      </c>
      <c r="G97" s="119">
        <f t="shared" si="13"/>
        <v>19.560439560439669</v>
      </c>
      <c r="H97" s="120">
        <f t="shared" si="14"/>
        <v>19.560439560439669</v>
      </c>
    </row>
    <row r="98" spans="1:8" x14ac:dyDescent="0.3">
      <c r="A98" s="128" t="s">
        <v>13</v>
      </c>
      <c r="B98" s="323" t="str">
        <f t="shared" si="12"/>
        <v>Green Chilli Pepper - فلفل أخضر حار</v>
      </c>
      <c r="C98" s="323" t="str">
        <f t="shared" si="12"/>
        <v>gm</v>
      </c>
      <c r="D98" s="323">
        <f t="shared" si="12"/>
        <v>5</v>
      </c>
      <c r="E98" s="126">
        <f t="shared" si="15"/>
        <v>1.9560439560439669</v>
      </c>
      <c r="F98" s="127">
        <f t="shared" si="16"/>
        <v>0.75</v>
      </c>
      <c r="G98" s="119">
        <f t="shared" si="13"/>
        <v>9.7802197802198343</v>
      </c>
      <c r="H98" s="120">
        <f t="shared" si="14"/>
        <v>7.3351648351648757</v>
      </c>
    </row>
    <row r="99" spans="1:8" x14ac:dyDescent="0.3">
      <c r="A99" s="128" t="s">
        <v>97</v>
      </c>
      <c r="B99" s="323" t="str">
        <f t="shared" si="12"/>
        <v>Turmeric - كركم</v>
      </c>
      <c r="C99" s="323" t="str">
        <f t="shared" si="12"/>
        <v>gm</v>
      </c>
      <c r="D99" s="323">
        <f t="shared" si="12"/>
        <v>5</v>
      </c>
      <c r="E99" s="126">
        <f t="shared" si="15"/>
        <v>1.9560439560439669</v>
      </c>
      <c r="F99" s="127">
        <f t="shared" si="16"/>
        <v>0.75</v>
      </c>
      <c r="G99" s="119">
        <f t="shared" si="13"/>
        <v>9.7802197802198343</v>
      </c>
      <c r="H99" s="120">
        <f t="shared" si="14"/>
        <v>7.3351648351648757</v>
      </c>
    </row>
    <row r="100" spans="1:8" x14ac:dyDescent="0.3">
      <c r="A100" s="128" t="s">
        <v>220</v>
      </c>
      <c r="B100" s="323" t="str">
        <f t="shared" si="12"/>
        <v>لون صفار زعفران بودر - Saffron yellow color powder</v>
      </c>
      <c r="C100" s="323" t="str">
        <f t="shared" si="12"/>
        <v>gm</v>
      </c>
      <c r="D100" s="323">
        <f t="shared" si="12"/>
        <v>2</v>
      </c>
      <c r="E100" s="126">
        <f t="shared" si="15"/>
        <v>1.9560439560439669</v>
      </c>
      <c r="F100" s="127">
        <f t="shared" si="16"/>
        <v>1</v>
      </c>
      <c r="G100" s="119">
        <f t="shared" si="13"/>
        <v>3.9120879120879337</v>
      </c>
      <c r="H100" s="120">
        <f t="shared" si="14"/>
        <v>3.9120879120879337</v>
      </c>
    </row>
    <row r="101" spans="1:8" x14ac:dyDescent="0.3">
      <c r="A101" s="128" t="s">
        <v>158</v>
      </c>
      <c r="B101" s="323" t="str">
        <f t="shared" si="12"/>
        <v>Cooking Cream - كريمة طبخ</v>
      </c>
      <c r="C101" s="323" t="str">
        <f t="shared" si="12"/>
        <v>ml</v>
      </c>
      <c r="D101" s="323">
        <f t="shared" si="12"/>
        <v>500</v>
      </c>
      <c r="E101" s="126">
        <f t="shared" si="15"/>
        <v>1.9560439560439669</v>
      </c>
      <c r="F101" s="127">
        <f t="shared" si="16"/>
        <v>1</v>
      </c>
      <c r="G101" s="119">
        <f t="shared" si="13"/>
        <v>978.02197802198339</v>
      </c>
      <c r="H101" s="120">
        <f t="shared" si="14"/>
        <v>978.02197802198339</v>
      </c>
    </row>
    <row r="102" spans="1:8" x14ac:dyDescent="0.3">
      <c r="A102" s="128" t="s">
        <v>210</v>
      </c>
      <c r="B102" s="323" t="str">
        <f t="shared" si="12"/>
        <v>Shrimp Water - ماء الروبيان</v>
      </c>
      <c r="C102" s="323" t="str">
        <f t="shared" si="12"/>
        <v>ml</v>
      </c>
      <c r="D102" s="323">
        <f t="shared" si="12"/>
        <v>500</v>
      </c>
      <c r="E102" s="126">
        <f t="shared" si="15"/>
        <v>1.9560439560439669</v>
      </c>
      <c r="F102" s="127">
        <f t="shared" si="16"/>
        <v>0.75</v>
      </c>
      <c r="G102" s="119">
        <f t="shared" si="13"/>
        <v>978.02197802198339</v>
      </c>
      <c r="H102" s="120">
        <f t="shared" si="14"/>
        <v>733.5164835164876</v>
      </c>
    </row>
    <row r="103" spans="1:8" x14ac:dyDescent="0.3">
      <c r="A103" s="128" t="s">
        <v>158</v>
      </c>
      <c r="B103" s="323" t="str">
        <f t="shared" si="12"/>
        <v>Butter - زبدة</v>
      </c>
      <c r="C103" s="323" t="str">
        <f t="shared" si="12"/>
        <v>gm</v>
      </c>
      <c r="D103" s="323">
        <f t="shared" si="12"/>
        <v>45</v>
      </c>
      <c r="E103" s="126">
        <f t="shared" si="15"/>
        <v>1.9560439560439669</v>
      </c>
      <c r="F103" s="127">
        <f t="shared" si="16"/>
        <v>1</v>
      </c>
      <c r="G103" s="119">
        <f t="shared" si="13"/>
        <v>88.021978021978512</v>
      </c>
      <c r="H103" s="120">
        <f t="shared" si="14"/>
        <v>88.021978021978512</v>
      </c>
    </row>
    <row r="104" spans="1:8" ht="18" x14ac:dyDescent="0.3">
      <c r="A104" s="211"/>
      <c r="B104" s="198" t="s">
        <v>299</v>
      </c>
      <c r="C104" s="200" t="s">
        <v>285</v>
      </c>
      <c r="E104" s="200" t="s">
        <v>300</v>
      </c>
      <c r="G104" s="890" t="s">
        <v>276</v>
      </c>
      <c r="H104" s="890" t="s">
        <v>733</v>
      </c>
    </row>
    <row r="105" spans="1:8" ht="20" x14ac:dyDescent="0.4">
      <c r="A105" s="211"/>
      <c r="B105" s="199">
        <f>$J$54</f>
        <v>6389.0769230769074</v>
      </c>
      <c r="C105" s="199">
        <f>E105+G105</f>
        <v>1916.9230769230876</v>
      </c>
      <c r="D105" s="930"/>
      <c r="E105" s="199">
        <f>$D$54*$S$44</f>
        <v>1916.9230769230876</v>
      </c>
      <c r="F105" s="934"/>
      <c r="G105" s="199">
        <f>$D$54*$T$44</f>
        <v>0</v>
      </c>
      <c r="H105" s="199">
        <f>B105+E105</f>
        <v>8305.9999999999945</v>
      </c>
    </row>
  </sheetData>
  <mergeCells count="10">
    <mergeCell ref="B2:J3"/>
    <mergeCell ref="AE2:AG3"/>
    <mergeCell ref="R26:U26"/>
    <mergeCell ref="R25:U25"/>
    <mergeCell ref="B35:F35"/>
    <mergeCell ref="B85:H85"/>
    <mergeCell ref="B86:H86"/>
    <mergeCell ref="B62:H62"/>
    <mergeCell ref="B58:J58"/>
    <mergeCell ref="B63:H63"/>
  </mergeCells>
  <printOptions horizontalCentered="1"/>
  <pageMargins left="0.5" right="0.5" top="1" bottom="0.5" header="0.3" footer="0.511811023622047"/>
  <pageSetup paperSize="9" scale="32" orientation="portrait" r:id="rId1"/>
  <legacyDrawing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5" tint="-0.249977111117893"/>
    <pageSetUpPr fitToPage="1"/>
  </sheetPr>
  <dimension ref="A1:AT98"/>
  <sheetViews>
    <sheetView topLeftCell="A22" zoomScale="85" zoomScaleNormal="85" workbookViewId="0">
      <selection activeCell="Q72" sqref="Q72"/>
    </sheetView>
  </sheetViews>
  <sheetFormatPr defaultColWidth="12.5" defaultRowHeight="14" x14ac:dyDescent="0.3"/>
  <cols>
    <col min="1" max="1" width="12.5" style="1" customWidth="1"/>
    <col min="2" max="2" width="34.9140625" customWidth="1"/>
    <col min="3" max="3" width="14.9140625" customWidth="1"/>
    <col min="4" max="4" width="19" customWidth="1"/>
    <col min="5" max="5" width="16.1640625" customWidth="1"/>
    <col min="6" max="6" width="23.08203125" customWidth="1"/>
    <col min="7" max="7" width="25.1640625" customWidth="1"/>
    <col min="8" max="8" width="36.1640625" customWidth="1"/>
    <col min="12" max="12" width="8.33203125" customWidth="1"/>
    <col min="13" max="14" width="3.08203125" customWidth="1"/>
    <col min="18" max="18" width="30.5" customWidth="1"/>
    <col min="29" max="29" width="11.75" bestFit="1" customWidth="1"/>
    <col min="30" max="30" width="13.25" bestFit="1" customWidth="1"/>
    <col min="31" max="31" width="10.08203125" bestFit="1" customWidth="1"/>
    <col min="32" max="32" width="11.33203125" bestFit="1" customWidth="1"/>
    <col min="33" max="34" width="4.4140625" customWidth="1"/>
    <col min="36" max="36" width="34.5" bestFit="1" customWidth="1"/>
  </cols>
  <sheetData>
    <row r="1" spans="1:46" ht="35.25" customHeight="1" x14ac:dyDescent="0.3">
      <c r="B1" s="80" t="s">
        <v>243</v>
      </c>
      <c r="C1" s="81">
        <v>1000</v>
      </c>
      <c r="D1" s="82" t="s">
        <v>244</v>
      </c>
      <c r="E1" s="117">
        <f>T32</f>
        <v>21153.846153846152</v>
      </c>
      <c r="F1" s="80" t="s">
        <v>245</v>
      </c>
      <c r="G1" s="121">
        <f>E1/C1</f>
        <v>21.153846153846153</v>
      </c>
      <c r="H1" s="80" t="s">
        <v>246</v>
      </c>
      <c r="I1" s="283">
        <f>G1/K1</f>
        <v>21.585557299843011</v>
      </c>
      <c r="J1" s="86" t="s">
        <v>247</v>
      </c>
      <c r="K1" s="540">
        <f>9.8/10</f>
        <v>0.98000000000000009</v>
      </c>
      <c r="L1" s="100"/>
      <c r="M1" s="89"/>
      <c r="N1" s="90"/>
      <c r="O1" s="91" t="s">
        <v>248</v>
      </c>
      <c r="P1" s="92" t="s">
        <v>311</v>
      </c>
      <c r="Q1" s="93" t="s">
        <v>250</v>
      </c>
      <c r="R1" s="92">
        <v>0.57999999999999996</v>
      </c>
      <c r="Y1" s="91" t="s">
        <v>479</v>
      </c>
      <c r="Z1" s="847">
        <v>36500</v>
      </c>
      <c r="AA1" s="91" t="s">
        <v>600</v>
      </c>
      <c r="AB1" s="847">
        <v>1000</v>
      </c>
      <c r="AC1" s="91" t="s">
        <v>587</v>
      </c>
      <c r="AD1" s="847">
        <v>127</v>
      </c>
      <c r="AE1" s="250"/>
      <c r="AF1" s="252"/>
      <c r="AG1" s="92"/>
      <c r="AI1" s="1"/>
      <c r="AJ1" s="94" t="s">
        <v>262</v>
      </c>
      <c r="AK1" s="94">
        <v>10000</v>
      </c>
      <c r="AL1" s="628" t="s">
        <v>522</v>
      </c>
      <c r="AM1" s="629">
        <f>$S$32</f>
        <v>28846.153846153848</v>
      </c>
      <c r="AN1" s="94" t="s">
        <v>251</v>
      </c>
      <c r="AO1" s="329">
        <f>((S32)/$R$1)/$AK$1</f>
        <v>4.9734748010610081</v>
      </c>
      <c r="AP1" s="96"/>
    </row>
    <row r="2" spans="1:46" ht="12.75" customHeight="1" x14ac:dyDescent="0.3">
      <c r="A2" s="265"/>
      <c r="B2" s="1387" t="s">
        <v>135</v>
      </c>
      <c r="C2" s="1422"/>
      <c r="D2" s="1422"/>
      <c r="E2" s="1422"/>
      <c r="F2" s="1422"/>
      <c r="G2" s="1422"/>
      <c r="H2" s="1422"/>
      <c r="I2" s="1422"/>
      <c r="J2" s="1422"/>
      <c r="K2" s="541"/>
      <c r="L2" s="293"/>
      <c r="M2" s="100"/>
      <c r="N2" s="100"/>
      <c r="O2" s="100"/>
      <c r="P2" s="100"/>
      <c r="Q2" s="100"/>
      <c r="R2" s="100"/>
      <c r="AC2" s="99"/>
      <c r="AD2" s="99"/>
      <c r="AE2" s="1391"/>
      <c r="AF2" s="1422"/>
      <c r="AG2" s="1422"/>
      <c r="AI2" s="1"/>
      <c r="AJ2" s="101"/>
      <c r="AK2" s="1386" t="s">
        <v>464</v>
      </c>
      <c r="AL2" s="1386"/>
      <c r="AM2" s="1386"/>
      <c r="AN2" s="1386"/>
      <c r="AO2" s="101"/>
      <c r="AP2" s="101"/>
    </row>
    <row r="3" spans="1:46" ht="12.75" customHeight="1" x14ac:dyDescent="0.3">
      <c r="A3" s="265"/>
      <c r="B3" s="1388"/>
      <c r="C3" s="1388"/>
      <c r="D3" s="1388"/>
      <c r="E3" s="1388"/>
      <c r="F3" s="1388"/>
      <c r="G3" s="1388"/>
      <c r="H3" s="1388"/>
      <c r="I3" s="1388"/>
      <c r="J3" s="1388"/>
      <c r="K3" s="541"/>
      <c r="L3" s="293"/>
      <c r="M3" s="100"/>
      <c r="N3" s="100"/>
      <c r="O3" s="100"/>
      <c r="P3" s="100"/>
      <c r="Q3" s="100"/>
      <c r="R3" s="100"/>
      <c r="AC3" s="99"/>
      <c r="AD3" s="99"/>
      <c r="AE3" s="1422"/>
      <c r="AF3" s="1422"/>
      <c r="AG3" s="1422"/>
      <c r="AI3" s="1"/>
      <c r="AJ3" s="101"/>
      <c r="AK3" s="101"/>
      <c r="AL3" s="101"/>
      <c r="AM3" s="101"/>
      <c r="AN3" s="1422"/>
      <c r="AO3" s="101"/>
      <c r="AP3" s="101"/>
    </row>
    <row r="4" spans="1:46" ht="46.5" customHeight="1" x14ac:dyDescent="0.3">
      <c r="A4" s="91" t="s">
        <v>1</v>
      </c>
      <c r="B4" s="91" t="s">
        <v>253</v>
      </c>
      <c r="C4" s="107" t="s">
        <v>254</v>
      </c>
      <c r="D4" s="91" t="s">
        <v>243</v>
      </c>
      <c r="E4" s="108" t="s">
        <v>246</v>
      </c>
      <c r="F4" s="108" t="s">
        <v>255</v>
      </c>
      <c r="G4" s="91" t="s">
        <v>256</v>
      </c>
      <c r="H4" s="107" t="s">
        <v>347</v>
      </c>
      <c r="I4" s="91" t="s">
        <v>258</v>
      </c>
      <c r="J4" s="91" t="s">
        <v>259</v>
      </c>
      <c r="K4" s="91" t="s">
        <v>260</v>
      </c>
      <c r="L4" s="91" t="s">
        <v>261</v>
      </c>
      <c r="M4" s="371"/>
      <c r="N4" s="371"/>
      <c r="O4" s="100"/>
      <c r="P4" s="100"/>
      <c r="Q4" s="100"/>
      <c r="R4" s="100"/>
      <c r="AC4" s="251"/>
      <c r="AD4" s="253"/>
      <c r="AE4" s="251"/>
      <c r="AF4" s="251"/>
      <c r="AG4" s="251"/>
      <c r="AI4" s="1"/>
      <c r="AJ4" s="94" t="s">
        <v>253</v>
      </c>
      <c r="AK4" s="530" t="s">
        <v>254</v>
      </c>
      <c r="AL4" s="94" t="s">
        <v>262</v>
      </c>
      <c r="AM4" s="94" t="s">
        <v>246</v>
      </c>
      <c r="AN4" s="94" t="s">
        <v>255</v>
      </c>
      <c r="AO4" s="94" t="s">
        <v>256</v>
      </c>
      <c r="AP4" s="94" t="s">
        <v>347</v>
      </c>
      <c r="AQ4" s="91" t="s">
        <v>258</v>
      </c>
      <c r="AR4" s="91" t="s">
        <v>259</v>
      </c>
      <c r="AS4" s="91" t="s">
        <v>260</v>
      </c>
      <c r="AT4" s="91" t="s">
        <v>261</v>
      </c>
    </row>
    <row r="5" spans="1:46" ht="20.25" customHeight="1" x14ac:dyDescent="0.3">
      <c r="A5" s="266" t="s">
        <v>230</v>
      </c>
      <c r="B5" s="384" t="s">
        <v>237</v>
      </c>
      <c r="C5" s="115" t="s">
        <v>14</v>
      </c>
      <c r="D5" s="121">
        <f>I51/10</f>
        <v>2351.2225705329156</v>
      </c>
      <c r="E5" s="117">
        <f>H52</f>
        <v>21.152718008885682</v>
      </c>
      <c r="F5" s="127">
        <v>1</v>
      </c>
      <c r="G5" s="119">
        <f t="shared" ref="G5:G17" si="0">D5*E5</f>
        <v>49734.748010610092</v>
      </c>
      <c r="H5" s="120">
        <f t="shared" ref="H5:H17" si="1">G5*F5</f>
        <v>49734.748010610092</v>
      </c>
      <c r="I5" s="81">
        <f>VLOOKUP(B5,All_Ingredients!$A$1:$F$151,6,FALSE())</f>
        <v>0.99</v>
      </c>
      <c r="J5" s="119">
        <f>VLOOKUP(B5,All_Ingredients!$A$1:$J$151,10,FALSE())</f>
        <v>0</v>
      </c>
      <c r="K5" s="122">
        <f t="shared" ref="K5" si="2">(H5/I5)/1000</f>
        <v>50.237119202636457</v>
      </c>
      <c r="L5" s="122">
        <f t="shared" ref="L5" si="3">K5*J5</f>
        <v>0</v>
      </c>
      <c r="M5" s="131"/>
      <c r="N5" s="131"/>
      <c r="O5" s="100"/>
      <c r="P5" s="100"/>
      <c r="Q5" s="100"/>
      <c r="R5" s="100"/>
      <c r="AC5" s="92"/>
      <c r="AD5" s="133"/>
      <c r="AE5" s="254"/>
      <c r="AF5" s="135"/>
      <c r="AG5" s="136"/>
      <c r="AI5" s="1"/>
      <c r="AJ5" s="384" t="s">
        <v>237</v>
      </c>
      <c r="AK5" s="124" t="s">
        <v>238</v>
      </c>
      <c r="AL5" s="125">
        <v>10</v>
      </c>
      <c r="AM5" s="223">
        <f t="shared" ref="AM5:AM14" si="4">$AO$1</f>
        <v>4.9734748010610081</v>
      </c>
      <c r="AN5" s="127">
        <v>1</v>
      </c>
      <c r="AO5" s="119">
        <f t="shared" ref="AO5:AO14" si="5">AL5*AM5</f>
        <v>49.734748010610083</v>
      </c>
      <c r="AP5" s="120">
        <f t="shared" ref="AP5:AP14" si="6">AO5*AN5</f>
        <v>49.734748010610083</v>
      </c>
      <c r="AQ5" s="295"/>
      <c r="AR5" s="1171"/>
      <c r="AS5" s="175"/>
      <c r="AT5" s="1172"/>
    </row>
    <row r="6" spans="1:46" ht="14.25" customHeight="1" x14ac:dyDescent="0.3">
      <c r="A6" s="270" t="s">
        <v>13</v>
      </c>
      <c r="B6" s="22" t="s">
        <v>12</v>
      </c>
      <c r="C6" s="124" t="s">
        <v>14</v>
      </c>
      <c r="D6" s="125">
        <v>200</v>
      </c>
      <c r="E6" s="223">
        <f t="shared" ref="E6:E17" si="7">$I$1</f>
        <v>21.585557299843011</v>
      </c>
      <c r="F6" s="127">
        <v>1</v>
      </c>
      <c r="G6" s="119">
        <f t="shared" si="0"/>
        <v>4317.1114599686025</v>
      </c>
      <c r="H6" s="120">
        <f t="shared" si="1"/>
        <v>4317.1114599686025</v>
      </c>
      <c r="I6" s="81">
        <f>VLOOKUP(B6,All_Ingredients!$A$1:$F$151,6,FALSE())</f>
        <v>0.9</v>
      </c>
      <c r="J6" s="119">
        <f>VLOOKUP(B6,All_Ingredients!$A$1:$J$151,10,FALSE())</f>
        <v>3</v>
      </c>
      <c r="K6" s="122">
        <f t="shared" ref="K6:K17" si="8">(H6/I6)/1000</f>
        <v>4.7967905110762246</v>
      </c>
      <c r="L6" s="122">
        <f t="shared" ref="L6:L17" si="9">K6*J6</f>
        <v>14.390371533228674</v>
      </c>
      <c r="M6" s="131"/>
      <c r="N6" s="131"/>
      <c r="AI6" s="1" t="s">
        <v>97</v>
      </c>
      <c r="AJ6" s="323" t="s">
        <v>149</v>
      </c>
      <c r="AK6" s="124" t="s">
        <v>14</v>
      </c>
      <c r="AL6" s="125">
        <v>50</v>
      </c>
      <c r="AM6" s="223">
        <f t="shared" si="4"/>
        <v>4.9734748010610081</v>
      </c>
      <c r="AN6" s="127">
        <v>1</v>
      </c>
      <c r="AO6" s="119">
        <f t="shared" si="5"/>
        <v>248.67374005305041</v>
      </c>
      <c r="AP6" s="120">
        <f t="shared" si="6"/>
        <v>248.67374005305041</v>
      </c>
      <c r="AQ6" s="1172">
        <f>VLOOKUP(AJ6,Marination_Ordering!$A:$J,6,FALSE)</f>
        <v>1</v>
      </c>
      <c r="AR6" s="1172">
        <f>VLOOKUP(AJ6,Marination_Ordering!$A:$J,10,FALSE)</f>
        <v>18</v>
      </c>
      <c r="AS6" s="175">
        <f>AP6/AQ6</f>
        <v>248.67374005305041</v>
      </c>
      <c r="AT6" s="1172">
        <f>AR6*(AS6/1000)</f>
        <v>4.4761273209549071</v>
      </c>
    </row>
    <row r="7" spans="1:46" ht="14.25" customHeight="1" x14ac:dyDescent="0.3">
      <c r="A7" s="270" t="s">
        <v>13</v>
      </c>
      <c r="B7" s="22" t="s">
        <v>17</v>
      </c>
      <c r="C7" s="124" t="s">
        <v>14</v>
      </c>
      <c r="D7" s="125">
        <v>300</v>
      </c>
      <c r="E7" s="223">
        <f t="shared" si="7"/>
        <v>21.585557299843011</v>
      </c>
      <c r="F7" s="127">
        <v>1</v>
      </c>
      <c r="G7" s="119">
        <f t="shared" si="0"/>
        <v>6475.6671899529028</v>
      </c>
      <c r="H7" s="120">
        <f t="shared" si="1"/>
        <v>6475.6671899529028</v>
      </c>
      <c r="I7" s="81">
        <f>VLOOKUP(B7,All_Ingredients!$A$1:$F$151,6,FALSE())</f>
        <v>0.98</v>
      </c>
      <c r="J7" s="119">
        <f>VLOOKUP(B7,All_Ingredients!$A$1:$J$151,10,FALSE())</f>
        <v>3.5</v>
      </c>
      <c r="K7" s="122">
        <f t="shared" si="8"/>
        <v>6.6078236632172471</v>
      </c>
      <c r="L7" s="122">
        <f t="shared" si="9"/>
        <v>23.127382821260365</v>
      </c>
      <c r="M7" s="131"/>
      <c r="N7" s="131"/>
      <c r="AI7" s="1" t="s">
        <v>97</v>
      </c>
      <c r="AJ7" s="542" t="s">
        <v>154</v>
      </c>
      <c r="AK7" s="124" t="s">
        <v>14</v>
      </c>
      <c r="AL7" s="125">
        <v>50</v>
      </c>
      <c r="AM7" s="223">
        <f t="shared" si="4"/>
        <v>4.9734748010610081</v>
      </c>
      <c r="AN7" s="127">
        <v>1</v>
      </c>
      <c r="AO7" s="119">
        <f t="shared" si="5"/>
        <v>248.67374005305041</v>
      </c>
      <c r="AP7" s="120">
        <f t="shared" si="6"/>
        <v>248.67374005305041</v>
      </c>
      <c r="AQ7" s="1172">
        <f>VLOOKUP(AJ7,Marination_Ordering!$A:$J,6,FALSE)</f>
        <v>1</v>
      </c>
      <c r="AR7" s="1172">
        <f>VLOOKUP(AJ7,Marination_Ordering!$A:$J,10,FALSE)</f>
        <v>10</v>
      </c>
      <c r="AS7" s="175">
        <f t="shared" ref="AS7:AS8" si="10">AP7/AQ7</f>
        <v>248.67374005305041</v>
      </c>
      <c r="AT7" s="1172">
        <f t="shared" ref="AT7:AT8" si="11">AR7*(AS7/1000)</f>
        <v>2.4867374005305041</v>
      </c>
    </row>
    <row r="8" spans="1:46" ht="14.25" customHeight="1" x14ac:dyDescent="0.3">
      <c r="A8" s="270" t="s">
        <v>13</v>
      </c>
      <c r="B8" s="534" t="s">
        <v>792</v>
      </c>
      <c r="C8" s="124" t="s">
        <v>14</v>
      </c>
      <c r="D8" s="125">
        <v>40</v>
      </c>
      <c r="E8" s="223">
        <f t="shared" si="7"/>
        <v>21.585557299843011</v>
      </c>
      <c r="F8" s="127">
        <v>1</v>
      </c>
      <c r="G8" s="119">
        <f t="shared" si="0"/>
        <v>863.42229199372036</v>
      </c>
      <c r="H8" s="120">
        <f t="shared" si="1"/>
        <v>863.42229199372036</v>
      </c>
      <c r="I8" s="81">
        <f>VLOOKUP(B8,All_Ingredients!$A$1:$F$151,6,FALSE())</f>
        <v>1</v>
      </c>
      <c r="J8" s="119">
        <f>VLOOKUP(B8,All_Ingredients!$A$1:$J$151,10,FALSE())</f>
        <v>10.5</v>
      </c>
      <c r="K8" s="122">
        <f t="shared" si="8"/>
        <v>0.86342229199372034</v>
      </c>
      <c r="L8" s="122">
        <f t="shared" si="9"/>
        <v>9.0659340659340639</v>
      </c>
      <c r="M8" s="131"/>
      <c r="N8" s="131"/>
      <c r="AI8" s="1" t="s">
        <v>97</v>
      </c>
      <c r="AJ8" s="542" t="s">
        <v>108</v>
      </c>
      <c r="AK8" s="124" t="s">
        <v>14</v>
      </c>
      <c r="AL8" s="125">
        <v>50</v>
      </c>
      <c r="AM8" s="223">
        <f t="shared" si="4"/>
        <v>4.9734748010610081</v>
      </c>
      <c r="AN8" s="127">
        <v>1</v>
      </c>
      <c r="AO8" s="119">
        <f t="shared" si="5"/>
        <v>248.67374005305041</v>
      </c>
      <c r="AP8" s="120">
        <f t="shared" si="6"/>
        <v>248.67374005305041</v>
      </c>
      <c r="AQ8" s="1172">
        <f>VLOOKUP(AJ8,Marination_Ordering!$A:$J,6,FALSE)</f>
        <v>1</v>
      </c>
      <c r="AR8" s="1172">
        <f>VLOOKUP(AJ8,Marination_Ordering!$A:$J,10,FALSE)</f>
        <v>15</v>
      </c>
      <c r="AS8" s="175">
        <f t="shared" si="10"/>
        <v>248.67374005305041</v>
      </c>
      <c r="AT8" s="1172">
        <f t="shared" si="11"/>
        <v>3.7301061007957559</v>
      </c>
    </row>
    <row r="9" spans="1:46" ht="14.25" customHeight="1" x14ac:dyDescent="0.3">
      <c r="A9" s="270" t="s">
        <v>97</v>
      </c>
      <c r="B9" s="534" t="s">
        <v>102</v>
      </c>
      <c r="C9" s="124" t="s">
        <v>14</v>
      </c>
      <c r="D9" s="125">
        <v>3</v>
      </c>
      <c r="E9" s="223">
        <f t="shared" si="7"/>
        <v>21.585557299843011</v>
      </c>
      <c r="F9" s="127">
        <v>1</v>
      </c>
      <c r="G9" s="119">
        <f t="shared" si="0"/>
        <v>64.756671899529039</v>
      </c>
      <c r="H9" s="120">
        <f t="shared" si="1"/>
        <v>64.756671899529039</v>
      </c>
      <c r="I9" s="81">
        <f>VLOOKUP(B9,All_Ingredients!$A$1:$F$151,6,FALSE())</f>
        <v>1</v>
      </c>
      <c r="J9" s="119">
        <f>VLOOKUP(B9,All_Ingredients!$A$1:$J$151,10,FALSE())</f>
        <v>31</v>
      </c>
      <c r="K9" s="122">
        <f t="shared" si="8"/>
        <v>6.4756671899529036E-2</v>
      </c>
      <c r="L9" s="122">
        <f t="shared" si="9"/>
        <v>2.0074568288854002</v>
      </c>
      <c r="M9" s="131"/>
      <c r="N9" s="131"/>
      <c r="AI9" s="1" t="s">
        <v>97</v>
      </c>
      <c r="AJ9" s="374" t="s">
        <v>790</v>
      </c>
      <c r="AK9" s="124" t="s">
        <v>14</v>
      </c>
      <c r="AL9" s="125">
        <v>100</v>
      </c>
      <c r="AM9" s="223">
        <f t="shared" si="4"/>
        <v>4.9734748010610081</v>
      </c>
      <c r="AN9" s="127">
        <v>1</v>
      </c>
      <c r="AO9" s="119">
        <f t="shared" si="5"/>
        <v>497.34748010610082</v>
      </c>
      <c r="AP9" s="120">
        <f t="shared" si="6"/>
        <v>497.34748010610082</v>
      </c>
      <c r="AQ9" s="1172">
        <f>VLOOKUP(AJ9,Marination_Ordering!$A:$J,6,FALSE)</f>
        <v>1</v>
      </c>
      <c r="AR9" s="1172">
        <f>VLOOKUP(AJ9,Marination_Ordering!$A:$J,10,FALSE)</f>
        <v>43.333333333333336</v>
      </c>
      <c r="AS9" s="175">
        <f t="shared" ref="AS9:AS14" si="12">AP9/AQ9</f>
        <v>497.34748010610082</v>
      </c>
      <c r="AT9" s="1172">
        <f t="shared" ref="AT9:AT14" si="13">AR9*(AS9/1000)</f>
        <v>21.551724137931036</v>
      </c>
    </row>
    <row r="10" spans="1:46" ht="14.25" customHeight="1" x14ac:dyDescent="0.3">
      <c r="A10" s="270" t="s">
        <v>97</v>
      </c>
      <c r="B10" s="534" t="s">
        <v>108</v>
      </c>
      <c r="C10" s="124" t="s">
        <v>14</v>
      </c>
      <c r="D10" s="125">
        <v>4</v>
      </c>
      <c r="E10" s="223">
        <f t="shared" si="7"/>
        <v>21.585557299843011</v>
      </c>
      <c r="F10" s="127">
        <v>1</v>
      </c>
      <c r="G10" s="119">
        <f t="shared" si="0"/>
        <v>86.342229199372042</v>
      </c>
      <c r="H10" s="120">
        <f t="shared" si="1"/>
        <v>86.342229199372042</v>
      </c>
      <c r="I10" s="81">
        <f>VLOOKUP(B10,All_Ingredients!$A$1:$F$151,6,FALSE())</f>
        <v>1</v>
      </c>
      <c r="J10" s="119">
        <f>VLOOKUP(B10,All_Ingredients!$A$1:$J$151,10,FALSE())</f>
        <v>15</v>
      </c>
      <c r="K10" s="122">
        <f t="shared" si="8"/>
        <v>8.6342229199372039E-2</v>
      </c>
      <c r="L10" s="122">
        <f t="shared" si="9"/>
        <v>1.2951334379905806</v>
      </c>
      <c r="M10" s="131"/>
      <c r="N10" s="131"/>
      <c r="AI10" s="1" t="s">
        <v>97</v>
      </c>
      <c r="AJ10" s="542" t="s">
        <v>96</v>
      </c>
      <c r="AK10" s="124" t="s">
        <v>14</v>
      </c>
      <c r="AL10" s="125">
        <v>25</v>
      </c>
      <c r="AM10" s="223">
        <f t="shared" si="4"/>
        <v>4.9734748010610081</v>
      </c>
      <c r="AN10" s="127">
        <v>1</v>
      </c>
      <c r="AO10" s="119">
        <f t="shared" si="5"/>
        <v>124.3368700265252</v>
      </c>
      <c r="AP10" s="120">
        <f t="shared" si="6"/>
        <v>124.3368700265252</v>
      </c>
      <c r="AQ10" s="1172">
        <f>VLOOKUP(AJ10,Marination_Ordering!$A:$J,6,FALSE)</f>
        <v>1</v>
      </c>
      <c r="AR10" s="1172">
        <f>VLOOKUP(AJ10,Marination_Ordering!$A:$J,10,FALSE)</f>
        <v>0.74</v>
      </c>
      <c r="AS10" s="175">
        <f t="shared" si="12"/>
        <v>124.3368700265252</v>
      </c>
      <c r="AT10" s="1172">
        <f t="shared" si="13"/>
        <v>9.2009283819628654E-2</v>
      </c>
    </row>
    <row r="11" spans="1:46" ht="14.25" customHeight="1" x14ac:dyDescent="0.3">
      <c r="A11" s="270" t="s">
        <v>97</v>
      </c>
      <c r="B11" s="534" t="s">
        <v>110</v>
      </c>
      <c r="C11" s="124" t="s">
        <v>14</v>
      </c>
      <c r="D11" s="125">
        <v>6</v>
      </c>
      <c r="E11" s="223">
        <f t="shared" si="7"/>
        <v>21.585557299843011</v>
      </c>
      <c r="F11" s="127">
        <v>1</v>
      </c>
      <c r="G11" s="119">
        <f t="shared" si="0"/>
        <v>129.51334379905808</v>
      </c>
      <c r="H11" s="120">
        <f t="shared" si="1"/>
        <v>129.51334379905808</v>
      </c>
      <c r="I11" s="81">
        <f>VLOOKUP(B11,All_Ingredients!$A$1:$F$151,6,FALSE())</f>
        <v>1</v>
      </c>
      <c r="J11" s="119">
        <f>VLOOKUP(B11,All_Ingredients!$A$1:$J$151,10,FALSE())</f>
        <v>8</v>
      </c>
      <c r="K11" s="122">
        <f t="shared" si="8"/>
        <v>0.12951334379905807</v>
      </c>
      <c r="L11" s="122">
        <f t="shared" si="9"/>
        <v>1.0361067503924646</v>
      </c>
      <c r="M11" s="131"/>
      <c r="N11" s="131"/>
      <c r="AI11" s="1" t="s">
        <v>97</v>
      </c>
      <c r="AJ11" s="542" t="s">
        <v>102</v>
      </c>
      <c r="AK11" s="124" t="s">
        <v>14</v>
      </c>
      <c r="AL11" s="125">
        <v>25</v>
      </c>
      <c r="AM11" s="223">
        <f t="shared" si="4"/>
        <v>4.9734748010610081</v>
      </c>
      <c r="AN11" s="127">
        <v>1</v>
      </c>
      <c r="AO11" s="119">
        <f t="shared" si="5"/>
        <v>124.3368700265252</v>
      </c>
      <c r="AP11" s="120">
        <f t="shared" si="6"/>
        <v>124.3368700265252</v>
      </c>
      <c r="AQ11" s="1172">
        <f>VLOOKUP(AJ11,Marination_Ordering!$A:$J,6,FALSE)</f>
        <v>1</v>
      </c>
      <c r="AR11" s="1172">
        <f>VLOOKUP(AJ11,Marination_Ordering!$A:$J,10,FALSE)</f>
        <v>31</v>
      </c>
      <c r="AS11" s="175">
        <f t="shared" si="12"/>
        <v>124.3368700265252</v>
      </c>
      <c r="AT11" s="1172">
        <f t="shared" si="13"/>
        <v>3.8544429708222814</v>
      </c>
    </row>
    <row r="12" spans="1:46" ht="14.25" customHeight="1" x14ac:dyDescent="0.3">
      <c r="A12" s="270" t="s">
        <v>97</v>
      </c>
      <c r="B12" s="534" t="s">
        <v>126</v>
      </c>
      <c r="C12" s="124" t="s">
        <v>14</v>
      </c>
      <c r="D12" s="125">
        <v>5</v>
      </c>
      <c r="E12" s="223">
        <f t="shared" si="7"/>
        <v>21.585557299843011</v>
      </c>
      <c r="F12" s="127">
        <v>0.9</v>
      </c>
      <c r="G12" s="119">
        <f t="shared" si="0"/>
        <v>107.92778649921505</v>
      </c>
      <c r="H12" s="120">
        <f t="shared" si="1"/>
        <v>97.135007849293544</v>
      </c>
      <c r="I12" s="81">
        <f>VLOOKUP(B12,All_Ingredients!$A$1:$F$151,6,FALSE())</f>
        <v>1</v>
      </c>
      <c r="J12" s="119">
        <f>VLOOKUP(B12,All_Ingredients!$A$1:$J$151,10,FALSE())</f>
        <v>14</v>
      </c>
      <c r="K12" s="122">
        <f t="shared" si="8"/>
        <v>9.7135007849293548E-2</v>
      </c>
      <c r="L12" s="122">
        <f t="shared" si="9"/>
        <v>1.3598901098901097</v>
      </c>
      <c r="M12" s="131"/>
      <c r="N12" s="131"/>
      <c r="AI12" s="1" t="s">
        <v>97</v>
      </c>
      <c r="AJ12" s="542" t="s">
        <v>110</v>
      </c>
      <c r="AK12" s="124" t="s">
        <v>14</v>
      </c>
      <c r="AL12" s="125">
        <v>50</v>
      </c>
      <c r="AM12" s="223">
        <f t="shared" si="4"/>
        <v>4.9734748010610081</v>
      </c>
      <c r="AN12" s="127">
        <v>1</v>
      </c>
      <c r="AO12" s="119">
        <f t="shared" si="5"/>
        <v>248.67374005305041</v>
      </c>
      <c r="AP12" s="120">
        <f t="shared" si="6"/>
        <v>248.67374005305041</v>
      </c>
      <c r="AQ12" s="1172">
        <f>VLOOKUP(AJ12,Marination_Ordering!$A:$J,6,FALSE)</f>
        <v>1</v>
      </c>
      <c r="AR12" s="1172">
        <f>VLOOKUP(AJ12,Marination_Ordering!$A:$J,10,FALSE)</f>
        <v>8</v>
      </c>
      <c r="AS12" s="175">
        <f t="shared" si="12"/>
        <v>248.67374005305041</v>
      </c>
      <c r="AT12" s="1172">
        <f t="shared" si="13"/>
        <v>1.9893899204244032</v>
      </c>
    </row>
    <row r="13" spans="1:46" ht="14.25" customHeight="1" x14ac:dyDescent="0.3">
      <c r="A13" s="270" t="s">
        <v>97</v>
      </c>
      <c r="B13" s="534" t="s">
        <v>96</v>
      </c>
      <c r="C13" s="124" t="s">
        <v>14</v>
      </c>
      <c r="D13" s="125">
        <v>11</v>
      </c>
      <c r="E13" s="223">
        <f t="shared" si="7"/>
        <v>21.585557299843011</v>
      </c>
      <c r="F13" s="127">
        <v>0.75</v>
      </c>
      <c r="G13" s="119">
        <f t="shared" si="0"/>
        <v>237.44113029827312</v>
      </c>
      <c r="H13" s="120">
        <f t="shared" si="1"/>
        <v>178.08084772370484</v>
      </c>
      <c r="I13" s="81">
        <f>VLOOKUP(B13,All_Ingredients!$A$1:$F$151,6,FALSE())</f>
        <v>1</v>
      </c>
      <c r="J13" s="119">
        <f>VLOOKUP(B13,All_Ingredients!$A$1:$J$151,10,FALSE())</f>
        <v>0.74</v>
      </c>
      <c r="K13" s="122">
        <f t="shared" si="8"/>
        <v>0.17808084772370483</v>
      </c>
      <c r="L13" s="122">
        <f t="shared" si="9"/>
        <v>0.13177982731554158</v>
      </c>
      <c r="M13" s="131"/>
      <c r="N13" s="131"/>
      <c r="AI13" s="1" t="s">
        <v>97</v>
      </c>
      <c r="AJ13" s="374" t="s">
        <v>122</v>
      </c>
      <c r="AK13" s="124" t="s">
        <v>14</v>
      </c>
      <c r="AL13" s="125">
        <v>50</v>
      </c>
      <c r="AM13" s="223">
        <f t="shared" si="4"/>
        <v>4.9734748010610081</v>
      </c>
      <c r="AN13" s="127">
        <v>1</v>
      </c>
      <c r="AO13" s="119">
        <f t="shared" si="5"/>
        <v>248.67374005305041</v>
      </c>
      <c r="AP13" s="120">
        <f t="shared" si="6"/>
        <v>248.67374005305041</v>
      </c>
      <c r="AQ13" s="1172">
        <f>VLOOKUP(AJ13,Marination_Ordering!$A:$J,6,FALSE)</f>
        <v>1</v>
      </c>
      <c r="AR13" s="1172">
        <f>VLOOKUP(AJ13,Marination_Ordering!$A:$J,10,FALSE)</f>
        <v>15</v>
      </c>
      <c r="AS13" s="175">
        <f t="shared" si="12"/>
        <v>248.67374005305041</v>
      </c>
      <c r="AT13" s="1172">
        <f t="shared" si="13"/>
        <v>3.7301061007957559</v>
      </c>
    </row>
    <row r="14" spans="1:46" ht="14.25" customHeight="1" x14ac:dyDescent="0.3">
      <c r="A14" s="270" t="s">
        <v>196</v>
      </c>
      <c r="B14" s="534" t="s">
        <v>761</v>
      </c>
      <c r="C14" s="124" t="s">
        <v>14</v>
      </c>
      <c r="D14" s="125">
        <v>300</v>
      </c>
      <c r="E14" s="223">
        <f t="shared" si="7"/>
        <v>21.585557299843011</v>
      </c>
      <c r="F14" s="127">
        <v>1</v>
      </c>
      <c r="G14" s="119">
        <f t="shared" si="0"/>
        <v>6475.6671899529028</v>
      </c>
      <c r="H14" s="120">
        <f t="shared" si="1"/>
        <v>6475.6671899529028</v>
      </c>
      <c r="I14" s="81">
        <f>VLOOKUP(B14,All_Ingredients!$A$1:$F$151,6,FALSE())</f>
        <v>1</v>
      </c>
      <c r="J14" s="119">
        <f>VLOOKUP(B14,All_Ingredients!$A$1:$J$151,10,FALSE())</f>
        <v>8.1520833333333336</v>
      </c>
      <c r="K14" s="122">
        <f t="shared" si="8"/>
        <v>6.4756671899529028</v>
      </c>
      <c r="L14" s="122">
        <f t="shared" si="9"/>
        <v>52.790178571428562</v>
      </c>
      <c r="M14" s="131"/>
      <c r="N14" s="131"/>
      <c r="AI14" s="1" t="s">
        <v>63</v>
      </c>
      <c r="AJ14" s="542" t="s">
        <v>66</v>
      </c>
      <c r="AK14" s="124" t="s">
        <v>14</v>
      </c>
      <c r="AL14" s="125">
        <v>100</v>
      </c>
      <c r="AM14" s="223">
        <f t="shared" si="4"/>
        <v>4.9734748010610081</v>
      </c>
      <c r="AN14" s="127">
        <v>1</v>
      </c>
      <c r="AO14" s="119">
        <f t="shared" si="5"/>
        <v>497.34748010610082</v>
      </c>
      <c r="AP14" s="120">
        <f t="shared" si="6"/>
        <v>497.34748010610082</v>
      </c>
      <c r="AQ14" s="1172">
        <f>VLOOKUP(AJ14,Marination_Ordering!$A:$J,6,FALSE)</f>
        <v>0.65</v>
      </c>
      <c r="AR14" s="1172">
        <f>VLOOKUP(AJ14,Marination_Ordering!$A:$J,10,FALSE)</f>
        <v>3.5</v>
      </c>
      <c r="AS14" s="175">
        <f t="shared" si="12"/>
        <v>765.14996939400123</v>
      </c>
      <c r="AT14" s="1172">
        <f t="shared" si="13"/>
        <v>2.6780248928790042</v>
      </c>
    </row>
    <row r="15" spans="1:46" ht="14.25" customHeight="1" x14ac:dyDescent="0.3">
      <c r="A15" s="270" t="s">
        <v>192</v>
      </c>
      <c r="B15" s="534" t="s">
        <v>193</v>
      </c>
      <c r="C15" s="124" t="s">
        <v>14</v>
      </c>
      <c r="D15" s="125">
        <v>50</v>
      </c>
      <c r="E15" s="223">
        <f t="shared" si="7"/>
        <v>21.585557299843011</v>
      </c>
      <c r="F15" s="127">
        <v>1</v>
      </c>
      <c r="G15" s="119">
        <f t="shared" si="0"/>
        <v>1079.2778649921506</v>
      </c>
      <c r="H15" s="120">
        <f t="shared" si="1"/>
        <v>1079.2778649921506</v>
      </c>
      <c r="I15" s="81">
        <f>VLOOKUP(B15,All_Ingredients!$A$1:$F$151,6,FALSE())</f>
        <v>0.9</v>
      </c>
      <c r="J15" s="119">
        <f>VLOOKUP(B15,All_Ingredients!$A$1:$J$151,10,FALSE())</f>
        <v>2.3199999999999998</v>
      </c>
      <c r="K15" s="122">
        <f t="shared" si="8"/>
        <v>1.1991976277690561</v>
      </c>
      <c r="L15" s="122">
        <f t="shared" si="9"/>
        <v>2.78213849642421</v>
      </c>
      <c r="M15" s="131"/>
      <c r="N15" s="131"/>
    </row>
    <row r="16" spans="1:46" ht="14.25" customHeight="1" x14ac:dyDescent="0.3">
      <c r="A16" s="270" t="s">
        <v>158</v>
      </c>
      <c r="B16" s="534" t="s">
        <v>157</v>
      </c>
      <c r="C16" s="124" t="s">
        <v>14</v>
      </c>
      <c r="D16" s="125">
        <v>25</v>
      </c>
      <c r="E16" s="223">
        <f t="shared" si="7"/>
        <v>21.585557299843011</v>
      </c>
      <c r="F16" s="127">
        <v>1</v>
      </c>
      <c r="G16" s="119">
        <f t="shared" si="0"/>
        <v>539.63893249607531</v>
      </c>
      <c r="H16" s="120">
        <f t="shared" si="1"/>
        <v>539.63893249607531</v>
      </c>
      <c r="I16" s="81">
        <f>VLOOKUP(B16,All_Ingredients!$A$1:$F$151,6,FALSE())</f>
        <v>1</v>
      </c>
      <c r="J16" s="119">
        <f>VLOOKUP(B16,All_Ingredients!$A$1:$J$151,10,FALSE())</f>
        <v>30</v>
      </c>
      <c r="K16" s="122">
        <f t="shared" si="8"/>
        <v>0.53963893249607531</v>
      </c>
      <c r="L16" s="122">
        <f t="shared" si="9"/>
        <v>16.18916797488226</v>
      </c>
      <c r="M16" s="131"/>
      <c r="N16" s="131"/>
      <c r="T16" s="1252"/>
    </row>
    <row r="17" spans="1:32" ht="14.25" customHeight="1" x14ac:dyDescent="0.3">
      <c r="A17" s="543" t="s">
        <v>97</v>
      </c>
      <c r="B17" s="544" t="s">
        <v>144</v>
      </c>
      <c r="C17" s="124" t="s">
        <v>14</v>
      </c>
      <c r="D17" s="420">
        <v>10</v>
      </c>
      <c r="E17" s="545">
        <f t="shared" si="7"/>
        <v>21.585557299843011</v>
      </c>
      <c r="F17" s="447">
        <v>0.75</v>
      </c>
      <c r="G17" s="455">
        <f t="shared" si="0"/>
        <v>215.85557299843009</v>
      </c>
      <c r="H17" s="449">
        <f t="shared" si="1"/>
        <v>161.89167974882258</v>
      </c>
      <c r="I17" s="81">
        <f>VLOOKUP(B17,All_Ingredients!$A$1:$F$151,6,FALSE())</f>
        <v>1</v>
      </c>
      <c r="J17" s="119">
        <f>VLOOKUP(B17,All_Ingredients!$A$1:$J$151,10,FALSE())</f>
        <v>15.277777777777779</v>
      </c>
      <c r="K17" s="122">
        <f t="shared" si="8"/>
        <v>0.16189167974882257</v>
      </c>
      <c r="L17" s="122">
        <f t="shared" si="9"/>
        <v>2.4733451072736781</v>
      </c>
      <c r="M17" s="131"/>
      <c r="N17" s="131"/>
    </row>
    <row r="18" spans="1:32" ht="14.25" customHeight="1" x14ac:dyDescent="0.3">
      <c r="A18" s="546"/>
      <c r="B18" s="358"/>
      <c r="C18" s="358"/>
      <c r="D18" s="358"/>
      <c r="E18" s="358"/>
      <c r="F18" s="360"/>
      <c r="G18" s="422"/>
      <c r="H18" s="362"/>
      <c r="I18" s="422"/>
      <c r="J18" s="489"/>
      <c r="K18" s="422"/>
      <c r="L18" s="209"/>
    </row>
    <row r="19" spans="1:32" ht="14.25" customHeight="1" x14ac:dyDescent="0.3">
      <c r="B19" s="254"/>
      <c r="C19" s="254"/>
      <c r="D19" s="254"/>
      <c r="E19" s="254"/>
      <c r="F19" s="136"/>
      <c r="G19" s="92"/>
      <c r="H19" s="138"/>
      <c r="I19" s="92"/>
      <c r="J19" s="139"/>
      <c r="K19" s="92"/>
      <c r="L19" s="209"/>
    </row>
    <row r="20" spans="1:32" ht="14.25" customHeight="1" x14ac:dyDescent="0.3">
      <c r="I20" s="92"/>
      <c r="J20" s="139"/>
      <c r="K20" s="92"/>
      <c r="L20" s="209"/>
    </row>
    <row r="21" spans="1:32" ht="14.25" customHeight="1" x14ac:dyDescent="0.3">
      <c r="I21" s="92"/>
      <c r="J21" s="139"/>
      <c r="K21" s="92"/>
      <c r="L21" s="209"/>
    </row>
    <row r="22" spans="1:32" ht="14.25" customHeight="1" x14ac:dyDescent="0.3">
      <c r="I22" s="92"/>
      <c r="J22" s="139"/>
      <c r="K22" s="92"/>
      <c r="L22" s="209"/>
    </row>
    <row r="23" spans="1:32" ht="14.25" customHeight="1" x14ac:dyDescent="0.3">
      <c r="I23" s="92"/>
      <c r="J23" s="139"/>
      <c r="K23" s="92"/>
      <c r="L23" s="209"/>
    </row>
    <row r="24" spans="1:32" ht="14.25" customHeight="1" x14ac:dyDescent="0.3">
      <c r="B24" s="100"/>
      <c r="C24" s="861"/>
      <c r="D24" s="861"/>
      <c r="E24" s="861"/>
      <c r="F24" s="861"/>
      <c r="G24" s="861"/>
      <c r="I24" s="92"/>
      <c r="J24" s="139"/>
      <c r="K24" s="92"/>
      <c r="L24" s="209"/>
      <c r="V24" s="14"/>
      <c r="Z24" s="1294"/>
    </row>
    <row r="25" spans="1:32" ht="14.25" customHeight="1" x14ac:dyDescent="0.35">
      <c r="B25" s="371"/>
      <c r="C25" s="348"/>
      <c r="D25" s="264"/>
      <c r="E25" s="371"/>
      <c r="F25" s="371"/>
      <c r="G25" s="264"/>
      <c r="H25" s="55"/>
      <c r="I25" s="92"/>
      <c r="J25" s="139"/>
      <c r="K25" s="92"/>
      <c r="L25" s="209"/>
      <c r="R25" s="1411" t="s">
        <v>464</v>
      </c>
      <c r="S25" s="1388"/>
      <c r="T25" s="1388"/>
      <c r="U25" s="1388"/>
      <c r="V25" s="1151"/>
      <c r="Z25" s="141" t="s">
        <v>264</v>
      </c>
      <c r="AA25" s="142">
        <v>19320</v>
      </c>
      <c r="AB25" s="141" t="s">
        <v>261</v>
      </c>
      <c r="AC25" s="143">
        <f>(AF30*(4/3)*AA25)+(AA30*(AB28/R1))</f>
        <v>88.741196093750318</v>
      </c>
      <c r="AD25" s="14"/>
    </row>
    <row r="26" spans="1:32" ht="14.25" customHeight="1" x14ac:dyDescent="0.3">
      <c r="B26" s="371"/>
      <c r="C26" s="348"/>
      <c r="D26" s="264"/>
      <c r="E26" s="371"/>
      <c r="F26" s="371"/>
      <c r="G26" s="264"/>
      <c r="H26" s="55"/>
      <c r="I26" s="92"/>
      <c r="J26" s="139"/>
      <c r="K26" s="92"/>
      <c r="L26" s="209"/>
      <c r="R26" s="1423" t="s">
        <v>265</v>
      </c>
      <c r="S26" s="1388"/>
      <c r="T26" s="1388"/>
      <c r="U26" s="1388"/>
      <c r="V26" s="1151"/>
      <c r="Z26" s="14"/>
      <c r="AA26" s="14"/>
      <c r="AB26" s="14"/>
      <c r="AC26" s="14"/>
      <c r="AD26" s="14"/>
    </row>
    <row r="27" spans="1:32" ht="14.25" customHeight="1" thickBot="1" x14ac:dyDescent="0.35">
      <c r="I27" s="92"/>
      <c r="J27" s="139"/>
      <c r="K27" s="92"/>
      <c r="L27" s="209"/>
      <c r="R27" s="145" t="s">
        <v>266</v>
      </c>
      <c r="S27" s="146" t="s">
        <v>465</v>
      </c>
      <c r="T27" s="146" t="s">
        <v>268</v>
      </c>
      <c r="U27" s="146" t="s">
        <v>269</v>
      </c>
      <c r="V27" s="146" t="s">
        <v>839</v>
      </c>
      <c r="W27" s="146" t="s">
        <v>848</v>
      </c>
      <c r="Z27" s="141" t="s">
        <v>270</v>
      </c>
      <c r="AA27" s="1185" t="s">
        <v>324</v>
      </c>
      <c r="AB27" s="147" t="s">
        <v>271</v>
      </c>
      <c r="AC27" s="147" t="s">
        <v>272</v>
      </c>
      <c r="AD27" s="147" t="s">
        <v>273</v>
      </c>
      <c r="AE27" s="1186" t="s">
        <v>848</v>
      </c>
      <c r="AF27" s="147" t="s">
        <v>274</v>
      </c>
    </row>
    <row r="28" spans="1:32" ht="14.25" customHeight="1" thickBot="1" x14ac:dyDescent="0.35">
      <c r="I28" s="92"/>
      <c r="J28" s="139"/>
      <c r="K28" s="92"/>
      <c r="L28" s="209"/>
      <c r="R28" s="148" t="s">
        <v>275</v>
      </c>
      <c r="S28" s="149">
        <f>U28*S40</f>
        <v>28076.923076923078</v>
      </c>
      <c r="T28" s="149">
        <f>U28*U40</f>
        <v>8423.0769230769238</v>
      </c>
      <c r="U28" s="150">
        <f>$Z$1</f>
        <v>36500</v>
      </c>
      <c r="V28" s="149">
        <f>SUM(AP5:AP13)</f>
        <v>2039.1246684350133</v>
      </c>
      <c r="W28" s="149">
        <f>SUM(H37:H38)</f>
        <v>135.88999999999999</v>
      </c>
      <c r="Z28" s="151"/>
      <c r="AA28" s="1188"/>
      <c r="AB28" s="152">
        <f>AA25*$S$40</f>
        <v>14861.538461538463</v>
      </c>
      <c r="AC28" s="152">
        <f>AA25*$U$40</f>
        <v>4458.461538461539</v>
      </c>
      <c r="AD28" s="153">
        <f>AA25*(1/3)</f>
        <v>6440</v>
      </c>
      <c r="AE28" s="1188"/>
      <c r="AF28" s="154">
        <f>SUM(AB28:AD28)</f>
        <v>25760</v>
      </c>
    </row>
    <row r="29" spans="1:32" ht="14.25" customHeight="1" thickBot="1" x14ac:dyDescent="0.35">
      <c r="I29" s="92"/>
      <c r="J29" s="139"/>
      <c r="K29" s="92"/>
      <c r="L29" s="209"/>
      <c r="R29" s="148" t="s">
        <v>276</v>
      </c>
      <c r="S29" s="155"/>
      <c r="T29" s="149">
        <f>U28*(1/3)</f>
        <v>12166.666666666666</v>
      </c>
      <c r="U29" s="149">
        <f>T29</f>
        <v>12166.666666666666</v>
      </c>
      <c r="V29" s="149"/>
      <c r="W29" s="149"/>
      <c r="Z29" s="151"/>
      <c r="AA29" s="1192"/>
      <c r="AB29" s="156">
        <f>AB28/$AF$28</f>
        <v>0.57692307692307698</v>
      </c>
      <c r="AC29" s="156">
        <f>AC28/$AF$28</f>
        <v>0.1730769230769231</v>
      </c>
      <c r="AD29" s="156">
        <f>AD28/$AF$28</f>
        <v>0.25</v>
      </c>
      <c r="AE29" s="1192"/>
      <c r="AF29" s="156">
        <f>AF28/$AF$28</f>
        <v>1</v>
      </c>
    </row>
    <row r="30" spans="1:32" ht="14.25" customHeight="1" thickBot="1" x14ac:dyDescent="0.35">
      <c r="I30" s="92"/>
      <c r="J30" s="139"/>
      <c r="K30" s="92"/>
      <c r="L30" s="209"/>
      <c r="R30" s="148" t="s">
        <v>277</v>
      </c>
      <c r="S30" s="1143">
        <f>U30*S40</f>
        <v>769.23076923076928</v>
      </c>
      <c r="T30" s="1143">
        <f>(U30*U40)+(U30*(1/3))</f>
        <v>564.10256410256409</v>
      </c>
      <c r="U30" s="1236">
        <f>$AB$1</f>
        <v>1000</v>
      </c>
      <c r="V30" s="1143"/>
      <c r="W30" s="1143"/>
      <c r="Z30" s="141" t="s">
        <v>278</v>
      </c>
      <c r="AA30" s="1196">
        <f>V35/(S32/R1)</f>
        <v>8.9652948717948704E-4</v>
      </c>
      <c r="AB30" s="157">
        <f>S35/(S32)</f>
        <v>0</v>
      </c>
      <c r="AC30" s="158">
        <f>T35/T32</f>
        <v>5.9870382248137337E-3</v>
      </c>
      <c r="AD30" s="158">
        <f>T35/T32</f>
        <v>5.9870382248137337E-3</v>
      </c>
      <c r="AE30" s="1199">
        <f>W35/U32</f>
        <v>2.0171135531135533E-5</v>
      </c>
      <c r="AF30" s="1201">
        <f>SUMPRODUCT(AB30:AD30,AB29:AD29)+AE30</f>
        <v>2.5531488460292539E-3</v>
      </c>
    </row>
    <row r="31" spans="1:32" ht="14.75" customHeight="1" thickBot="1" x14ac:dyDescent="0.35">
      <c r="I31" s="92"/>
      <c r="J31" s="139"/>
      <c r="K31" s="92"/>
      <c r="L31" s="209"/>
      <c r="R31" s="148" t="s">
        <v>279</v>
      </c>
      <c r="S31" s="155"/>
      <c r="T31" s="149"/>
      <c r="U31" s="149"/>
      <c r="V31" s="149"/>
      <c r="W31" s="149"/>
    </row>
    <row r="32" spans="1:32" ht="14.25" customHeight="1" thickBot="1" x14ac:dyDescent="0.35">
      <c r="I32" s="92"/>
      <c r="J32" s="139"/>
      <c r="K32" s="92"/>
      <c r="L32" s="209"/>
      <c r="R32" s="160" t="s">
        <v>269</v>
      </c>
      <c r="S32" s="149">
        <f>SUM(S28:S30)</f>
        <v>28846.153846153848</v>
      </c>
      <c r="T32" s="149">
        <f>SUM(T28:T30)</f>
        <v>21153.846153846152</v>
      </c>
      <c r="U32" s="149">
        <f>SUM(S32:T32)</f>
        <v>50000</v>
      </c>
      <c r="V32" s="149">
        <f>SUM(V28:V30)</f>
        <v>2039.1246684350133</v>
      </c>
      <c r="W32" s="149">
        <f>SUM(W28:W30)</f>
        <v>135.88999999999999</v>
      </c>
    </row>
    <row r="33" spans="2:23" ht="18.75" customHeight="1" thickBot="1" x14ac:dyDescent="0.35">
      <c r="I33" s="92"/>
      <c r="J33" s="139"/>
      <c r="K33" s="92"/>
      <c r="L33" s="209"/>
      <c r="R33" s="161" t="s">
        <v>280</v>
      </c>
      <c r="S33" s="155"/>
      <c r="T33" s="155">
        <f>F79+F98</f>
        <v>0</v>
      </c>
      <c r="U33" s="155"/>
      <c r="V33" s="155"/>
      <c r="W33" s="155"/>
    </row>
    <row r="34" spans="2:23" ht="14.25" customHeight="1" thickBot="1" x14ac:dyDescent="0.35">
      <c r="B34" s="254"/>
      <c r="C34" s="254"/>
      <c r="D34" s="254"/>
      <c r="E34" s="254"/>
      <c r="F34" s="136"/>
      <c r="G34" s="92"/>
      <c r="H34" s="138"/>
      <c r="I34" s="92"/>
      <c r="J34" s="139"/>
      <c r="K34" s="92"/>
      <c r="L34" s="209"/>
      <c r="R34" s="162" t="s">
        <v>281</v>
      </c>
      <c r="S34" s="155"/>
      <c r="T34" s="149"/>
      <c r="U34" s="155"/>
      <c r="V34" s="155"/>
      <c r="W34" s="155"/>
    </row>
    <row r="35" spans="2:23" ht="14.25" customHeight="1" thickBot="1" x14ac:dyDescent="0.35">
      <c r="B35" s="1394" t="s">
        <v>723</v>
      </c>
      <c r="C35" s="1394"/>
      <c r="D35" s="1394"/>
      <c r="E35" s="1394"/>
      <c r="F35" s="1394"/>
      <c r="G35" s="883"/>
      <c r="H35" s="884"/>
      <c r="I35" s="889"/>
      <c r="J35" s="889"/>
      <c r="K35" s="889"/>
      <c r="L35" s="889"/>
      <c r="R35" s="163" t="s">
        <v>261</v>
      </c>
      <c r="S35" s="1144">
        <f>$L$5</f>
        <v>0</v>
      </c>
      <c r="T35" s="1326">
        <f>SUM(L6:L17)</f>
        <v>126.64888552490589</v>
      </c>
      <c r="U35" s="1144">
        <f>S35+T35+V35+W35</f>
        <v>172.24611043041594</v>
      </c>
      <c r="V35" s="1144">
        <f>SUM(AT6:AT14)</f>
        <v>44.588668128953273</v>
      </c>
      <c r="W35" s="1222">
        <f>SUM(L37:L38)</f>
        <v>1.0085567765567767</v>
      </c>
    </row>
    <row r="36" spans="2:23" ht="14.25" customHeight="1" x14ac:dyDescent="0.3">
      <c r="B36" s="860" t="s">
        <v>253</v>
      </c>
      <c r="C36" s="860" t="s">
        <v>329</v>
      </c>
      <c r="D36" s="862" t="s">
        <v>671</v>
      </c>
      <c r="E36" s="859" t="s">
        <v>672</v>
      </c>
      <c r="F36" s="862" t="s">
        <v>673</v>
      </c>
      <c r="G36" s="885"/>
      <c r="H36" s="862" t="s">
        <v>673</v>
      </c>
      <c r="I36" s="862" t="s">
        <v>258</v>
      </c>
      <c r="J36" s="862" t="s">
        <v>259</v>
      </c>
      <c r="K36" s="862" t="s">
        <v>260</v>
      </c>
      <c r="L36" s="862" t="s">
        <v>261</v>
      </c>
    </row>
    <row r="37" spans="2:23" ht="14.25" customHeight="1" x14ac:dyDescent="0.3">
      <c r="B37" s="855" t="s">
        <v>746</v>
      </c>
      <c r="C37" s="856" t="s">
        <v>14</v>
      </c>
      <c r="D37" s="857">
        <v>7.0000000000000007E-2</v>
      </c>
      <c r="E37" s="855">
        <f>$AD$1</f>
        <v>127</v>
      </c>
      <c r="F37" s="855">
        <f>D37*E37</f>
        <v>8.89</v>
      </c>
      <c r="G37" s="879"/>
      <c r="H37" s="855">
        <f>F37</f>
        <v>8.89</v>
      </c>
      <c r="I37" s="855">
        <f>VLOOKUP(B37,All_Ingredients!$A$1:$F$151,6,FALSE())</f>
        <v>0.65</v>
      </c>
      <c r="J37" s="855">
        <f>VLOOKUP(B37,All_Ingredients!$A$1:$J$151,10,FALSE())</f>
        <v>45</v>
      </c>
      <c r="K37" s="855">
        <f>(H37/I37)/1000</f>
        <v>1.3676923076923078E-2</v>
      </c>
      <c r="L37" s="855">
        <f>K37*J37</f>
        <v>0.6154615384615385</v>
      </c>
    </row>
    <row r="38" spans="2:23" ht="14.25" customHeight="1" x14ac:dyDescent="0.3">
      <c r="B38" s="855" t="s">
        <v>19</v>
      </c>
      <c r="C38" s="856" t="s">
        <v>14</v>
      </c>
      <c r="D38" s="857">
        <v>1</v>
      </c>
      <c r="E38" s="855">
        <f>$AD$1</f>
        <v>127</v>
      </c>
      <c r="F38" s="855">
        <f>D38*E38</f>
        <v>127</v>
      </c>
      <c r="H38" s="855">
        <f>F38</f>
        <v>127</v>
      </c>
      <c r="I38" s="855">
        <f>VLOOKUP(B38,All_Ingredients!$A$1:$F$151,6,FALSE())</f>
        <v>0.84</v>
      </c>
      <c r="J38" s="855">
        <f>VLOOKUP(B38,All_Ingredients!$A$1:$J$151,10,FALSE())</f>
        <v>2.6</v>
      </c>
      <c r="K38" s="855">
        <f>(H38/I38)/1000</f>
        <v>0.15119047619047621</v>
      </c>
      <c r="L38" s="855">
        <f>K38*J38</f>
        <v>0.39309523809523816</v>
      </c>
    </row>
    <row r="39" spans="2:23" ht="14.25" customHeight="1" x14ac:dyDescent="0.3">
      <c r="B39" s="254"/>
      <c r="C39" s="254"/>
      <c r="D39" s="254"/>
      <c r="E39" s="254"/>
      <c r="F39" s="136"/>
      <c r="G39" s="92"/>
      <c r="H39" s="138"/>
      <c r="I39" s="92"/>
      <c r="J39" s="139"/>
      <c r="K39" s="92"/>
      <c r="L39" s="209"/>
    </row>
    <row r="40" spans="2:23" ht="46.5" customHeight="1" x14ac:dyDescent="0.3">
      <c r="B40" s="254"/>
      <c r="C40" s="254"/>
      <c r="D40" s="254"/>
      <c r="E40" s="254"/>
      <c r="F40" s="136"/>
      <c r="G40" s="92"/>
      <c r="H40" s="138"/>
      <c r="I40" s="92"/>
      <c r="J40" s="139"/>
      <c r="K40" s="92"/>
      <c r="L40" s="209"/>
      <c r="Q40" s="14"/>
      <c r="R40" s="165" t="s">
        <v>282</v>
      </c>
      <c r="S40" s="537">
        <v>0.76923076923076927</v>
      </c>
      <c r="T40" s="165" t="s">
        <v>283</v>
      </c>
      <c r="U40" s="537">
        <v>0.23076923076923078</v>
      </c>
      <c r="V40" s="168">
        <f>S40+U40</f>
        <v>1</v>
      </c>
      <c r="W40" s="14"/>
    </row>
    <row r="41" spans="2:23" ht="14.25" customHeight="1" x14ac:dyDescent="0.3">
      <c r="B41" s="254"/>
      <c r="C41" s="254"/>
      <c r="D41" s="254"/>
      <c r="E41" s="254"/>
      <c r="F41" s="136"/>
      <c r="G41" s="92"/>
      <c r="H41" s="138"/>
      <c r="I41" s="92"/>
      <c r="J41" s="139"/>
      <c r="K41" s="92"/>
      <c r="L41" s="209"/>
      <c r="Q41" s="14"/>
      <c r="R41" s="14"/>
      <c r="S41" s="14"/>
      <c r="T41" s="14"/>
      <c r="U41" s="169"/>
      <c r="V41" s="14"/>
      <c r="W41" s="14"/>
    </row>
    <row r="42" spans="2:23" ht="14.25" customHeight="1" x14ac:dyDescent="0.3">
      <c r="B42" s="254"/>
      <c r="C42" s="254"/>
      <c r="D42" s="254"/>
      <c r="E42" s="254"/>
      <c r="F42" s="136"/>
      <c r="G42" s="92"/>
      <c r="H42" s="138"/>
      <c r="I42" s="92"/>
      <c r="J42" s="139"/>
      <c r="K42" s="92"/>
      <c r="L42" s="209"/>
      <c r="Q42" s="14"/>
      <c r="R42" s="14"/>
      <c r="S42" s="14"/>
      <c r="T42" s="14"/>
      <c r="U42" s="14"/>
      <c r="V42" s="14"/>
      <c r="W42" s="14"/>
    </row>
    <row r="43" spans="2:23" ht="14.25" customHeight="1" thickBot="1" x14ac:dyDescent="0.35">
      <c r="B43" s="1"/>
      <c r="C43" s="133"/>
      <c r="D43" s="254"/>
      <c r="E43" s="254"/>
      <c r="F43" s="136"/>
      <c r="G43" s="92"/>
      <c r="H43" s="138"/>
      <c r="I43" s="92"/>
      <c r="J43" s="139"/>
      <c r="K43" s="92"/>
      <c r="L43" s="209"/>
      <c r="Q43" s="170" t="s">
        <v>284</v>
      </c>
      <c r="R43" s="170" t="s">
        <v>285</v>
      </c>
      <c r="S43" s="170" t="s">
        <v>286</v>
      </c>
      <c r="T43" s="170" t="s">
        <v>287</v>
      </c>
      <c r="U43" s="170" t="s">
        <v>288</v>
      </c>
      <c r="V43" s="170" t="s">
        <v>289</v>
      </c>
      <c r="W43" s="258" t="s">
        <v>290</v>
      </c>
    </row>
    <row r="44" spans="2:23" ht="14.25" customHeight="1" thickBot="1" x14ac:dyDescent="0.35">
      <c r="B44" s="1"/>
      <c r="E44" s="100"/>
      <c r="F44" s="100"/>
      <c r="L44" s="209"/>
      <c r="Q44" s="1494">
        <v>17728</v>
      </c>
      <c r="R44" s="173">
        <f>D51</f>
        <v>10000</v>
      </c>
      <c r="S44" s="497">
        <v>0.40909090909090912</v>
      </c>
      <c r="T44" s="497">
        <v>0.59090909090909094</v>
      </c>
      <c r="U44" s="242">
        <f>R44*S44</f>
        <v>4090.909090909091</v>
      </c>
      <c r="V44" s="176">
        <f>R44*T44</f>
        <v>5909.090909090909</v>
      </c>
      <c r="W44" s="260">
        <f>Q44-U44</f>
        <v>13637.090909090908</v>
      </c>
    </row>
    <row r="45" spans="2:23" ht="14.25" customHeight="1" x14ac:dyDescent="0.3">
      <c r="B45" s="100"/>
      <c r="E45" s="100"/>
      <c r="F45" s="100"/>
      <c r="L45" s="209"/>
    </row>
    <row r="46" spans="2:23" ht="14.25" customHeight="1" x14ac:dyDescent="0.3">
      <c r="B46" s="100"/>
      <c r="E46" s="100"/>
      <c r="F46" s="100"/>
      <c r="L46" s="209"/>
      <c r="S46" s="1180"/>
    </row>
    <row r="47" spans="2:23" ht="14.25" customHeight="1" x14ac:dyDescent="0.3">
      <c r="L47" s="209"/>
    </row>
    <row r="48" spans="2:23" ht="14.25" customHeight="1" x14ac:dyDescent="0.3">
      <c r="L48" s="209"/>
      <c r="S48" s="1180"/>
    </row>
    <row r="49" spans="1:12" ht="14.25" customHeight="1" x14ac:dyDescent="0.3">
      <c r="L49" s="209"/>
    </row>
    <row r="50" spans="1:12" ht="14.25" customHeight="1" x14ac:dyDescent="0.3">
      <c r="B50" s="145"/>
      <c r="C50" s="145" t="s">
        <v>245</v>
      </c>
      <c r="D50" s="145" t="s">
        <v>291</v>
      </c>
      <c r="E50" s="179"/>
      <c r="F50" s="100"/>
      <c r="G50" s="145" t="s">
        <v>292</v>
      </c>
      <c r="H50" s="145" t="s">
        <v>245</v>
      </c>
      <c r="I50" s="145" t="s">
        <v>293</v>
      </c>
      <c r="J50" s="145" t="s">
        <v>294</v>
      </c>
      <c r="L50" s="209"/>
    </row>
    <row r="51" spans="1:12" ht="14.25" customHeight="1" x14ac:dyDescent="0.3">
      <c r="B51" s="180" t="s">
        <v>295</v>
      </c>
      <c r="C51" s="181">
        <f>10/$K$1</f>
        <v>10.204081632653061</v>
      </c>
      <c r="D51" s="182">
        <f>$C$1*10</f>
        <v>10000</v>
      </c>
      <c r="E51" s="183"/>
      <c r="F51" s="100"/>
      <c r="G51" s="180" t="s">
        <v>295</v>
      </c>
      <c r="H51" s="277">
        <f>I51/$D$5</f>
        <v>10</v>
      </c>
      <c r="I51" s="181">
        <f>J51/$R$1</f>
        <v>23512.225705329154</v>
      </c>
      <c r="J51" s="181">
        <f>$W$44</f>
        <v>13637.090909090908</v>
      </c>
    </row>
    <row r="52" spans="1:12" ht="14.25" customHeight="1" x14ac:dyDescent="0.3">
      <c r="B52" s="231" t="s">
        <v>274</v>
      </c>
      <c r="C52" s="232">
        <f>$I$1</f>
        <v>21.585557299843011</v>
      </c>
      <c r="D52" s="233">
        <f>$E$1</f>
        <v>21153.846153846152</v>
      </c>
      <c r="E52" s="100"/>
      <c r="F52" s="100"/>
      <c r="G52" s="148" t="s">
        <v>274</v>
      </c>
      <c r="H52" s="210">
        <f>I52/$D$5</f>
        <v>21.152718008885682</v>
      </c>
      <c r="I52" s="176">
        <f>J52/$R$1</f>
        <v>49734.748010610085</v>
      </c>
      <c r="J52" s="184">
        <f>$S$32</f>
        <v>28846.153846153848</v>
      </c>
    </row>
    <row r="53" spans="1:12" ht="14.25" customHeight="1" x14ac:dyDescent="0.3">
      <c r="B53" s="231" t="s">
        <v>296</v>
      </c>
      <c r="C53" s="234">
        <f>MIN(C52, C51)</f>
        <v>10.204081632653061</v>
      </c>
      <c r="D53" s="233">
        <f>(C53*$K$1)*$C$1</f>
        <v>10000</v>
      </c>
      <c r="E53" s="100"/>
      <c r="F53" s="100"/>
      <c r="G53" s="148" t="s">
        <v>296</v>
      </c>
      <c r="H53" s="187">
        <f>MIN(H52,H51)</f>
        <v>10</v>
      </c>
      <c r="I53" s="176">
        <f>J53/$R$1</f>
        <v>23512.225705329154</v>
      </c>
      <c r="J53" s="176">
        <f>MIN(J52,J51)</f>
        <v>13637.090909090908</v>
      </c>
    </row>
    <row r="54" spans="1:12" ht="14.25" customHeight="1" x14ac:dyDescent="0.3">
      <c r="B54" s="231" t="s">
        <v>297</v>
      </c>
      <c r="C54" s="234">
        <f>MIN(MAX(C52-C53,0),C51)</f>
        <v>10.204081632653061</v>
      </c>
      <c r="D54" s="233">
        <f>(C54*$K$1)*$C$1</f>
        <v>10000</v>
      </c>
      <c r="E54" s="100"/>
      <c r="F54" s="100"/>
      <c r="G54" s="148" t="s">
        <v>297</v>
      </c>
      <c r="H54" s="187">
        <f>MIN(MAX(H52-H53),H51)</f>
        <v>10</v>
      </c>
      <c r="I54" s="176">
        <f>J54/$R$1</f>
        <v>23512.225705329154</v>
      </c>
      <c r="J54" s="176">
        <f>MIN(MAX(J52-J53),J51)</f>
        <v>13637.090909090908</v>
      </c>
    </row>
    <row r="55" spans="1:12" ht="14.25" customHeight="1" x14ac:dyDescent="0.3">
      <c r="B55" s="231" t="s">
        <v>298</v>
      </c>
      <c r="C55" s="234">
        <f>MIN(MAX(C52-C53-C54,0),C51)</f>
        <v>1.1773940345368885</v>
      </c>
      <c r="D55" s="233">
        <f>(C55*$K$1)*$C$1</f>
        <v>1153.8461538461509</v>
      </c>
      <c r="E55" s="100"/>
      <c r="F55" s="100"/>
      <c r="G55" s="145" t="s">
        <v>298</v>
      </c>
      <c r="H55" s="187">
        <f>MIN(MAX(H52-H53-H54),H51)</f>
        <v>1.1527180088856817</v>
      </c>
      <c r="I55" s="176">
        <f>J55/$R$1</f>
        <v>2710.2965999517783</v>
      </c>
      <c r="J55" s="176">
        <f>MIN(MAX(J52-J53-J54),J51)</f>
        <v>1571.9720279720314</v>
      </c>
    </row>
    <row r="56" spans="1:12" ht="14.25" customHeight="1" x14ac:dyDescent="0.3">
      <c r="B56" s="179"/>
      <c r="C56" s="179"/>
      <c r="D56" s="179"/>
      <c r="E56" s="179"/>
      <c r="F56" s="100"/>
    </row>
    <row r="57" spans="1:12" ht="14.25" customHeight="1" x14ac:dyDescent="0.3">
      <c r="B57" s="179"/>
      <c r="C57" s="179"/>
      <c r="D57" s="179"/>
      <c r="E57" s="179"/>
      <c r="F57" s="100"/>
    </row>
    <row r="58" spans="1:12" ht="14.25" customHeight="1" x14ac:dyDescent="0.3">
      <c r="B58" s="179"/>
      <c r="C58" s="179"/>
      <c r="D58" s="179"/>
      <c r="E58" s="179"/>
      <c r="F58" s="100"/>
    </row>
    <row r="59" spans="1:12" ht="14.25" customHeight="1" x14ac:dyDescent="0.3">
      <c r="B59" s="100"/>
      <c r="E59" s="100"/>
      <c r="F59" s="100"/>
    </row>
    <row r="60" spans="1:12" ht="14.25" customHeight="1" x14ac:dyDescent="0.3">
      <c r="B60" s="100"/>
      <c r="E60" s="100"/>
      <c r="F60" s="100"/>
    </row>
    <row r="61" spans="1:12" ht="14.25" customHeight="1" x14ac:dyDescent="0.3">
      <c r="B61" s="100"/>
      <c r="E61" s="100"/>
      <c r="F61" s="100"/>
    </row>
    <row r="62" spans="1:12" ht="17.75" customHeight="1" x14ac:dyDescent="0.3">
      <c r="A62" s="938"/>
      <c r="B62" s="1382" t="str">
        <f>"كباب هندى   1 / " &amp; COUNTIF(C$53:C$55, "&gt;0")</f>
        <v>كباب هندى   1 / 3</v>
      </c>
      <c r="C62" s="1383"/>
      <c r="D62" s="1383"/>
      <c r="E62" s="1383"/>
      <c r="F62" s="1383"/>
      <c r="G62" s="1383"/>
      <c r="H62" s="1383"/>
    </row>
    <row r="63" spans="1:12" ht="17.75" customHeight="1" x14ac:dyDescent="0.3">
      <c r="A63" s="938"/>
      <c r="B63" s="1384" t="str">
        <f>"Kebab Hindi 1 / " &amp; COUNTIF($C$53:$C$55, "&gt;0")</f>
        <v>Kebab Hindi 1 / 3</v>
      </c>
      <c r="C63" s="1385"/>
      <c r="D63" s="1385"/>
      <c r="E63" s="1385"/>
      <c r="F63" s="1385"/>
      <c r="G63" s="1385"/>
      <c r="H63" s="1385"/>
    </row>
    <row r="64" spans="1:12" ht="47" customHeight="1" x14ac:dyDescent="0.3">
      <c r="A64" s="91"/>
      <c r="B64" s="91" t="s">
        <v>253</v>
      </c>
      <c r="C64" s="107" t="s">
        <v>254</v>
      </c>
      <c r="D64" s="91" t="s">
        <v>243</v>
      </c>
      <c r="E64" s="108" t="s">
        <v>246</v>
      </c>
      <c r="F64" s="108" t="s">
        <v>255</v>
      </c>
      <c r="G64" s="91" t="s">
        <v>256</v>
      </c>
      <c r="H64" s="218" t="s">
        <v>257</v>
      </c>
    </row>
    <row r="65" spans="1:8" ht="14.25" customHeight="1" x14ac:dyDescent="0.3">
      <c r="A65" s="219" t="s">
        <v>230</v>
      </c>
      <c r="B65" s="323" t="str">
        <f t="shared" ref="B65:D77" si="14">B5</f>
        <v>Indian Meat Tammam Mafroom - مفروم هندى</v>
      </c>
      <c r="C65" s="323" t="str">
        <f t="shared" si="14"/>
        <v>gm</v>
      </c>
      <c r="D65" s="488">
        <f t="shared" si="14"/>
        <v>2351.2225705329156</v>
      </c>
      <c r="E65" s="197">
        <f>H53</f>
        <v>10</v>
      </c>
      <c r="F65" s="127">
        <f t="shared" ref="F65:F77" si="15">F5</f>
        <v>1</v>
      </c>
      <c r="G65" s="119">
        <f t="shared" ref="G65:G77" si="16">D65*E65</f>
        <v>23512.225705329154</v>
      </c>
      <c r="H65" s="120">
        <f t="shared" ref="H65:H77" si="17">G65*F65</f>
        <v>23512.225705329154</v>
      </c>
    </row>
    <row r="66" spans="1:8" ht="14.25" customHeight="1" x14ac:dyDescent="0.3">
      <c r="A66" s="270" t="s">
        <v>13</v>
      </c>
      <c r="B66" s="323" t="str">
        <f t="shared" si="14"/>
        <v>Onion - بصل</v>
      </c>
      <c r="C66" s="323" t="str">
        <f t="shared" si="14"/>
        <v>gm</v>
      </c>
      <c r="D66" s="323">
        <f t="shared" si="14"/>
        <v>200</v>
      </c>
      <c r="E66" s="197">
        <f t="shared" ref="E66:E77" si="18">$C$53</f>
        <v>10.204081632653061</v>
      </c>
      <c r="F66" s="127">
        <f t="shared" si="15"/>
        <v>1</v>
      </c>
      <c r="G66" s="119">
        <f t="shared" si="16"/>
        <v>2040.8163265306123</v>
      </c>
      <c r="H66" s="120">
        <f t="shared" si="17"/>
        <v>2040.8163265306123</v>
      </c>
    </row>
    <row r="67" spans="1:8" ht="14.25" customHeight="1" x14ac:dyDescent="0.3">
      <c r="A67" s="270" t="s">
        <v>13</v>
      </c>
      <c r="B67" s="323" t="str">
        <f t="shared" si="14"/>
        <v>Tomato - طماطم</v>
      </c>
      <c r="C67" s="323" t="str">
        <f t="shared" si="14"/>
        <v>gm</v>
      </c>
      <c r="D67" s="323">
        <f t="shared" si="14"/>
        <v>300</v>
      </c>
      <c r="E67" s="197">
        <f>$C$53</f>
        <v>10.204081632653061</v>
      </c>
      <c r="F67" s="127">
        <f t="shared" si="15"/>
        <v>1</v>
      </c>
      <c r="G67" s="119">
        <f t="shared" si="16"/>
        <v>3061.2244897959181</v>
      </c>
      <c r="H67" s="120">
        <f t="shared" si="17"/>
        <v>3061.2244897959181</v>
      </c>
    </row>
    <row r="68" spans="1:8" ht="14.25" customHeight="1" x14ac:dyDescent="0.3">
      <c r="A68" s="270" t="s">
        <v>13</v>
      </c>
      <c r="B68" s="323" t="str">
        <f t="shared" si="14"/>
        <v>Garlic - ثوم مقشر</v>
      </c>
      <c r="C68" s="323" t="str">
        <f t="shared" si="14"/>
        <v>gm</v>
      </c>
      <c r="D68" s="323">
        <f t="shared" si="14"/>
        <v>40</v>
      </c>
      <c r="E68" s="197">
        <f t="shared" si="18"/>
        <v>10.204081632653061</v>
      </c>
      <c r="F68" s="127">
        <f t="shared" si="15"/>
        <v>1</v>
      </c>
      <c r="G68" s="119">
        <f t="shared" si="16"/>
        <v>408.16326530612241</v>
      </c>
      <c r="H68" s="120">
        <f t="shared" si="17"/>
        <v>408.16326530612241</v>
      </c>
    </row>
    <row r="69" spans="1:8" ht="14.25" customHeight="1" x14ac:dyDescent="0.3">
      <c r="A69" s="270" t="s">
        <v>97</v>
      </c>
      <c r="B69" s="323" t="str">
        <f t="shared" si="14"/>
        <v>Black Pepper Powder - فلفل أسود مطحون</v>
      </c>
      <c r="C69" s="323" t="str">
        <f t="shared" si="14"/>
        <v>gm</v>
      </c>
      <c r="D69" s="323">
        <f t="shared" si="14"/>
        <v>3</v>
      </c>
      <c r="E69" s="197">
        <f t="shared" si="18"/>
        <v>10.204081632653061</v>
      </c>
      <c r="F69" s="127">
        <f t="shared" si="15"/>
        <v>1</v>
      </c>
      <c r="G69" s="119">
        <f t="shared" si="16"/>
        <v>30.612244897959183</v>
      </c>
      <c r="H69" s="120">
        <f t="shared" si="17"/>
        <v>30.612244897959183</v>
      </c>
    </row>
    <row r="70" spans="1:8" ht="14.25" customHeight="1" x14ac:dyDescent="0.3">
      <c r="A70" s="270" t="s">
        <v>97</v>
      </c>
      <c r="B70" s="323" t="str">
        <f t="shared" si="14"/>
        <v>Cumin Powder - كمون مطحون</v>
      </c>
      <c r="C70" s="323" t="str">
        <f t="shared" si="14"/>
        <v>gm</v>
      </c>
      <c r="D70" s="323">
        <f t="shared" si="14"/>
        <v>4</v>
      </c>
      <c r="E70" s="197">
        <f t="shared" si="18"/>
        <v>10.204081632653061</v>
      </c>
      <c r="F70" s="127">
        <f t="shared" si="15"/>
        <v>1</v>
      </c>
      <c r="G70" s="119">
        <f t="shared" si="16"/>
        <v>40.816326530612244</v>
      </c>
      <c r="H70" s="120">
        <f t="shared" si="17"/>
        <v>40.816326530612244</v>
      </c>
    </row>
    <row r="71" spans="1:8" ht="14.25" customHeight="1" x14ac:dyDescent="0.3">
      <c r="A71" s="270" t="s">
        <v>97</v>
      </c>
      <c r="B71" s="323" t="str">
        <f t="shared" si="14"/>
        <v>Coriander Powder - كزبرة مطحونة</v>
      </c>
      <c r="C71" s="323" t="str">
        <f t="shared" si="14"/>
        <v>gm</v>
      </c>
      <c r="D71" s="323">
        <f t="shared" si="14"/>
        <v>6</v>
      </c>
      <c r="E71" s="197">
        <f t="shared" si="18"/>
        <v>10.204081632653061</v>
      </c>
      <c r="F71" s="127">
        <f t="shared" si="15"/>
        <v>1</v>
      </c>
      <c r="G71" s="119">
        <f t="shared" si="16"/>
        <v>61.224489795918366</v>
      </c>
      <c r="H71" s="120">
        <f t="shared" si="17"/>
        <v>61.224489795918366</v>
      </c>
    </row>
    <row r="72" spans="1:8" ht="14.25" customHeight="1" x14ac:dyDescent="0.3">
      <c r="A72" s="270" t="s">
        <v>97</v>
      </c>
      <c r="B72" s="323" t="str">
        <f t="shared" si="14"/>
        <v>Cinnamon Powder - قرفة مطحونة</v>
      </c>
      <c r="C72" s="323" t="str">
        <f t="shared" si="14"/>
        <v>gm</v>
      </c>
      <c r="D72" s="323">
        <f t="shared" si="14"/>
        <v>5</v>
      </c>
      <c r="E72" s="197">
        <f t="shared" si="18"/>
        <v>10.204081632653061</v>
      </c>
      <c r="F72" s="127">
        <f t="shared" si="15"/>
        <v>0.9</v>
      </c>
      <c r="G72" s="119">
        <f t="shared" si="16"/>
        <v>51.020408163265301</v>
      </c>
      <c r="H72" s="120">
        <f t="shared" si="17"/>
        <v>45.918367346938773</v>
      </c>
    </row>
    <row r="73" spans="1:8" ht="14.25" customHeight="1" x14ac:dyDescent="0.3">
      <c r="A73" s="270" t="s">
        <v>97</v>
      </c>
      <c r="B73" s="323" t="str">
        <f t="shared" si="14"/>
        <v>Salt - ملح</v>
      </c>
      <c r="C73" s="323" t="str">
        <f t="shared" si="14"/>
        <v>gm</v>
      </c>
      <c r="D73" s="323">
        <f t="shared" si="14"/>
        <v>11</v>
      </c>
      <c r="E73" s="197">
        <f t="shared" si="18"/>
        <v>10.204081632653061</v>
      </c>
      <c r="F73" s="127">
        <f t="shared" si="15"/>
        <v>0.75</v>
      </c>
      <c r="G73" s="119">
        <f t="shared" si="16"/>
        <v>112.24489795918367</v>
      </c>
      <c r="H73" s="120">
        <f t="shared" si="17"/>
        <v>84.183673469387756</v>
      </c>
    </row>
    <row r="74" spans="1:8" ht="14.25" customHeight="1" x14ac:dyDescent="0.3">
      <c r="A74" s="270" t="s">
        <v>196</v>
      </c>
      <c r="B74" s="323" t="str">
        <f t="shared" si="14"/>
        <v>Tomato Paste - صلصة طماطم</v>
      </c>
      <c r="C74" s="323" t="str">
        <f t="shared" si="14"/>
        <v>gm</v>
      </c>
      <c r="D74" s="323">
        <f t="shared" si="14"/>
        <v>300</v>
      </c>
      <c r="E74" s="197">
        <f t="shared" si="18"/>
        <v>10.204081632653061</v>
      </c>
      <c r="F74" s="127">
        <f t="shared" si="15"/>
        <v>1</v>
      </c>
      <c r="G74" s="119">
        <f t="shared" si="16"/>
        <v>3061.2244897959181</v>
      </c>
      <c r="H74" s="120">
        <f t="shared" si="17"/>
        <v>3061.2244897959181</v>
      </c>
    </row>
    <row r="75" spans="1:8" ht="14.25" customHeight="1" x14ac:dyDescent="0.3">
      <c r="A75" s="270" t="s">
        <v>192</v>
      </c>
      <c r="B75" s="323" t="str">
        <f t="shared" si="14"/>
        <v>Corn Starch - نشا ذرة</v>
      </c>
      <c r="C75" s="323" t="str">
        <f t="shared" si="14"/>
        <v>gm</v>
      </c>
      <c r="D75" s="323">
        <f t="shared" si="14"/>
        <v>50</v>
      </c>
      <c r="E75" s="197">
        <f t="shared" si="18"/>
        <v>10.204081632653061</v>
      </c>
      <c r="F75" s="127">
        <f t="shared" si="15"/>
        <v>1</v>
      </c>
      <c r="G75" s="119">
        <f t="shared" si="16"/>
        <v>510.20408163265307</v>
      </c>
      <c r="H75" s="120">
        <f t="shared" si="17"/>
        <v>510.20408163265307</v>
      </c>
    </row>
    <row r="76" spans="1:8" ht="14.25" customHeight="1" x14ac:dyDescent="0.3">
      <c r="A76" s="270" t="s">
        <v>158</v>
      </c>
      <c r="B76" s="323" t="str">
        <f t="shared" si="14"/>
        <v>Butter - زبدة</v>
      </c>
      <c r="C76" s="323" t="str">
        <f t="shared" si="14"/>
        <v>gm</v>
      </c>
      <c r="D76" s="323">
        <f t="shared" si="14"/>
        <v>25</v>
      </c>
      <c r="E76" s="197">
        <f t="shared" si="18"/>
        <v>10.204081632653061</v>
      </c>
      <c r="F76" s="127">
        <f t="shared" si="15"/>
        <v>1</v>
      </c>
      <c r="G76" s="119">
        <f t="shared" si="16"/>
        <v>255.10204081632654</v>
      </c>
      <c r="H76" s="120">
        <f t="shared" si="17"/>
        <v>255.10204081632654</v>
      </c>
    </row>
    <row r="77" spans="1:8" ht="14.25" customHeight="1" x14ac:dyDescent="0.3">
      <c r="A77" s="270" t="s">
        <v>97</v>
      </c>
      <c r="B77" s="323" t="str">
        <f t="shared" si="14"/>
        <v>Maggi Cubes - مكعبات ماجي</v>
      </c>
      <c r="C77" s="323" t="str">
        <f t="shared" si="14"/>
        <v>gm</v>
      </c>
      <c r="D77" s="323">
        <f t="shared" si="14"/>
        <v>10</v>
      </c>
      <c r="E77" s="197">
        <f t="shared" si="18"/>
        <v>10.204081632653061</v>
      </c>
      <c r="F77" s="127">
        <f t="shared" si="15"/>
        <v>0.75</v>
      </c>
      <c r="G77" s="119">
        <f t="shared" si="16"/>
        <v>102.0408163265306</v>
      </c>
      <c r="H77" s="120">
        <f t="shared" si="17"/>
        <v>76.530612244897952</v>
      </c>
    </row>
    <row r="78" spans="1:8" ht="20.25" customHeight="1" x14ac:dyDescent="0.3">
      <c r="A78" s="211"/>
      <c r="B78" s="198" t="s">
        <v>299</v>
      </c>
      <c r="C78" s="200" t="s">
        <v>285</v>
      </c>
      <c r="D78" s="14"/>
      <c r="E78" s="200" t="s">
        <v>300</v>
      </c>
      <c r="F78" s="14"/>
      <c r="G78" s="890" t="s">
        <v>276</v>
      </c>
      <c r="H78" s="890" t="s">
        <v>733</v>
      </c>
    </row>
    <row r="79" spans="1:8" ht="19.5" customHeight="1" x14ac:dyDescent="0.4">
      <c r="A79" s="211"/>
      <c r="B79" s="199">
        <f>$J$53</f>
        <v>13637.090909090908</v>
      </c>
      <c r="C79" s="199">
        <f>E79+G79</f>
        <v>10000</v>
      </c>
      <c r="D79" s="930"/>
      <c r="E79" s="199">
        <f>$D$53*$S$44</f>
        <v>4090.909090909091</v>
      </c>
      <c r="F79" s="934"/>
      <c r="G79" s="199">
        <f>$D$53*$T$44</f>
        <v>5909.090909090909</v>
      </c>
      <c r="H79" s="199">
        <f>B79+E79</f>
        <v>17728</v>
      </c>
    </row>
    <row r="80" spans="1:8" ht="14.25" customHeight="1" x14ac:dyDescent="0.3">
      <c r="B80" s="100"/>
      <c r="E80" s="100"/>
      <c r="F80" s="100"/>
    </row>
    <row r="81" spans="1:8" ht="17.75" customHeight="1" x14ac:dyDescent="0.3">
      <c r="A81" s="938"/>
      <c r="B81" s="1382" t="str">
        <f>"كباب هندى   2 / " &amp; COUNTIF(C$53:C$55, "&gt;0")</f>
        <v>كباب هندى   2 / 3</v>
      </c>
      <c r="C81" s="1383"/>
      <c r="D81" s="1383"/>
      <c r="E81" s="1383"/>
      <c r="F81" s="1383"/>
      <c r="G81" s="1383"/>
      <c r="H81" s="1383"/>
    </row>
    <row r="82" spans="1:8" ht="17.75" customHeight="1" x14ac:dyDescent="0.3">
      <c r="A82" s="938"/>
      <c r="B82" s="1384" t="str">
        <f>"Kebab Hindi 2 / " &amp; COUNTIF($C$53:$C$55, "&gt;0")</f>
        <v>Kebab Hindi 2 / 3</v>
      </c>
      <c r="C82" s="1385"/>
      <c r="D82" s="1385"/>
      <c r="E82" s="1385"/>
      <c r="F82" s="1385"/>
      <c r="G82" s="1385"/>
      <c r="H82" s="1385"/>
    </row>
    <row r="83" spans="1:8" ht="42" customHeight="1" x14ac:dyDescent="0.3">
      <c r="A83" s="91"/>
      <c r="B83" s="91" t="s">
        <v>253</v>
      </c>
      <c r="C83" s="107" t="s">
        <v>254</v>
      </c>
      <c r="D83" s="91" t="s">
        <v>243</v>
      </c>
      <c r="E83" s="108" t="s">
        <v>246</v>
      </c>
      <c r="F83" s="108" t="s">
        <v>255</v>
      </c>
      <c r="G83" s="91" t="s">
        <v>256</v>
      </c>
      <c r="H83" s="218" t="s">
        <v>257</v>
      </c>
    </row>
    <row r="84" spans="1:8" ht="14.25" customHeight="1" x14ac:dyDescent="0.3">
      <c r="A84" s="270" t="s">
        <v>230</v>
      </c>
      <c r="B84" s="124" t="str">
        <f t="shared" ref="B84:D96" si="19">B5</f>
        <v>Indian Meat Tammam Mafroom - مفروم هندى</v>
      </c>
      <c r="C84" s="124" t="str">
        <f t="shared" si="19"/>
        <v>gm</v>
      </c>
      <c r="D84" s="120">
        <f t="shared" si="19"/>
        <v>2351.2225705329156</v>
      </c>
      <c r="E84" s="197">
        <f>H54</f>
        <v>10</v>
      </c>
      <c r="F84" s="127">
        <f t="shared" ref="F84:F96" si="20">F5</f>
        <v>1</v>
      </c>
      <c r="G84" s="119">
        <f t="shared" ref="G84:G96" si="21">D84*E84</f>
        <v>23512.225705329154</v>
      </c>
      <c r="H84" s="120">
        <f t="shared" ref="H84:H96" si="22">G84*F84</f>
        <v>23512.225705329154</v>
      </c>
    </row>
    <row r="85" spans="1:8" ht="14.25" customHeight="1" x14ac:dyDescent="0.3">
      <c r="A85" s="270" t="s">
        <v>13</v>
      </c>
      <c r="B85" s="124" t="str">
        <f t="shared" si="19"/>
        <v>Onion - بصل</v>
      </c>
      <c r="C85" s="124" t="str">
        <f t="shared" si="19"/>
        <v>gm</v>
      </c>
      <c r="D85" s="124">
        <f t="shared" si="19"/>
        <v>200</v>
      </c>
      <c r="E85" s="197">
        <f>$C$54</f>
        <v>10.204081632653061</v>
      </c>
      <c r="F85" s="127">
        <f t="shared" si="20"/>
        <v>1</v>
      </c>
      <c r="G85" s="119">
        <f t="shared" si="21"/>
        <v>2040.8163265306123</v>
      </c>
      <c r="H85" s="120">
        <f t="shared" si="22"/>
        <v>2040.8163265306123</v>
      </c>
    </row>
    <row r="86" spans="1:8" ht="14.25" customHeight="1" x14ac:dyDescent="0.3">
      <c r="A86" s="270" t="s">
        <v>13</v>
      </c>
      <c r="B86" s="124" t="str">
        <f t="shared" si="19"/>
        <v>Tomato - طماطم</v>
      </c>
      <c r="C86" s="124" t="str">
        <f t="shared" si="19"/>
        <v>gm</v>
      </c>
      <c r="D86" s="124">
        <f t="shared" si="19"/>
        <v>300</v>
      </c>
      <c r="E86" s="197">
        <f t="shared" ref="E86:E96" si="23">$C$54</f>
        <v>10.204081632653061</v>
      </c>
      <c r="F86" s="127">
        <f t="shared" si="20"/>
        <v>1</v>
      </c>
      <c r="G86" s="119">
        <f t="shared" si="21"/>
        <v>3061.2244897959181</v>
      </c>
      <c r="H86" s="120">
        <f t="shared" si="22"/>
        <v>3061.2244897959181</v>
      </c>
    </row>
    <row r="87" spans="1:8" ht="14.25" customHeight="1" x14ac:dyDescent="0.3">
      <c r="A87" s="270" t="s">
        <v>13</v>
      </c>
      <c r="B87" s="124" t="str">
        <f t="shared" si="19"/>
        <v>Garlic - ثوم مقشر</v>
      </c>
      <c r="C87" s="124" t="str">
        <f t="shared" si="19"/>
        <v>gm</v>
      </c>
      <c r="D87" s="124">
        <f t="shared" si="19"/>
        <v>40</v>
      </c>
      <c r="E87" s="197">
        <f t="shared" si="23"/>
        <v>10.204081632653061</v>
      </c>
      <c r="F87" s="127">
        <f t="shared" si="20"/>
        <v>1</v>
      </c>
      <c r="G87" s="119">
        <f t="shared" si="21"/>
        <v>408.16326530612241</v>
      </c>
      <c r="H87" s="120">
        <f t="shared" si="22"/>
        <v>408.16326530612241</v>
      </c>
    </row>
    <row r="88" spans="1:8" ht="14.25" customHeight="1" x14ac:dyDescent="0.3">
      <c r="A88" s="270" t="s">
        <v>97</v>
      </c>
      <c r="B88" s="124" t="str">
        <f t="shared" si="19"/>
        <v>Black Pepper Powder - فلفل أسود مطحون</v>
      </c>
      <c r="C88" s="124" t="str">
        <f t="shared" si="19"/>
        <v>gm</v>
      </c>
      <c r="D88" s="124">
        <f t="shared" si="19"/>
        <v>3</v>
      </c>
      <c r="E88" s="197">
        <f t="shared" si="23"/>
        <v>10.204081632653061</v>
      </c>
      <c r="F88" s="127">
        <f t="shared" si="20"/>
        <v>1</v>
      </c>
      <c r="G88" s="119">
        <f t="shared" si="21"/>
        <v>30.612244897959183</v>
      </c>
      <c r="H88" s="120">
        <f t="shared" si="22"/>
        <v>30.612244897959183</v>
      </c>
    </row>
    <row r="89" spans="1:8" ht="14.25" customHeight="1" x14ac:dyDescent="0.3">
      <c r="A89" s="270" t="s">
        <v>97</v>
      </c>
      <c r="B89" s="124" t="str">
        <f t="shared" si="19"/>
        <v>Cumin Powder - كمون مطحون</v>
      </c>
      <c r="C89" s="124" t="str">
        <f t="shared" si="19"/>
        <v>gm</v>
      </c>
      <c r="D89" s="124">
        <f t="shared" si="19"/>
        <v>4</v>
      </c>
      <c r="E89" s="197">
        <f t="shared" si="23"/>
        <v>10.204081632653061</v>
      </c>
      <c r="F89" s="127">
        <f t="shared" si="20"/>
        <v>1</v>
      </c>
      <c r="G89" s="119">
        <f t="shared" si="21"/>
        <v>40.816326530612244</v>
      </c>
      <c r="H89" s="120">
        <f t="shared" si="22"/>
        <v>40.816326530612244</v>
      </c>
    </row>
    <row r="90" spans="1:8" ht="14.25" customHeight="1" x14ac:dyDescent="0.3">
      <c r="A90" s="270" t="s">
        <v>97</v>
      </c>
      <c r="B90" s="124" t="str">
        <f t="shared" si="19"/>
        <v>Coriander Powder - كزبرة مطحونة</v>
      </c>
      <c r="C90" s="124" t="str">
        <f t="shared" si="19"/>
        <v>gm</v>
      </c>
      <c r="D90" s="124">
        <f t="shared" si="19"/>
        <v>6</v>
      </c>
      <c r="E90" s="197">
        <f t="shared" si="23"/>
        <v>10.204081632653061</v>
      </c>
      <c r="F90" s="127">
        <f t="shared" si="20"/>
        <v>1</v>
      </c>
      <c r="G90" s="119">
        <f t="shared" si="21"/>
        <v>61.224489795918366</v>
      </c>
      <c r="H90" s="120">
        <f t="shared" si="22"/>
        <v>61.224489795918366</v>
      </c>
    </row>
    <row r="91" spans="1:8" ht="14.25" customHeight="1" x14ac:dyDescent="0.3">
      <c r="A91" s="270" t="s">
        <v>97</v>
      </c>
      <c r="B91" s="124" t="str">
        <f t="shared" si="19"/>
        <v>Cinnamon Powder - قرفة مطحونة</v>
      </c>
      <c r="C91" s="124" t="str">
        <f t="shared" si="19"/>
        <v>gm</v>
      </c>
      <c r="D91" s="124">
        <f t="shared" si="19"/>
        <v>5</v>
      </c>
      <c r="E91" s="197">
        <f t="shared" si="23"/>
        <v>10.204081632653061</v>
      </c>
      <c r="F91" s="127">
        <f t="shared" si="20"/>
        <v>0.9</v>
      </c>
      <c r="G91" s="119">
        <f t="shared" si="21"/>
        <v>51.020408163265301</v>
      </c>
      <c r="H91" s="120">
        <f t="shared" si="22"/>
        <v>45.918367346938773</v>
      </c>
    </row>
    <row r="92" spans="1:8" ht="14.25" customHeight="1" x14ac:dyDescent="0.3">
      <c r="A92" s="270" t="s">
        <v>97</v>
      </c>
      <c r="B92" s="124" t="str">
        <f t="shared" si="19"/>
        <v>Salt - ملح</v>
      </c>
      <c r="C92" s="124" t="str">
        <f t="shared" si="19"/>
        <v>gm</v>
      </c>
      <c r="D92" s="124">
        <f t="shared" si="19"/>
        <v>11</v>
      </c>
      <c r="E92" s="197">
        <f t="shared" si="23"/>
        <v>10.204081632653061</v>
      </c>
      <c r="F92" s="127">
        <f t="shared" si="20"/>
        <v>0.75</v>
      </c>
      <c r="G92" s="119">
        <f t="shared" si="21"/>
        <v>112.24489795918367</v>
      </c>
      <c r="H92" s="120">
        <f t="shared" si="22"/>
        <v>84.183673469387756</v>
      </c>
    </row>
    <row r="93" spans="1:8" ht="14.25" customHeight="1" x14ac:dyDescent="0.3">
      <c r="A93" s="270" t="s">
        <v>196</v>
      </c>
      <c r="B93" s="124" t="str">
        <f t="shared" si="19"/>
        <v>Tomato Paste - صلصة طماطم</v>
      </c>
      <c r="C93" s="124" t="str">
        <f t="shared" si="19"/>
        <v>gm</v>
      </c>
      <c r="D93" s="124">
        <f t="shared" si="19"/>
        <v>300</v>
      </c>
      <c r="E93" s="197">
        <f t="shared" si="23"/>
        <v>10.204081632653061</v>
      </c>
      <c r="F93" s="127">
        <f t="shared" si="20"/>
        <v>1</v>
      </c>
      <c r="G93" s="119">
        <f t="shared" si="21"/>
        <v>3061.2244897959181</v>
      </c>
      <c r="H93" s="120">
        <f t="shared" si="22"/>
        <v>3061.2244897959181</v>
      </c>
    </row>
    <row r="94" spans="1:8" ht="14.25" customHeight="1" x14ac:dyDescent="0.3">
      <c r="A94" s="270" t="s">
        <v>192</v>
      </c>
      <c r="B94" s="124" t="str">
        <f t="shared" si="19"/>
        <v>Corn Starch - نشا ذرة</v>
      </c>
      <c r="C94" s="124" t="str">
        <f t="shared" si="19"/>
        <v>gm</v>
      </c>
      <c r="D94" s="124">
        <f t="shared" si="19"/>
        <v>50</v>
      </c>
      <c r="E94" s="197">
        <f t="shared" si="23"/>
        <v>10.204081632653061</v>
      </c>
      <c r="F94" s="127">
        <f t="shared" si="20"/>
        <v>1</v>
      </c>
      <c r="G94" s="119">
        <f t="shared" si="21"/>
        <v>510.20408163265307</v>
      </c>
      <c r="H94" s="120">
        <f t="shared" si="22"/>
        <v>510.20408163265307</v>
      </c>
    </row>
    <row r="95" spans="1:8" ht="14.25" customHeight="1" x14ac:dyDescent="0.3">
      <c r="A95" s="270" t="s">
        <v>158</v>
      </c>
      <c r="B95" s="124" t="str">
        <f t="shared" si="19"/>
        <v>Butter - زبدة</v>
      </c>
      <c r="C95" s="124" t="str">
        <f t="shared" si="19"/>
        <v>gm</v>
      </c>
      <c r="D95" s="124">
        <f t="shared" si="19"/>
        <v>25</v>
      </c>
      <c r="E95" s="197">
        <f t="shared" si="23"/>
        <v>10.204081632653061</v>
      </c>
      <c r="F95" s="127">
        <f t="shared" si="20"/>
        <v>1</v>
      </c>
      <c r="G95" s="119">
        <f t="shared" si="21"/>
        <v>255.10204081632654</v>
      </c>
      <c r="H95" s="120">
        <f t="shared" si="22"/>
        <v>255.10204081632654</v>
      </c>
    </row>
    <row r="96" spans="1:8" ht="14.25" customHeight="1" x14ac:dyDescent="0.3">
      <c r="A96" s="270" t="s">
        <v>97</v>
      </c>
      <c r="B96" s="124" t="str">
        <f t="shared" si="19"/>
        <v>Maggi Cubes - مكعبات ماجي</v>
      </c>
      <c r="C96" s="124" t="str">
        <f t="shared" si="19"/>
        <v>gm</v>
      </c>
      <c r="D96" s="124">
        <f t="shared" si="19"/>
        <v>10</v>
      </c>
      <c r="E96" s="197">
        <f t="shared" si="23"/>
        <v>10.204081632653061</v>
      </c>
      <c r="F96" s="127">
        <f t="shared" si="20"/>
        <v>0.75</v>
      </c>
      <c r="G96" s="119">
        <f t="shared" si="21"/>
        <v>102.0408163265306</v>
      </c>
      <c r="H96" s="120">
        <f t="shared" si="22"/>
        <v>76.530612244897952</v>
      </c>
    </row>
    <row r="97" spans="1:10" ht="20.25" customHeight="1" x14ac:dyDescent="0.4">
      <c r="A97" s="211"/>
      <c r="B97" s="198" t="s">
        <v>299</v>
      </c>
      <c r="C97" s="200" t="s">
        <v>285</v>
      </c>
      <c r="D97" s="14"/>
      <c r="E97" s="200" t="s">
        <v>300</v>
      </c>
      <c r="F97" s="14"/>
      <c r="G97" s="890" t="s">
        <v>276</v>
      </c>
      <c r="H97" s="890" t="s">
        <v>733</v>
      </c>
      <c r="I97" s="204"/>
      <c r="J97" s="203"/>
    </row>
    <row r="98" spans="1:10" ht="20" x14ac:dyDescent="0.4">
      <c r="A98" s="211"/>
      <c r="B98" s="199">
        <f>$J$54</f>
        <v>13637.090909090908</v>
      </c>
      <c r="C98" s="939">
        <f>E98+G98</f>
        <v>10000</v>
      </c>
      <c r="D98" s="940"/>
      <c r="E98" s="939">
        <f>$D$54*$S$44</f>
        <v>4090.909090909091</v>
      </c>
      <c r="F98" s="941"/>
      <c r="G98" s="939">
        <f>$D$54*$T$44</f>
        <v>5909.090909090909</v>
      </c>
      <c r="H98" s="939">
        <f>B98+E98</f>
        <v>17728</v>
      </c>
    </row>
  </sheetData>
  <mergeCells count="11">
    <mergeCell ref="B2:J3"/>
    <mergeCell ref="AE2:AG3"/>
    <mergeCell ref="B82:H82"/>
    <mergeCell ref="R26:U26"/>
    <mergeCell ref="AN2:AN3"/>
    <mergeCell ref="R25:U25"/>
    <mergeCell ref="B62:H62"/>
    <mergeCell ref="B81:H81"/>
    <mergeCell ref="B63:H63"/>
    <mergeCell ref="AK2:AM2"/>
    <mergeCell ref="B35:F35"/>
  </mergeCells>
  <printOptions horizontalCentered="1"/>
  <pageMargins left="0.5" right="0.5" top="1" bottom="0.5" header="0.3" footer="0.511811023622047"/>
  <pageSetup paperSize="9" scale="32" orientation="portrait" r:id="rId1"/>
  <legacyDrawing r:id="rId2"/>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5" tint="-0.249977111117893"/>
    <pageSetUpPr fitToPage="1"/>
  </sheetPr>
  <dimension ref="A1:AT80"/>
  <sheetViews>
    <sheetView zoomScale="85" zoomScaleNormal="85" workbookViewId="0">
      <selection activeCell="R69" sqref="R69"/>
    </sheetView>
  </sheetViews>
  <sheetFormatPr defaultColWidth="12.5" defaultRowHeight="14" x14ac:dyDescent="0.3"/>
  <cols>
    <col min="1" max="1" width="11.5" style="79" customWidth="1"/>
    <col min="2" max="2" width="31.6640625" style="14" customWidth="1"/>
    <col min="3" max="3" width="21.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5.6640625" style="14" customWidth="1"/>
    <col min="15" max="17" width="12.5" style="14" customWidth="1"/>
    <col min="18" max="18" width="30.5" style="14" customWidth="1"/>
    <col min="19" max="27" width="12.5" style="14" customWidth="1"/>
    <col min="28" max="28" width="11.75" style="14" bestFit="1" customWidth="1"/>
    <col min="29" max="29" width="13.25" style="14" bestFit="1" customWidth="1"/>
    <col min="30" max="30" width="10.08203125" style="14" bestFit="1" customWidth="1"/>
    <col min="31" max="31" width="11.33203125" style="14" bestFit="1" customWidth="1"/>
    <col min="32" max="34" width="4.9140625" style="14" customWidth="1"/>
    <col min="35" max="35" width="12.5" style="14" customWidth="1"/>
    <col min="36" max="36" width="32.08203125" style="14" customWidth="1"/>
    <col min="37" max="37" width="12.5" style="14" customWidth="1"/>
    <col min="38" max="16384" width="12.5" style="14"/>
  </cols>
  <sheetData>
    <row r="1" spans="1:46" ht="35.25" customHeight="1" x14ac:dyDescent="0.3">
      <c r="B1" s="80" t="s">
        <v>243</v>
      </c>
      <c r="C1" s="81">
        <v>1000</v>
      </c>
      <c r="D1" s="82" t="s">
        <v>244</v>
      </c>
      <c r="E1" s="117">
        <f>T32</f>
        <v>6085.3846153846216</v>
      </c>
      <c r="F1" s="80" t="s">
        <v>245</v>
      </c>
      <c r="G1" s="81">
        <f>E1/C1</f>
        <v>6.0853846153846218</v>
      </c>
      <c r="H1" s="80" t="s">
        <v>246</v>
      </c>
      <c r="I1" s="249">
        <f>(G1/K1)</f>
        <v>6.2095761381475736</v>
      </c>
      <c r="J1" s="86" t="s">
        <v>247</v>
      </c>
      <c r="K1" s="81">
        <v>0.98</v>
      </c>
      <c r="L1" s="100"/>
      <c r="M1" s="89"/>
      <c r="N1" s="90"/>
      <c r="O1" s="91" t="s">
        <v>248</v>
      </c>
      <c r="P1" s="92" t="s">
        <v>249</v>
      </c>
      <c r="Q1" s="93" t="s">
        <v>250</v>
      </c>
      <c r="R1" s="92">
        <v>0.59</v>
      </c>
      <c r="Y1" s="91" t="s">
        <v>479</v>
      </c>
      <c r="Z1" s="847">
        <v>25370</v>
      </c>
      <c r="AA1" s="91" t="s">
        <v>600</v>
      </c>
      <c r="AB1" s="847">
        <v>1000</v>
      </c>
      <c r="AC1" s="91" t="s">
        <v>587</v>
      </c>
      <c r="AD1" s="847">
        <v>170</v>
      </c>
      <c r="AE1" s="250"/>
      <c r="AF1" s="252"/>
      <c r="AG1" s="92"/>
      <c r="AI1" s="79"/>
      <c r="AJ1" s="94" t="s">
        <v>262</v>
      </c>
      <c r="AK1" s="94">
        <v>10000</v>
      </c>
      <c r="AL1" s="628" t="s">
        <v>520</v>
      </c>
      <c r="AM1" s="629">
        <f>$S$32</f>
        <v>20284.615384615379</v>
      </c>
      <c r="AN1" s="94" t="s">
        <v>251</v>
      </c>
      <c r="AO1" s="329">
        <f>((S32)/$R$1)/$AK$1</f>
        <v>3.4380704041720986</v>
      </c>
      <c r="AP1" s="96"/>
    </row>
    <row r="2" spans="1:46" ht="12.75" customHeight="1" x14ac:dyDescent="0.3">
      <c r="A2" s="97"/>
      <c r="B2" s="98"/>
      <c r="C2" s="98"/>
      <c r="D2" s="98"/>
      <c r="E2" s="98"/>
      <c r="F2" s="1408" t="s">
        <v>137</v>
      </c>
      <c r="G2" s="98"/>
      <c r="H2" s="98"/>
      <c r="I2" s="98"/>
      <c r="J2" s="98"/>
      <c r="K2" s="98"/>
      <c r="L2" s="293"/>
      <c r="M2" s="100"/>
      <c r="N2" s="100"/>
      <c r="O2" s="100"/>
      <c r="P2" s="100"/>
      <c r="Q2" s="100"/>
      <c r="R2" s="100"/>
      <c r="AC2" s="99"/>
      <c r="AD2" s="99"/>
      <c r="AE2" s="1391"/>
      <c r="AF2" s="1389"/>
      <c r="AG2" s="1389"/>
      <c r="AI2" s="79"/>
      <c r="AJ2" s="101"/>
      <c r="AK2" s="1386" t="s">
        <v>527</v>
      </c>
      <c r="AL2" s="1386"/>
      <c r="AM2" s="1386"/>
      <c r="AN2" s="1386"/>
      <c r="AO2" s="101"/>
      <c r="AP2" s="101"/>
    </row>
    <row r="3" spans="1:46" ht="12.75" customHeight="1" x14ac:dyDescent="0.3">
      <c r="A3" s="97"/>
      <c r="B3" s="103"/>
      <c r="C3" s="103"/>
      <c r="D3" s="103"/>
      <c r="E3" s="103"/>
      <c r="F3" s="1388"/>
      <c r="G3" s="103"/>
      <c r="H3" s="103"/>
      <c r="I3" s="103"/>
      <c r="J3" s="103"/>
      <c r="K3" s="103"/>
      <c r="L3" s="293"/>
      <c r="M3" s="100"/>
      <c r="N3" s="100"/>
      <c r="O3" s="100"/>
      <c r="P3" s="100"/>
      <c r="Q3" s="100"/>
      <c r="R3" s="100"/>
      <c r="AC3" s="99"/>
      <c r="AD3" s="99"/>
      <c r="AE3" s="1389"/>
      <c r="AF3" s="1389"/>
      <c r="AG3" s="1389"/>
      <c r="AI3" s="79"/>
      <c r="AJ3" s="101"/>
      <c r="AK3" s="101"/>
      <c r="AL3" s="101"/>
      <c r="AM3" s="101"/>
      <c r="AN3" s="1389"/>
      <c r="AO3" s="101"/>
      <c r="AP3" s="101"/>
    </row>
    <row r="4" spans="1:46" ht="46.5" customHeight="1" x14ac:dyDescent="0.3">
      <c r="A4" s="91" t="s">
        <v>1</v>
      </c>
      <c r="B4" s="91" t="s">
        <v>253</v>
      </c>
      <c r="C4" s="107" t="s">
        <v>254</v>
      </c>
      <c r="D4" s="91" t="s">
        <v>243</v>
      </c>
      <c r="E4" s="108" t="s">
        <v>246</v>
      </c>
      <c r="F4" s="108" t="s">
        <v>255</v>
      </c>
      <c r="G4" s="91" t="s">
        <v>256</v>
      </c>
      <c r="H4" s="331" t="s">
        <v>347</v>
      </c>
      <c r="I4" s="91" t="s">
        <v>258</v>
      </c>
      <c r="J4" s="91" t="s">
        <v>259</v>
      </c>
      <c r="K4" s="91" t="s">
        <v>260</v>
      </c>
      <c r="L4" s="91" t="s">
        <v>261</v>
      </c>
      <c r="M4" s="371"/>
      <c r="N4" s="371"/>
      <c r="O4" s="100"/>
      <c r="P4" s="100"/>
      <c r="Q4" s="100"/>
      <c r="R4" s="100"/>
      <c r="AC4" s="251"/>
      <c r="AD4" s="253"/>
      <c r="AE4" s="251"/>
      <c r="AF4" s="251"/>
      <c r="AG4" s="251"/>
      <c r="AI4" s="79"/>
      <c r="AJ4" s="94" t="s">
        <v>253</v>
      </c>
      <c r="AK4" s="530" t="s">
        <v>254</v>
      </c>
      <c r="AL4" s="94" t="s">
        <v>262</v>
      </c>
      <c r="AM4" s="94" t="s">
        <v>246</v>
      </c>
      <c r="AN4" s="94" t="s">
        <v>255</v>
      </c>
      <c r="AO4" s="94" t="s">
        <v>256</v>
      </c>
      <c r="AP4" s="94" t="s">
        <v>347</v>
      </c>
      <c r="AQ4" s="91" t="s">
        <v>258</v>
      </c>
      <c r="AR4" s="91" t="s">
        <v>259</v>
      </c>
      <c r="AS4" s="91" t="s">
        <v>260</v>
      </c>
      <c r="AT4" s="91" t="s">
        <v>261</v>
      </c>
    </row>
    <row r="5" spans="1:46" ht="14.25" customHeight="1" x14ac:dyDescent="0.3">
      <c r="A5" s="266" t="s">
        <v>230</v>
      </c>
      <c r="B5" s="309" t="s">
        <v>229</v>
      </c>
      <c r="C5" s="115" t="s">
        <v>14</v>
      </c>
      <c r="D5" s="121">
        <f>I51/10</f>
        <v>5649.8305084745762</v>
      </c>
      <c r="E5" s="117">
        <f>H52</f>
        <v>6.0852629101264126</v>
      </c>
      <c r="F5" s="299">
        <v>1</v>
      </c>
      <c r="G5" s="119">
        <f t="shared" ref="G5:G18" si="0">D5*E5</f>
        <v>34380.704041720986</v>
      </c>
      <c r="H5" s="207">
        <f t="shared" ref="H5:H18" si="1">G5*F5</f>
        <v>34380.704041720986</v>
      </c>
      <c r="I5" s="81">
        <f>VLOOKUP(B5,All_Ingredients!$A$1:$F$151,6,FALSE())</f>
        <v>0.86</v>
      </c>
      <c r="J5" s="119">
        <f>VLOOKUP(B5,All_Ingredients!$A$1:$J$151,10,FALSE())</f>
        <v>17.100000000000001</v>
      </c>
      <c r="K5" s="122">
        <f t="shared" ref="K5" si="2">(H5/I5)/1000</f>
        <v>39.977562839210449</v>
      </c>
      <c r="L5" s="122">
        <f t="shared" ref="L5" si="3">K5*J5</f>
        <v>683.61632455049869</v>
      </c>
      <c r="M5" s="131"/>
      <c r="N5" s="131"/>
      <c r="O5" s="100"/>
      <c r="P5" s="100"/>
      <c r="Q5" s="100"/>
      <c r="R5" s="100"/>
      <c r="AC5" s="92"/>
      <c r="AD5" s="133"/>
      <c r="AE5" s="254"/>
      <c r="AF5" s="135"/>
      <c r="AG5" s="136"/>
      <c r="AI5" s="79"/>
      <c r="AJ5" s="374" t="s">
        <v>229</v>
      </c>
      <c r="AK5" s="115" t="s">
        <v>238</v>
      </c>
      <c r="AL5" s="125">
        <v>10</v>
      </c>
      <c r="AM5" s="197">
        <f t="shared" ref="AM5:AM12" si="4">$AO$1</f>
        <v>3.4380704041720986</v>
      </c>
      <c r="AN5" s="299">
        <v>1</v>
      </c>
      <c r="AO5" s="119">
        <v>644.819466248038</v>
      </c>
      <c r="AP5" s="207">
        <v>644.819466248038</v>
      </c>
      <c r="AQ5" s="295"/>
      <c r="AR5" s="1171"/>
      <c r="AS5" s="175"/>
      <c r="AT5" s="1172"/>
    </row>
    <row r="6" spans="1:46" ht="14.25" customHeight="1" x14ac:dyDescent="0.3">
      <c r="A6" s="128" t="s">
        <v>83</v>
      </c>
      <c r="B6" s="114" t="s">
        <v>85</v>
      </c>
      <c r="C6" s="115" t="s">
        <v>14</v>
      </c>
      <c r="D6" s="125">
        <v>1</v>
      </c>
      <c r="E6" s="197">
        <f t="shared" ref="E6:E18" si="5">$I$1</f>
        <v>6.2095761381475736</v>
      </c>
      <c r="F6" s="299">
        <v>1</v>
      </c>
      <c r="G6" s="119">
        <f t="shared" si="0"/>
        <v>6.2095761381475736</v>
      </c>
      <c r="H6" s="207">
        <f t="shared" si="1"/>
        <v>6.2095761381475736</v>
      </c>
      <c r="I6" s="81">
        <f>VLOOKUP(B6,All_Ingredients!$A$1:$F$151,6,FALSE())</f>
        <v>1</v>
      </c>
      <c r="J6" s="119">
        <f>VLOOKUP(B6,All_Ingredients!$A$1:$J$151,10,FALSE())</f>
        <v>147.88732394366198</v>
      </c>
      <c r="K6" s="122">
        <f t="shared" ref="K6:K18" si="6">(H6/I6)/1000</f>
        <v>6.2095761381475737E-3</v>
      </c>
      <c r="L6" s="122">
        <f t="shared" ref="L6:L18" si="7">K6*J6</f>
        <v>0.91831759789506384</v>
      </c>
      <c r="M6" s="131"/>
      <c r="N6" s="131"/>
      <c r="AI6" s="79" t="s">
        <v>57</v>
      </c>
      <c r="AJ6" s="81" t="s">
        <v>56</v>
      </c>
      <c r="AK6" s="115" t="s">
        <v>14</v>
      </c>
      <c r="AL6" s="125">
        <v>100</v>
      </c>
      <c r="AM6" s="197">
        <f t="shared" si="4"/>
        <v>3.4380704041720986</v>
      </c>
      <c r="AN6" s="299">
        <v>1</v>
      </c>
      <c r="AO6" s="119">
        <v>644.819466248038</v>
      </c>
      <c r="AP6" s="207">
        <v>644.819466248038</v>
      </c>
      <c r="AQ6" s="1172">
        <f>VLOOKUP(AJ6,Marination_Ordering!$A:$J,6,FALSE)</f>
        <v>0.87</v>
      </c>
      <c r="AR6" s="1172">
        <f>VLOOKUP(AJ6,Marination_Ordering!$A:$J,10,FALSE)</f>
        <v>3.2</v>
      </c>
      <c r="AS6" s="175">
        <f>AP6/AQ6</f>
        <v>741.1718002851012</v>
      </c>
      <c r="AT6" s="1172">
        <f>AR6*(AS6/1000)</f>
        <v>2.3717497609123241</v>
      </c>
    </row>
    <row r="7" spans="1:46" ht="14.25" customHeight="1" x14ac:dyDescent="0.3">
      <c r="A7" s="128" t="s">
        <v>13</v>
      </c>
      <c r="B7" s="114" t="s">
        <v>792</v>
      </c>
      <c r="C7" s="115" t="s">
        <v>14</v>
      </c>
      <c r="D7" s="125">
        <v>30</v>
      </c>
      <c r="E7" s="197">
        <f t="shared" si="5"/>
        <v>6.2095761381475736</v>
      </c>
      <c r="F7" s="299">
        <v>1</v>
      </c>
      <c r="G7" s="119">
        <f t="shared" si="0"/>
        <v>186.28728414442722</v>
      </c>
      <c r="H7" s="207">
        <f t="shared" si="1"/>
        <v>186.28728414442722</v>
      </c>
      <c r="I7" s="81">
        <f>VLOOKUP(B7,All_Ingredients!$A$1:$F$151,6,FALSE())</f>
        <v>1</v>
      </c>
      <c r="J7" s="119">
        <f>VLOOKUP(B7,All_Ingredients!$A$1:$J$151,10,FALSE())</f>
        <v>10.5</v>
      </c>
      <c r="K7" s="122">
        <f t="shared" si="6"/>
        <v>0.18628728414442722</v>
      </c>
      <c r="L7" s="122">
        <f t="shared" si="7"/>
        <v>1.9560164835164857</v>
      </c>
      <c r="M7" s="131"/>
      <c r="N7" s="131"/>
      <c r="AI7" s="79" t="s">
        <v>13</v>
      </c>
      <c r="AJ7" s="81" t="s">
        <v>792</v>
      </c>
      <c r="AK7" s="115" t="s">
        <v>14</v>
      </c>
      <c r="AL7" s="125">
        <v>200</v>
      </c>
      <c r="AM7" s="197">
        <f t="shared" si="4"/>
        <v>3.4380704041720986</v>
      </c>
      <c r="AN7" s="299">
        <v>1</v>
      </c>
      <c r="AO7" s="119">
        <v>1289.6389324960801</v>
      </c>
      <c r="AP7" s="207">
        <v>1160.6750392464701</v>
      </c>
      <c r="AQ7" s="1172">
        <f>VLOOKUP(AJ7,Marination_Ordering!$A:$J,6,FALSE)</f>
        <v>1</v>
      </c>
      <c r="AR7" s="1172">
        <f>VLOOKUP(AJ7,Marination_Ordering!$A:$J,10,FALSE)</f>
        <v>10.5</v>
      </c>
      <c r="AS7" s="175">
        <f t="shared" ref="AS7:AS8" si="8">AP7/AQ7</f>
        <v>1160.6750392464701</v>
      </c>
      <c r="AT7" s="1172">
        <f t="shared" ref="AT7:AT8" si="9">AR7*(AS7/1000)</f>
        <v>12.187087912087934</v>
      </c>
    </row>
    <row r="8" spans="1:46" ht="14.25" customHeight="1" x14ac:dyDescent="0.3">
      <c r="A8" s="128" t="s">
        <v>13</v>
      </c>
      <c r="B8" s="114" t="s">
        <v>17</v>
      </c>
      <c r="C8" s="115" t="s">
        <v>14</v>
      </c>
      <c r="D8" s="125">
        <v>400</v>
      </c>
      <c r="E8" s="197">
        <f t="shared" si="5"/>
        <v>6.2095761381475736</v>
      </c>
      <c r="F8" s="299">
        <v>0.9</v>
      </c>
      <c r="G8" s="119">
        <f t="shared" si="0"/>
        <v>2483.8304552590293</v>
      </c>
      <c r="H8" s="207">
        <f t="shared" si="1"/>
        <v>2235.4474097331263</v>
      </c>
      <c r="I8" s="81">
        <f>VLOOKUP(B8,All_Ingredients!$A$1:$F$151,6,FALSE())</f>
        <v>0.98</v>
      </c>
      <c r="J8" s="119">
        <f>VLOOKUP(B8,All_Ingredients!$A$1:$J$151,10,FALSE())</f>
        <v>3.5</v>
      </c>
      <c r="K8" s="122">
        <f t="shared" si="6"/>
        <v>2.2810687854419656</v>
      </c>
      <c r="L8" s="122">
        <f t="shared" si="7"/>
        <v>7.9837407490468797</v>
      </c>
      <c r="M8" s="131"/>
      <c r="N8" s="131"/>
      <c r="AI8" s="79" t="s">
        <v>210</v>
      </c>
      <c r="AJ8" s="81" t="s">
        <v>219</v>
      </c>
      <c r="AK8" s="115" t="s">
        <v>165</v>
      </c>
      <c r="AL8" s="125">
        <v>350</v>
      </c>
      <c r="AM8" s="197">
        <f t="shared" si="4"/>
        <v>3.4380704041720986</v>
      </c>
      <c r="AN8" s="299">
        <v>1</v>
      </c>
      <c r="AO8" s="119">
        <v>2256.8681318681301</v>
      </c>
      <c r="AP8" s="207">
        <v>2031.1813186813199</v>
      </c>
      <c r="AQ8" s="1172">
        <f>VLOOKUP(AJ8,Marination_Ordering!$A:$J,6,FALSE)</f>
        <v>1</v>
      </c>
      <c r="AR8" s="1172">
        <f>VLOOKUP(AJ8,Marination_Ordering!$A:$J,10,FALSE)</f>
        <v>5</v>
      </c>
      <c r="AS8" s="175">
        <f t="shared" si="8"/>
        <v>2031.1813186813199</v>
      </c>
      <c r="AT8" s="1172">
        <f t="shared" si="9"/>
        <v>10.1559065934066</v>
      </c>
    </row>
    <row r="9" spans="1:46" ht="14.25" customHeight="1" x14ac:dyDescent="0.3">
      <c r="A9" s="128" t="s">
        <v>196</v>
      </c>
      <c r="B9" s="114" t="s">
        <v>761</v>
      </c>
      <c r="C9" s="115" t="s">
        <v>14</v>
      </c>
      <c r="D9" s="125">
        <v>200</v>
      </c>
      <c r="E9" s="197">
        <f t="shared" si="5"/>
        <v>6.2095761381475736</v>
      </c>
      <c r="F9" s="299">
        <v>0.9</v>
      </c>
      <c r="G9" s="119">
        <f t="shared" si="0"/>
        <v>1241.9152276295147</v>
      </c>
      <c r="H9" s="207">
        <f t="shared" si="1"/>
        <v>1117.7237048665631</v>
      </c>
      <c r="I9" s="81">
        <f>VLOOKUP(B9,All_Ingredients!$A$1:$F$151,6,FALSE())</f>
        <v>1</v>
      </c>
      <c r="J9" s="119">
        <f>VLOOKUP(B9,All_Ingredients!$A$1:$J$151,10,FALSE())</f>
        <v>8.1520833333333336</v>
      </c>
      <c r="K9" s="122">
        <f t="shared" si="6"/>
        <v>1.1177237048665631</v>
      </c>
      <c r="L9" s="122">
        <f t="shared" si="7"/>
        <v>9.1117767857142944</v>
      </c>
      <c r="M9" s="131"/>
      <c r="N9" s="131"/>
      <c r="AI9" s="79" t="s">
        <v>210</v>
      </c>
      <c r="AJ9" s="81" t="s">
        <v>215</v>
      </c>
      <c r="AK9" s="124" t="s">
        <v>165</v>
      </c>
      <c r="AL9" s="125">
        <v>50</v>
      </c>
      <c r="AM9" s="197">
        <f t="shared" si="4"/>
        <v>3.4380704041720986</v>
      </c>
      <c r="AN9" s="299">
        <v>1</v>
      </c>
      <c r="AO9" s="119">
        <v>322.409733124019</v>
      </c>
      <c r="AP9" s="207">
        <v>322.409733124019</v>
      </c>
      <c r="AQ9" s="1172">
        <f>VLOOKUP(AJ9,Marination_Ordering!$A:$J,6,FALSE)</f>
        <v>1</v>
      </c>
      <c r="AR9" s="1172">
        <f>VLOOKUP(AJ9,Marination_Ordering!$A:$J,10,FALSE)</f>
        <v>2.1621621621621623</v>
      </c>
      <c r="AS9" s="175">
        <f t="shared" ref="AS9:AS12" si="10">AP9/AQ9</f>
        <v>322.409733124019</v>
      </c>
      <c r="AT9" s="1172">
        <f t="shared" ref="AT9:AT12" si="11">AR9*(AS9/1000)</f>
        <v>0.69710212567355467</v>
      </c>
    </row>
    <row r="10" spans="1:46" ht="14.25" customHeight="1" x14ac:dyDescent="0.3">
      <c r="A10" s="128" t="s">
        <v>186</v>
      </c>
      <c r="B10" s="114" t="s">
        <v>185</v>
      </c>
      <c r="C10" s="115" t="s">
        <v>14</v>
      </c>
      <c r="D10" s="125">
        <v>10</v>
      </c>
      <c r="E10" s="197">
        <f t="shared" si="5"/>
        <v>6.2095761381475736</v>
      </c>
      <c r="F10" s="299">
        <v>1</v>
      </c>
      <c r="G10" s="119">
        <f t="shared" si="0"/>
        <v>62.095761381475739</v>
      </c>
      <c r="H10" s="207">
        <f t="shared" si="1"/>
        <v>62.095761381475739</v>
      </c>
      <c r="I10" s="81">
        <f>VLOOKUP(B10,All_Ingredients!$A$1:$F$151,6,FALSE())</f>
        <v>1</v>
      </c>
      <c r="J10" s="119">
        <f>VLOOKUP(B10,All_Ingredients!$A$1:$J$151,10,FALSE())</f>
        <v>2.7</v>
      </c>
      <c r="K10" s="122">
        <f t="shared" si="6"/>
        <v>6.2095761381475739E-2</v>
      </c>
      <c r="L10" s="122">
        <f t="shared" si="7"/>
        <v>0.1676585557299845</v>
      </c>
      <c r="M10" s="131"/>
      <c r="N10" s="131"/>
      <c r="AI10" s="79" t="s">
        <v>97</v>
      </c>
      <c r="AJ10" s="81" t="s">
        <v>96</v>
      </c>
      <c r="AK10" s="115" t="s">
        <v>14</v>
      </c>
      <c r="AL10" s="125">
        <v>2</v>
      </c>
      <c r="AM10" s="197">
        <f t="shared" si="4"/>
        <v>3.4380704041720986</v>
      </c>
      <c r="AN10" s="299">
        <v>1</v>
      </c>
      <c r="AO10" s="119">
        <v>12.896389324960801</v>
      </c>
      <c r="AP10" s="207">
        <v>12.896389324960801</v>
      </c>
      <c r="AQ10" s="1172">
        <f>VLOOKUP(AJ10,Marination_Ordering!$A:$J,6,FALSE)</f>
        <v>1</v>
      </c>
      <c r="AR10" s="1172">
        <f>VLOOKUP(AJ10,Marination_Ordering!$A:$J,10,FALSE)</f>
        <v>0.74</v>
      </c>
      <c r="AS10" s="175">
        <f t="shared" si="10"/>
        <v>12.896389324960801</v>
      </c>
      <c r="AT10" s="1172">
        <f t="shared" si="11"/>
        <v>9.5433281004709929E-3</v>
      </c>
    </row>
    <row r="11" spans="1:46" ht="14" customHeight="1" x14ac:dyDescent="0.3">
      <c r="A11" s="128" t="s">
        <v>210</v>
      </c>
      <c r="B11" s="114" t="s">
        <v>215</v>
      </c>
      <c r="C11" s="115" t="s">
        <v>165</v>
      </c>
      <c r="D11" s="125">
        <v>5</v>
      </c>
      <c r="E11" s="197">
        <f t="shared" si="5"/>
        <v>6.2095761381475736</v>
      </c>
      <c r="F11" s="299">
        <v>1</v>
      </c>
      <c r="G11" s="119">
        <f t="shared" si="0"/>
        <v>31.04788069073787</v>
      </c>
      <c r="H11" s="207">
        <f t="shared" si="1"/>
        <v>31.04788069073787</v>
      </c>
      <c r="I11" s="81">
        <f>VLOOKUP(B11,All_Ingredients!$A$1:$F$151,6,FALSE())</f>
        <v>1</v>
      </c>
      <c r="J11" s="119">
        <f>VLOOKUP(B11,All_Ingredients!$A$1:$J$151,10,FALSE())</f>
        <v>2.1621621621621623</v>
      </c>
      <c r="K11" s="122">
        <f t="shared" si="6"/>
        <v>3.104788069073787E-2</v>
      </c>
      <c r="L11" s="122">
        <f t="shared" si="7"/>
        <v>6.713055284483864E-2</v>
      </c>
      <c r="M11" s="131"/>
      <c r="N11" s="131"/>
      <c r="AI11" s="79" t="s">
        <v>97</v>
      </c>
      <c r="AJ11" s="81" t="s">
        <v>102</v>
      </c>
      <c r="AK11" s="115" t="s">
        <v>14</v>
      </c>
      <c r="AL11" s="125">
        <v>2</v>
      </c>
      <c r="AM11" s="197">
        <f t="shared" si="4"/>
        <v>3.4380704041720986</v>
      </c>
      <c r="AN11" s="299">
        <v>1</v>
      </c>
      <c r="AO11" s="119">
        <v>12.896389324960801</v>
      </c>
      <c r="AP11" s="207">
        <v>12.896389324960801</v>
      </c>
      <c r="AQ11" s="1172">
        <f>VLOOKUP(AJ11,Marination_Ordering!$A:$J,6,FALSE)</f>
        <v>1</v>
      </c>
      <c r="AR11" s="1172">
        <f>VLOOKUP(AJ11,Marination_Ordering!$A:$J,10,FALSE)</f>
        <v>31</v>
      </c>
      <c r="AS11" s="175">
        <f t="shared" si="10"/>
        <v>12.896389324960801</v>
      </c>
      <c r="AT11" s="1172">
        <f t="shared" si="11"/>
        <v>0.39978806907378484</v>
      </c>
    </row>
    <row r="12" spans="1:46" x14ac:dyDescent="0.3">
      <c r="A12" s="128" t="s">
        <v>158</v>
      </c>
      <c r="B12" s="123" t="s">
        <v>157</v>
      </c>
      <c r="C12" s="115" t="s">
        <v>14</v>
      </c>
      <c r="D12" s="125">
        <v>25</v>
      </c>
      <c r="E12" s="197">
        <f t="shared" si="5"/>
        <v>6.2095761381475736</v>
      </c>
      <c r="F12" s="299">
        <v>1</v>
      </c>
      <c r="G12" s="119">
        <f t="shared" si="0"/>
        <v>155.23940345368933</v>
      </c>
      <c r="H12" s="207">
        <f t="shared" si="1"/>
        <v>155.23940345368933</v>
      </c>
      <c r="I12" s="81">
        <f>VLOOKUP(B12,All_Ingredients!$A$1:$F$151,6,FALSE())</f>
        <v>1</v>
      </c>
      <c r="J12" s="119">
        <f>VLOOKUP(B12,All_Ingredients!$A$1:$J$151,10,FALSE())</f>
        <v>30</v>
      </c>
      <c r="K12" s="122">
        <f t="shared" si="6"/>
        <v>0.15523940345368933</v>
      </c>
      <c r="L12" s="122">
        <f t="shared" si="7"/>
        <v>4.6571821036106797</v>
      </c>
      <c r="M12" s="131"/>
      <c r="N12" s="131"/>
      <c r="AI12" s="79" t="s">
        <v>97</v>
      </c>
      <c r="AJ12" s="81" t="s">
        <v>114</v>
      </c>
      <c r="AK12" s="115" t="s">
        <v>14</v>
      </c>
      <c r="AL12" s="125">
        <v>7</v>
      </c>
      <c r="AM12" s="197">
        <f t="shared" si="4"/>
        <v>3.4380704041720986</v>
      </c>
      <c r="AN12" s="299">
        <v>1</v>
      </c>
      <c r="AO12" s="119">
        <v>45.1373626373626</v>
      </c>
      <c r="AP12" s="207">
        <v>40.623626373626401</v>
      </c>
      <c r="AQ12" s="1172">
        <f>VLOOKUP(AJ12,Marination_Ordering!$A:$J,6,FALSE)</f>
        <v>1</v>
      </c>
      <c r="AR12" s="1172">
        <f>VLOOKUP(AJ12,Marination_Ordering!$A:$J,10,FALSE)</f>
        <v>64.243759177679877</v>
      </c>
      <c r="AS12" s="175">
        <f t="shared" si="10"/>
        <v>40.623626373626401</v>
      </c>
      <c r="AT12" s="1172">
        <f t="shared" si="11"/>
        <v>2.6098144696712997</v>
      </c>
    </row>
    <row r="13" spans="1:46" ht="14.25" customHeight="1" x14ac:dyDescent="0.3">
      <c r="A13" s="128" t="s">
        <v>83</v>
      </c>
      <c r="B13" s="123" t="s">
        <v>87</v>
      </c>
      <c r="C13" s="115" t="s">
        <v>14</v>
      </c>
      <c r="D13" s="125">
        <v>1</v>
      </c>
      <c r="E13" s="197">
        <f t="shared" si="5"/>
        <v>6.2095761381475736</v>
      </c>
      <c r="F13" s="299">
        <v>0.9</v>
      </c>
      <c r="G13" s="119">
        <f t="shared" si="0"/>
        <v>6.2095761381475736</v>
      </c>
      <c r="H13" s="207">
        <f t="shared" si="1"/>
        <v>5.5886185243328166</v>
      </c>
      <c r="I13" s="81">
        <f>VLOOKUP(B13,All_Ingredients!$A$1:$F$151,6,FALSE())</f>
        <v>1</v>
      </c>
      <c r="J13" s="119">
        <f>VLOOKUP(B13,All_Ingredients!$A$1:$J$151,10,FALSE())</f>
        <v>140.84507042253523</v>
      </c>
      <c r="K13" s="122">
        <f t="shared" si="6"/>
        <v>5.5886185243328168E-3</v>
      </c>
      <c r="L13" s="122">
        <f t="shared" si="7"/>
        <v>0.78712936962434055</v>
      </c>
      <c r="M13" s="131"/>
      <c r="N13" s="131"/>
      <c r="R13" s="14" t="s">
        <v>466</v>
      </c>
      <c r="S13" s="14" t="s">
        <v>467</v>
      </c>
      <c r="T13" s="14" t="s">
        <v>468</v>
      </c>
    </row>
    <row r="14" spans="1:46" ht="14.25" customHeight="1" x14ac:dyDescent="0.3">
      <c r="A14" s="128" t="s">
        <v>196</v>
      </c>
      <c r="B14" s="123" t="s">
        <v>198</v>
      </c>
      <c r="C14" s="115" t="s">
        <v>165</v>
      </c>
      <c r="D14" s="125">
        <v>35</v>
      </c>
      <c r="E14" s="197">
        <f t="shared" si="5"/>
        <v>6.2095761381475736</v>
      </c>
      <c r="F14" s="299">
        <v>0.75</v>
      </c>
      <c r="G14" s="119">
        <f t="shared" si="0"/>
        <v>217.33516483516507</v>
      </c>
      <c r="H14" s="207">
        <f t="shared" si="1"/>
        <v>163.00137362637381</v>
      </c>
      <c r="I14" s="81">
        <f>VLOOKUP(B14,All_Ingredients!$A$1:$F$151,6,FALSE())</f>
        <v>1</v>
      </c>
      <c r="J14" s="119">
        <f>VLOOKUP(B14,All_Ingredients!$A$1:$J$151,10,FALSE())</f>
        <v>58.685446009389672</v>
      </c>
      <c r="K14" s="122">
        <f t="shared" si="6"/>
        <v>0.16300137362637382</v>
      </c>
      <c r="L14" s="122">
        <f t="shared" si="7"/>
        <v>9.565808311406915</v>
      </c>
      <c r="M14" s="131"/>
      <c r="N14" s="131"/>
    </row>
    <row r="15" spans="1:46" ht="14.25" customHeight="1" x14ac:dyDescent="0.35">
      <c r="A15" s="128" t="s">
        <v>196</v>
      </c>
      <c r="B15" s="123" t="s">
        <v>204</v>
      </c>
      <c r="C15" s="1010" t="s">
        <v>165</v>
      </c>
      <c r="D15" s="125">
        <v>200</v>
      </c>
      <c r="E15" s="197">
        <f t="shared" si="5"/>
        <v>6.2095761381475736</v>
      </c>
      <c r="F15" s="299">
        <v>0.9</v>
      </c>
      <c r="G15" s="119">
        <f t="shared" si="0"/>
        <v>1241.9152276295147</v>
      </c>
      <c r="H15" s="207">
        <f t="shared" si="1"/>
        <v>1117.7237048665631</v>
      </c>
      <c r="I15" s="81">
        <f>VLOOKUP(B15,All_Ingredients!$A$1:$F$151,6,FALSE())</f>
        <v>1</v>
      </c>
      <c r="J15" s="119">
        <f>VLOOKUP(B15,All_Ingredients!$A$1:$J$151,10,FALSE())</f>
        <v>3.25</v>
      </c>
      <c r="K15" s="122">
        <f t="shared" si="6"/>
        <v>1.1177237048665631</v>
      </c>
      <c r="L15" s="122">
        <f t="shared" si="7"/>
        <v>3.6326020408163302</v>
      </c>
      <c r="M15" s="131"/>
      <c r="N15" s="131"/>
    </row>
    <row r="16" spans="1:46" ht="14.25" customHeight="1" x14ac:dyDescent="0.3">
      <c r="A16" s="128" t="s">
        <v>97</v>
      </c>
      <c r="B16" s="123" t="s">
        <v>96</v>
      </c>
      <c r="C16" s="115" t="s">
        <v>14</v>
      </c>
      <c r="D16" s="125">
        <v>5</v>
      </c>
      <c r="E16" s="197">
        <f t="shared" si="5"/>
        <v>6.2095761381475736</v>
      </c>
      <c r="F16" s="299">
        <v>1</v>
      </c>
      <c r="G16" s="119">
        <f t="shared" si="0"/>
        <v>31.04788069073787</v>
      </c>
      <c r="H16" s="207">
        <f t="shared" si="1"/>
        <v>31.04788069073787</v>
      </c>
      <c r="I16" s="81">
        <f>VLOOKUP(B16,All_Ingredients!$A$1:$F$151,6,FALSE())</f>
        <v>1</v>
      </c>
      <c r="J16" s="119">
        <f>VLOOKUP(B16,All_Ingredients!$A$1:$J$151,10,FALSE())</f>
        <v>0.74</v>
      </c>
      <c r="K16" s="122">
        <f t="shared" si="6"/>
        <v>3.104788069073787E-2</v>
      </c>
      <c r="L16" s="122">
        <f t="shared" si="7"/>
        <v>2.2975431711146022E-2</v>
      </c>
      <c r="M16" s="131"/>
      <c r="N16" s="131"/>
      <c r="S16" s="1347" t="s">
        <v>876</v>
      </c>
    </row>
    <row r="17" spans="1:31" ht="14.25" customHeight="1" x14ac:dyDescent="0.3">
      <c r="A17" s="128" t="s">
        <v>158</v>
      </c>
      <c r="B17" s="294" t="s">
        <v>178</v>
      </c>
      <c r="C17" s="115" t="s">
        <v>14</v>
      </c>
      <c r="D17" s="125">
        <v>150</v>
      </c>
      <c r="E17" s="197">
        <f t="shared" si="5"/>
        <v>6.2095761381475736</v>
      </c>
      <c r="F17" s="299">
        <v>1</v>
      </c>
      <c r="G17" s="119">
        <f t="shared" si="0"/>
        <v>931.43642072213606</v>
      </c>
      <c r="H17" s="207">
        <f t="shared" si="1"/>
        <v>931.43642072213606</v>
      </c>
      <c r="I17" s="81">
        <f>VLOOKUP(B17,All_Ingredients!$A$1:$F$151,6,FALSE())</f>
        <v>1</v>
      </c>
      <c r="J17" s="119">
        <f>VLOOKUP(B17,All_Ingredients!$A$1:$J$151,10,FALSE())</f>
        <v>17.934782608695652</v>
      </c>
      <c r="K17" s="122">
        <f t="shared" si="6"/>
        <v>0.93143642072213606</v>
      </c>
      <c r="L17" s="122">
        <f t="shared" si="7"/>
        <v>16.705109719473093</v>
      </c>
      <c r="M17" s="131"/>
      <c r="N17" s="131"/>
    </row>
    <row r="18" spans="1:31" ht="14.25" customHeight="1" x14ac:dyDescent="0.3">
      <c r="A18" s="128" t="s">
        <v>158</v>
      </c>
      <c r="B18" s="294" t="s">
        <v>176</v>
      </c>
      <c r="C18" s="115" t="s">
        <v>14</v>
      </c>
      <c r="D18" s="125">
        <v>1050</v>
      </c>
      <c r="E18" s="197">
        <f t="shared" si="5"/>
        <v>6.2095761381475736</v>
      </c>
      <c r="F18" s="299">
        <v>1</v>
      </c>
      <c r="G18" s="119">
        <f t="shared" si="0"/>
        <v>6520.0549450549524</v>
      </c>
      <c r="H18" s="207">
        <f t="shared" si="1"/>
        <v>6520.0549450549524</v>
      </c>
      <c r="I18" s="81">
        <f>VLOOKUP(B18,All_Ingredients!$A$1:$F$151,6,FALSE())</f>
        <v>1</v>
      </c>
      <c r="J18" s="119">
        <f>VLOOKUP(B18,All_Ingredients!$A$1:$J$151,10,FALSE())</f>
        <v>14.999999999999998</v>
      </c>
      <c r="K18" s="122">
        <f t="shared" si="6"/>
        <v>6.5200549450549525</v>
      </c>
      <c r="L18" s="122">
        <f t="shared" si="7"/>
        <v>97.800824175824275</v>
      </c>
      <c r="M18" s="131"/>
      <c r="N18" s="131"/>
    </row>
    <row r="19" spans="1:31" ht="14.25" customHeight="1" x14ac:dyDescent="0.3">
      <c r="B19" s="92"/>
      <c r="C19" s="250"/>
      <c r="D19" s="254"/>
      <c r="E19" s="296"/>
      <c r="F19" s="535"/>
      <c r="G19" s="137"/>
      <c r="H19" s="536"/>
      <c r="I19" s="92"/>
      <c r="J19" s="139"/>
      <c r="K19" s="92"/>
      <c r="L19" s="137"/>
      <c r="M19" s="131"/>
      <c r="N19" s="131"/>
      <c r="X19"/>
    </row>
    <row r="20" spans="1:31" ht="14.25" customHeight="1" x14ac:dyDescent="0.3">
      <c r="I20" s="92"/>
      <c r="J20" s="139"/>
      <c r="K20" s="92"/>
      <c r="L20" s="137"/>
      <c r="M20" s="131"/>
      <c r="N20" s="131"/>
    </row>
    <row r="21" spans="1:31" ht="14.25" customHeight="1" x14ac:dyDescent="0.3">
      <c r="I21" s="92"/>
      <c r="J21" s="139"/>
      <c r="K21" s="92"/>
      <c r="L21" s="137"/>
      <c r="M21" s="131"/>
      <c r="N21" s="131"/>
    </row>
    <row r="22" spans="1:31" ht="14.25" customHeight="1" x14ac:dyDescent="0.3">
      <c r="I22" s="92"/>
      <c r="J22" s="139"/>
      <c r="K22" s="92"/>
      <c r="L22" s="137"/>
      <c r="M22" s="131"/>
      <c r="N22" s="131"/>
    </row>
    <row r="23" spans="1:31" ht="14.25" customHeight="1" x14ac:dyDescent="0.3">
      <c r="I23" s="92"/>
      <c r="J23" s="139"/>
      <c r="K23" s="92"/>
      <c r="L23" s="137"/>
      <c r="M23" s="131"/>
      <c r="N23" s="131"/>
    </row>
    <row r="24" spans="1:31" ht="14.25" customHeight="1" x14ac:dyDescent="0.3">
      <c r="I24" s="92"/>
      <c r="J24" s="139"/>
      <c r="K24" s="92"/>
      <c r="L24" s="137"/>
      <c r="M24" s="131"/>
      <c r="N24" s="131"/>
      <c r="Z24" s="1234"/>
    </row>
    <row r="25" spans="1:31" ht="14.25" customHeight="1" x14ac:dyDescent="0.35">
      <c r="I25" s="92"/>
      <c r="J25" s="139"/>
      <c r="K25" s="92"/>
      <c r="L25" s="137"/>
      <c r="M25" s="131"/>
      <c r="N25" s="131"/>
      <c r="R25" s="1411" t="s">
        <v>527</v>
      </c>
      <c r="S25" s="1388"/>
      <c r="T25" s="1388"/>
      <c r="U25" s="1388"/>
      <c r="V25" s="1206"/>
      <c r="W25" s="1206"/>
      <c r="Z25" s="141" t="s">
        <v>264</v>
      </c>
      <c r="AA25" s="142">
        <v>26370</v>
      </c>
      <c r="AB25" s="141" t="s">
        <v>261</v>
      </c>
      <c r="AC25" s="143">
        <f>(AA25*AE30)+(AA30*(AB28/R1))</f>
        <v>866.69113254628803</v>
      </c>
    </row>
    <row r="26" spans="1:31" ht="14.25" customHeight="1" x14ac:dyDescent="0.3">
      <c r="I26" s="92"/>
      <c r="J26" s="139"/>
      <c r="K26" s="92"/>
      <c r="L26" s="137"/>
      <c r="M26" s="131"/>
      <c r="N26" s="131"/>
      <c r="R26" s="1423" t="s">
        <v>373</v>
      </c>
      <c r="S26" s="1388"/>
      <c r="T26" s="1388"/>
      <c r="U26" s="1388"/>
      <c r="V26" s="1206"/>
      <c r="W26" s="1206"/>
    </row>
    <row r="27" spans="1:31" ht="14.25" customHeight="1" thickBot="1" x14ac:dyDescent="0.35">
      <c r="I27" s="92"/>
      <c r="J27" s="139"/>
      <c r="K27" s="92"/>
      <c r="L27" s="137"/>
      <c r="M27" s="131"/>
      <c r="N27" s="131"/>
      <c r="R27" s="145" t="s">
        <v>266</v>
      </c>
      <c r="S27" s="146" t="s">
        <v>267</v>
      </c>
      <c r="T27" s="146" t="s">
        <v>268</v>
      </c>
      <c r="U27" s="146" t="s">
        <v>269</v>
      </c>
      <c r="V27" s="146" t="s">
        <v>839</v>
      </c>
      <c r="W27" s="146" t="s">
        <v>848</v>
      </c>
      <c r="Z27" s="141" t="s">
        <v>270</v>
      </c>
      <c r="AA27" s="1185" t="s">
        <v>324</v>
      </c>
      <c r="AB27" s="147" t="s">
        <v>271</v>
      </c>
      <c r="AC27" s="147" t="s">
        <v>272</v>
      </c>
      <c r="AD27" s="1186" t="s">
        <v>848</v>
      </c>
      <c r="AE27" s="147" t="s">
        <v>274</v>
      </c>
    </row>
    <row r="28" spans="1:31" ht="14.25" customHeight="1" thickBot="1" x14ac:dyDescent="0.35">
      <c r="I28" s="92"/>
      <c r="J28" s="139"/>
      <c r="K28" s="92"/>
      <c r="L28" s="137"/>
      <c r="M28" s="131"/>
      <c r="N28" s="131"/>
      <c r="R28" s="148" t="s">
        <v>275</v>
      </c>
      <c r="S28" s="149">
        <f>U28*S40</f>
        <v>19515.38461538461</v>
      </c>
      <c r="T28" s="149">
        <f>U28*U40</f>
        <v>5854.6153846153902</v>
      </c>
      <c r="U28" s="150">
        <f>$Z$1</f>
        <v>25370</v>
      </c>
      <c r="V28" s="149">
        <f>SUM(AP5:AP13)</f>
        <v>4870.3214285714339</v>
      </c>
      <c r="W28" s="149">
        <f>H37</f>
        <v>85</v>
      </c>
      <c r="Z28" s="151"/>
      <c r="AA28" s="1188"/>
      <c r="AB28" s="152">
        <f>AA25*$S$40</f>
        <v>20284.615384615379</v>
      </c>
      <c r="AC28" s="152">
        <f>AA25-AB28</f>
        <v>6085.3846153846207</v>
      </c>
      <c r="AD28" s="1188"/>
      <c r="AE28" s="154">
        <f>SUM(AB28:AC28)</f>
        <v>26370</v>
      </c>
    </row>
    <row r="29" spans="1:31" ht="14.25" customHeight="1" thickBot="1" x14ac:dyDescent="0.35">
      <c r="I29" s="92"/>
      <c r="J29" s="139"/>
      <c r="K29" s="92"/>
      <c r="L29" s="137"/>
      <c r="M29" s="131"/>
      <c r="N29" s="131"/>
      <c r="R29" s="148" t="s">
        <v>276</v>
      </c>
      <c r="S29" s="155"/>
      <c r="T29" s="149"/>
      <c r="U29" s="149">
        <f>T29</f>
        <v>0</v>
      </c>
      <c r="V29" s="149"/>
      <c r="W29" s="149"/>
      <c r="Z29" s="151"/>
      <c r="AA29" s="1192"/>
      <c r="AB29" s="156">
        <f>AB28/$AE$28</f>
        <v>0.76923076923076905</v>
      </c>
      <c r="AC29" s="156">
        <f>AC28/$AE$28</f>
        <v>0.23076923076923098</v>
      </c>
      <c r="AD29" s="1192"/>
      <c r="AE29" s="156">
        <f>AE28/$AE$28</f>
        <v>1</v>
      </c>
    </row>
    <row r="30" spans="1:31" ht="14.25" customHeight="1" thickBot="1" x14ac:dyDescent="0.35">
      <c r="I30" s="92"/>
      <c r="J30" s="139"/>
      <c r="K30" s="92"/>
      <c r="L30" s="137"/>
      <c r="M30" s="131"/>
      <c r="N30" s="131"/>
      <c r="R30" s="148" t="s">
        <v>277</v>
      </c>
      <c r="S30" s="1228">
        <f>U30*S40</f>
        <v>769.23076923076906</v>
      </c>
      <c r="T30" s="1228">
        <f>U30*U40</f>
        <v>230.769230769231</v>
      </c>
      <c r="U30" s="150">
        <f>$AB$1</f>
        <v>1000</v>
      </c>
      <c r="V30" s="1143"/>
      <c r="W30" s="1143"/>
      <c r="Z30" s="141" t="s">
        <v>278</v>
      </c>
      <c r="AA30" s="1196">
        <f>V35/(S32/R1)</f>
        <v>8.2694619122473348E-4</v>
      </c>
      <c r="AB30" s="157">
        <f>S35/(S32)</f>
        <v>3.3701221915648408E-2</v>
      </c>
      <c r="AC30" s="158">
        <f>T35/T32</f>
        <v>2.5204039115203945E-2</v>
      </c>
      <c r="AD30" s="1199">
        <f>W35/U32</f>
        <v>4.8067647313201466E-5</v>
      </c>
      <c r="AE30" s="1201">
        <f>SUMPRODUCT(AB30:AC30,AB29:AC29)+AD30</f>
        <v>3.1788401224397501E-2</v>
      </c>
    </row>
    <row r="31" spans="1:31" ht="14.25" customHeight="1" thickBot="1" x14ac:dyDescent="0.35">
      <c r="I31" s="92"/>
      <c r="J31" s="139"/>
      <c r="K31" s="92"/>
      <c r="L31" s="137"/>
      <c r="M31" s="131"/>
      <c r="N31" s="131"/>
      <c r="R31" s="148" t="s">
        <v>279</v>
      </c>
      <c r="S31" s="155"/>
      <c r="T31" s="149"/>
      <c r="U31" s="149"/>
      <c r="V31" s="149"/>
      <c r="W31" s="149"/>
    </row>
    <row r="32" spans="1:31" ht="14.25" customHeight="1" thickBot="1" x14ac:dyDescent="0.35">
      <c r="B32" s="92"/>
      <c r="C32" s="250"/>
      <c r="D32" s="254"/>
      <c r="E32" s="296"/>
      <c r="F32" s="535"/>
      <c r="G32" s="137"/>
      <c r="H32" s="536"/>
      <c r="I32" s="92"/>
      <c r="J32" s="139"/>
      <c r="K32" s="92"/>
      <c r="L32" s="137"/>
      <c r="M32" s="131"/>
      <c r="N32" s="131"/>
      <c r="R32" s="160" t="s">
        <v>269</v>
      </c>
      <c r="S32" s="149">
        <f>SUM(S28:S30)</f>
        <v>20284.615384615379</v>
      </c>
      <c r="T32" s="149">
        <f>SUM(T28:T30)</f>
        <v>6085.3846153846216</v>
      </c>
      <c r="U32" s="149">
        <f>SUM(U28:U30)</f>
        <v>26370</v>
      </c>
      <c r="V32" s="149"/>
      <c r="W32" s="149">
        <f>SUM(W28:W30)</f>
        <v>85</v>
      </c>
    </row>
    <row r="33" spans="2:24" ht="14.25" customHeight="1" thickBot="1" x14ac:dyDescent="0.35">
      <c r="B33" s="92"/>
      <c r="C33" s="250"/>
      <c r="D33" s="254"/>
      <c r="E33" s="296"/>
      <c r="F33" s="535"/>
      <c r="G33" s="137"/>
      <c r="H33" s="536"/>
      <c r="I33" s="92"/>
      <c r="J33" s="139"/>
      <c r="K33" s="92"/>
      <c r="L33" s="137"/>
      <c r="M33" s="131"/>
      <c r="N33" s="131"/>
      <c r="R33" s="161" t="s">
        <v>280</v>
      </c>
      <c r="S33" s="155"/>
      <c r="T33" s="155"/>
      <c r="U33" s="155"/>
      <c r="V33" s="155"/>
      <c r="W33" s="155"/>
    </row>
    <row r="34" spans="2:24" ht="13.5" customHeight="1" thickBot="1" x14ac:dyDescent="0.35">
      <c r="B34" s="92"/>
      <c r="C34" s="250"/>
      <c r="D34" s="254"/>
      <c r="E34" s="296"/>
      <c r="F34" s="535"/>
      <c r="G34" s="137"/>
      <c r="H34" s="536"/>
      <c r="I34" s="92"/>
      <c r="J34" s="139"/>
      <c r="K34" s="92"/>
      <c r="L34" s="137"/>
      <c r="M34" s="131"/>
      <c r="N34" s="131"/>
      <c r="R34" s="162" t="s">
        <v>281</v>
      </c>
      <c r="S34" s="155"/>
      <c r="T34" s="149"/>
      <c r="U34" s="155"/>
      <c r="V34" s="155"/>
      <c r="W34" s="155"/>
    </row>
    <row r="35" spans="2:24" ht="13.5" customHeight="1" thickBot="1" x14ac:dyDescent="0.35">
      <c r="B35" s="1394" t="s">
        <v>877</v>
      </c>
      <c r="C35" s="1394"/>
      <c r="D35" s="1394"/>
      <c r="E35" s="1394"/>
      <c r="F35" s="1394"/>
      <c r="G35" s="882"/>
      <c r="H35" s="882"/>
      <c r="I35" s="889"/>
      <c r="J35" s="889"/>
      <c r="K35" s="889"/>
      <c r="L35" s="889"/>
      <c r="M35" s="131"/>
      <c r="N35" s="131"/>
      <c r="R35" s="163" t="s">
        <v>261</v>
      </c>
      <c r="S35" s="1144">
        <f>$L$5</f>
        <v>683.61632455049869</v>
      </c>
      <c r="T35" s="1144">
        <f>SUM(L6:L18)</f>
        <v>153.37627187721432</v>
      </c>
      <c r="U35" s="1144">
        <f>S35+T35+V35</f>
        <v>865.42358868663894</v>
      </c>
      <c r="V35" s="1144">
        <f>SUM(AT6:AT13)</f>
        <v>28.430992258925972</v>
      </c>
      <c r="W35" s="1144">
        <f>L37</f>
        <v>1.2675438596491226</v>
      </c>
    </row>
    <row r="36" spans="2:24" ht="14.25" customHeight="1" x14ac:dyDescent="0.3">
      <c r="B36" s="860" t="s">
        <v>253</v>
      </c>
      <c r="C36" s="860" t="s">
        <v>329</v>
      </c>
      <c r="D36" s="862" t="s">
        <v>671</v>
      </c>
      <c r="E36" s="859" t="s">
        <v>672</v>
      </c>
      <c r="F36" s="862" t="s">
        <v>673</v>
      </c>
      <c r="G36" s="882"/>
      <c r="H36" s="862" t="s">
        <v>673</v>
      </c>
      <c r="I36" s="862" t="s">
        <v>258</v>
      </c>
      <c r="J36" s="862" t="s">
        <v>259</v>
      </c>
      <c r="K36" s="862" t="s">
        <v>260</v>
      </c>
      <c r="L36" s="862" t="s">
        <v>261</v>
      </c>
      <c r="M36" s="131"/>
      <c r="N36" s="131"/>
      <c r="S36" s="171"/>
      <c r="T36" s="171"/>
      <c r="U36" s="171"/>
      <c r="V36" s="171"/>
    </row>
    <row r="37" spans="2:24" ht="14.25" customHeight="1" x14ac:dyDescent="0.3">
      <c r="B37" s="855" t="s">
        <v>28</v>
      </c>
      <c r="C37" s="856" t="s">
        <v>14</v>
      </c>
      <c r="D37" s="857">
        <v>0.5</v>
      </c>
      <c r="E37" s="855">
        <f>$AD$1</f>
        <v>170</v>
      </c>
      <c r="F37" s="855">
        <f>D37*E37</f>
        <v>85</v>
      </c>
      <c r="G37" s="881"/>
      <c r="H37" s="855">
        <f>F37</f>
        <v>85</v>
      </c>
      <c r="I37" s="855">
        <f>VLOOKUP(B37,All_Ingredients!$A$1:$F$151,6,FALSE())</f>
        <v>0.56999999999999995</v>
      </c>
      <c r="J37" s="855">
        <f>VLOOKUP(B37,All_Ingredients!$A$1:$J$151,10,FALSE())</f>
        <v>8.5</v>
      </c>
      <c r="K37" s="855">
        <f>(H37/I37)/1000</f>
        <v>0.14912280701754385</v>
      </c>
      <c r="L37" s="855">
        <f>K37*J37</f>
        <v>1.2675438596491226</v>
      </c>
      <c r="M37" s="131"/>
      <c r="N37" s="131"/>
    </row>
    <row r="38" spans="2:24" ht="14.25" customHeight="1" x14ac:dyDescent="0.3">
      <c r="B38" s="855" t="s">
        <v>30</v>
      </c>
      <c r="C38" s="856" t="s">
        <v>14</v>
      </c>
      <c r="D38" s="857">
        <v>0.5</v>
      </c>
      <c r="E38" s="855">
        <f t="shared" ref="E38:E39" si="12">$AD$1</f>
        <v>170</v>
      </c>
      <c r="F38" s="855">
        <f t="shared" ref="F38:F39" si="13">D38*E38</f>
        <v>85</v>
      </c>
      <c r="G38" s="881"/>
      <c r="H38" s="855">
        <f t="shared" ref="H38:H39" si="14">F38</f>
        <v>85</v>
      </c>
      <c r="I38" s="855">
        <f>VLOOKUP(B38,All_Ingredients!$A$1:$F$151,6,FALSE())</f>
        <v>0.56999999999999995</v>
      </c>
      <c r="J38" s="855">
        <f>VLOOKUP(B38,All_Ingredients!$A$1:$J$151,10,FALSE())</f>
        <v>8.5</v>
      </c>
      <c r="K38" s="855">
        <f t="shared" ref="K38:K39" si="15">(H38/I38)/1000</f>
        <v>0.14912280701754385</v>
      </c>
      <c r="L38" s="855">
        <f t="shared" ref="L38:L39" si="16">K38*J38</f>
        <v>1.2675438596491226</v>
      </c>
      <c r="M38" s="131"/>
      <c r="N38" s="131"/>
    </row>
    <row r="39" spans="2:24" ht="14.25" customHeight="1" x14ac:dyDescent="0.3">
      <c r="B39" s="855" t="s">
        <v>32</v>
      </c>
      <c r="C39" s="856" t="s">
        <v>14</v>
      </c>
      <c r="D39" s="857">
        <v>0.5</v>
      </c>
      <c r="E39" s="855">
        <f t="shared" si="12"/>
        <v>170</v>
      </c>
      <c r="F39" s="855">
        <f t="shared" si="13"/>
        <v>85</v>
      </c>
      <c r="G39" s="881"/>
      <c r="H39" s="855">
        <f t="shared" si="14"/>
        <v>85</v>
      </c>
      <c r="I39" s="855">
        <f>VLOOKUP(B39,All_Ingredients!$A$1:$F$151,6,FALSE())</f>
        <v>0.96</v>
      </c>
      <c r="J39" s="855">
        <f>VLOOKUP(B39,All_Ingredients!$A$1:$J$151,10,FALSE())</f>
        <v>4</v>
      </c>
      <c r="K39" s="855">
        <f t="shared" si="15"/>
        <v>8.8541666666666671E-2</v>
      </c>
      <c r="L39" s="855">
        <f t="shared" si="16"/>
        <v>0.35416666666666669</v>
      </c>
      <c r="M39" s="131"/>
      <c r="N39" s="131"/>
    </row>
    <row r="40" spans="2:24" ht="15.75" customHeight="1" x14ac:dyDescent="0.3">
      <c r="B40" s="92"/>
      <c r="C40" s="250"/>
      <c r="D40" s="254"/>
      <c r="E40" s="296"/>
      <c r="F40" s="535"/>
      <c r="G40" s="137"/>
      <c r="H40" s="536"/>
      <c r="I40" s="92"/>
      <c r="J40" s="139"/>
      <c r="K40" s="92"/>
      <c r="L40" s="137"/>
      <c r="M40" s="131"/>
      <c r="N40" s="131"/>
      <c r="R40" s="165" t="s">
        <v>282</v>
      </c>
      <c r="S40" s="166">
        <v>0.76923076923076905</v>
      </c>
      <c r="T40" s="165" t="s">
        <v>283</v>
      </c>
      <c r="U40" s="167">
        <v>0.230769230769231</v>
      </c>
      <c r="V40" s="168">
        <f>S40+U40</f>
        <v>1</v>
      </c>
    </row>
    <row r="41" spans="2:24" ht="14.25" customHeight="1" x14ac:dyDescent="0.3">
      <c r="B41"/>
      <c r="C41" s="250"/>
      <c r="D41" s="254"/>
      <c r="E41" s="296"/>
      <c r="F41" s="535"/>
      <c r="G41" s="137"/>
      <c r="H41" s="536"/>
      <c r="I41" s="92"/>
      <c r="J41" s="139"/>
      <c r="K41" s="92"/>
      <c r="L41" s="137"/>
      <c r="M41" s="131"/>
      <c r="N41" s="131"/>
      <c r="U41" s="169"/>
    </row>
    <row r="42" spans="2:24" ht="14.25" customHeight="1" x14ac:dyDescent="0.3">
      <c r="E42" s="296"/>
      <c r="G42" s="137"/>
      <c r="H42" s="536"/>
      <c r="I42" s="92"/>
      <c r="J42" s="139"/>
      <c r="K42" s="92"/>
      <c r="L42" s="297"/>
    </row>
    <row r="43" spans="2:24" ht="14.25" customHeight="1" x14ac:dyDescent="0.3">
      <c r="L43" s="297"/>
      <c r="Q43" s="170" t="s">
        <v>284</v>
      </c>
      <c r="R43" s="170" t="s">
        <v>285</v>
      </c>
      <c r="S43" s="170" t="s">
        <v>286</v>
      </c>
      <c r="T43" s="170" t="s">
        <v>287</v>
      </c>
      <c r="U43" s="170" t="s">
        <v>288</v>
      </c>
      <c r="V43" s="170" t="s">
        <v>289</v>
      </c>
      <c r="W43" s="258" t="s">
        <v>290</v>
      </c>
      <c r="X43" s="547"/>
    </row>
    <row r="44" spans="2:24" ht="14.25" customHeight="1" x14ac:dyDescent="0.3">
      <c r="L44" s="297"/>
      <c r="Q44" s="172">
        <v>43334</v>
      </c>
      <c r="R44" s="173">
        <f>D51</f>
        <v>10000</v>
      </c>
      <c r="S44" s="174">
        <v>1</v>
      </c>
      <c r="T44" s="174">
        <v>0</v>
      </c>
      <c r="U44" s="242">
        <f>R44*S44</f>
        <v>10000</v>
      </c>
      <c r="V44" s="176">
        <f>R44*T44</f>
        <v>0</v>
      </c>
      <c r="W44" s="260">
        <f>Q44-U44</f>
        <v>33334</v>
      </c>
      <c r="X44" s="548"/>
    </row>
    <row r="45" spans="2:24" ht="14.25" customHeight="1" x14ac:dyDescent="0.3">
      <c r="L45" s="297"/>
    </row>
    <row r="46" spans="2:24" ht="14.25" customHeight="1" x14ac:dyDescent="0.3">
      <c r="L46" s="297"/>
    </row>
    <row r="47" spans="2:24" ht="14.25" customHeight="1" x14ac:dyDescent="0.3">
      <c r="L47" s="297"/>
    </row>
    <row r="48" spans="2:24" ht="14.25" customHeight="1" x14ac:dyDescent="0.3">
      <c r="L48" s="297"/>
    </row>
    <row r="49" spans="1:12" ht="14.25" customHeight="1" x14ac:dyDescent="0.3">
      <c r="L49" s="297"/>
    </row>
    <row r="50" spans="1:12" ht="14.25" customHeight="1" x14ac:dyDescent="0.3">
      <c r="B50" s="276"/>
      <c r="C50" s="145" t="s">
        <v>245</v>
      </c>
      <c r="D50" s="145" t="s">
        <v>291</v>
      </c>
      <c r="E50" s="100"/>
      <c r="F50" s="100"/>
      <c r="G50" s="145" t="s">
        <v>292</v>
      </c>
      <c r="H50" s="145" t="s">
        <v>245</v>
      </c>
      <c r="I50" s="145" t="s">
        <v>293</v>
      </c>
      <c r="J50" s="145" t="s">
        <v>294</v>
      </c>
      <c r="L50" s="297"/>
    </row>
    <row r="51" spans="1:12" x14ac:dyDescent="0.3">
      <c r="B51" s="180" t="s">
        <v>295</v>
      </c>
      <c r="C51" s="181">
        <f>10/$K$1</f>
        <v>10.204081632653061</v>
      </c>
      <c r="D51" s="182">
        <f>$C$1*10</f>
        <v>10000</v>
      </c>
      <c r="E51" s="183"/>
      <c r="F51" s="100"/>
      <c r="G51" s="180" t="s">
        <v>295</v>
      </c>
      <c r="H51" s="277">
        <f>I51/$D$5</f>
        <v>10</v>
      </c>
      <c r="I51" s="181">
        <f>J51/$R$1</f>
        <v>56498.305084745763</v>
      </c>
      <c r="J51" s="181">
        <f>$W$44</f>
        <v>33334</v>
      </c>
    </row>
    <row r="52" spans="1:12" x14ac:dyDescent="0.3">
      <c r="B52" s="231" t="s">
        <v>274</v>
      </c>
      <c r="C52" s="232">
        <f>$I$1</f>
        <v>6.2095761381475736</v>
      </c>
      <c r="D52" s="233">
        <f>$E$1</f>
        <v>6085.3846153846216</v>
      </c>
      <c r="E52" s="100"/>
      <c r="F52" s="100"/>
      <c r="G52" s="148" t="s">
        <v>274</v>
      </c>
      <c r="H52" s="210">
        <f>I52/$D$5</f>
        <v>6.0852629101264126</v>
      </c>
      <c r="I52" s="176">
        <f>J52/$R$1</f>
        <v>34380.704041720986</v>
      </c>
      <c r="J52" s="184">
        <f>$S$32</f>
        <v>20284.615384615379</v>
      </c>
    </row>
    <row r="53" spans="1:12" x14ac:dyDescent="0.3">
      <c r="B53" s="231" t="s">
        <v>296</v>
      </c>
      <c r="C53" s="234">
        <f>MIN(C52, C51)</f>
        <v>6.2095761381475736</v>
      </c>
      <c r="D53" s="233">
        <f>(C53*$K$1)*$C$1</f>
        <v>6085.3846153846216</v>
      </c>
      <c r="E53" s="100"/>
      <c r="F53" s="100"/>
      <c r="G53" s="148" t="s">
        <v>296</v>
      </c>
      <c r="H53" s="187">
        <f>MIN(H52,H51)</f>
        <v>6.0852629101264126</v>
      </c>
      <c r="I53" s="176">
        <f>J53/$R$1</f>
        <v>34380.704041720986</v>
      </c>
      <c r="J53" s="176">
        <f>MIN(J52,J51)</f>
        <v>20284.615384615379</v>
      </c>
    </row>
    <row r="54" spans="1:12" x14ac:dyDescent="0.3">
      <c r="B54" s="231" t="s">
        <v>297</v>
      </c>
      <c r="C54" s="234">
        <f>MIN(MAX(C52-C53,0),C51)</f>
        <v>0</v>
      </c>
      <c r="D54" s="233">
        <f>(C54*$K$1)*$C$1</f>
        <v>0</v>
      </c>
      <c r="E54" s="100"/>
      <c r="F54" s="100"/>
      <c r="G54" s="148" t="s">
        <v>297</v>
      </c>
      <c r="H54" s="187">
        <f>MIN(MAX(H52-H53),H51)</f>
        <v>0</v>
      </c>
      <c r="I54" s="176">
        <f>J54/$R$1</f>
        <v>0</v>
      </c>
      <c r="J54" s="176">
        <f>MIN(MAX(J52-J53),J51)</f>
        <v>0</v>
      </c>
    </row>
    <row r="55" spans="1:12" x14ac:dyDescent="0.3">
      <c r="B55" s="231" t="s">
        <v>298</v>
      </c>
      <c r="C55" s="234">
        <f>MIN(MAX(C52-C53-C54,0),C51)</f>
        <v>0</v>
      </c>
      <c r="D55" s="233">
        <f>(C55*$K$1)*$C$1</f>
        <v>0</v>
      </c>
      <c r="E55" s="100"/>
      <c r="F55" s="100"/>
      <c r="G55" s="145" t="s">
        <v>298</v>
      </c>
      <c r="H55" s="187">
        <f>MIN(MAX(H52-H53-H54),H51)</f>
        <v>0</v>
      </c>
      <c r="I55" s="176">
        <f>J55/$R$1</f>
        <v>0</v>
      </c>
      <c r="J55" s="176">
        <f>MIN(MAX(J52-J53-J54),J51)</f>
        <v>0</v>
      </c>
    </row>
    <row r="57" spans="1:12" ht="14.25" customHeight="1" x14ac:dyDescent="0.3">
      <c r="B57" s="100"/>
      <c r="E57" s="100"/>
      <c r="F57" s="100"/>
    </row>
    <row r="62" spans="1:12" ht="17.75" customHeight="1" x14ac:dyDescent="0.3">
      <c r="A62" s="937"/>
      <c r="B62" s="1382" t="str">
        <f>"دجاج بيتزايولا    1 / " &amp; COUNTIF($C$53:$C$55, "&gt;0")</f>
        <v>دجاج بيتزايولا    1 / 1</v>
      </c>
      <c r="C62" s="1383"/>
      <c r="D62" s="1383"/>
      <c r="E62" s="1383"/>
      <c r="F62" s="1383"/>
      <c r="G62" s="1383"/>
      <c r="H62" s="1383"/>
    </row>
    <row r="63" spans="1:12" ht="17.75" customHeight="1" x14ac:dyDescent="0.3">
      <c r="A63" s="937"/>
      <c r="B63" s="1384" t="str">
        <f>"Pizziola Chicken  1 / " &amp; COUNTIF($C$53:$C$55, "&gt;0")</f>
        <v>Pizziola Chicken  1 / 1</v>
      </c>
      <c r="C63" s="1385"/>
      <c r="D63" s="1385"/>
      <c r="E63" s="1385"/>
      <c r="F63" s="1385"/>
      <c r="G63" s="1385"/>
      <c r="H63" s="1385"/>
    </row>
    <row r="64" spans="1:12" ht="25.5" customHeight="1" x14ac:dyDescent="0.25">
      <c r="A64" s="91"/>
      <c r="B64" s="243" t="s">
        <v>253</v>
      </c>
      <c r="C64" s="244" t="s">
        <v>254</v>
      </c>
      <c r="D64" s="245" t="s">
        <v>243</v>
      </c>
      <c r="E64" s="218" t="s">
        <v>246</v>
      </c>
      <c r="F64" s="218" t="s">
        <v>255</v>
      </c>
      <c r="G64" s="245" t="s">
        <v>256</v>
      </c>
      <c r="H64" s="218" t="s">
        <v>257</v>
      </c>
    </row>
    <row r="65" spans="1:10" ht="14.25" customHeight="1" x14ac:dyDescent="0.25">
      <c r="A65" s="219" t="s">
        <v>230</v>
      </c>
      <c r="B65" s="114" t="str">
        <f t="shared" ref="B65:D78" si="17">B5</f>
        <v>Chicken - دجاج</v>
      </c>
      <c r="C65" s="123" t="str">
        <f t="shared" si="17"/>
        <v>gm</v>
      </c>
      <c r="D65" s="263">
        <f t="shared" si="17"/>
        <v>5649.8305084745762</v>
      </c>
      <c r="E65" s="126">
        <f>H53</f>
        <v>6.0852629101264126</v>
      </c>
      <c r="F65" s="299">
        <f t="shared" ref="F65:F78" si="18">F5</f>
        <v>1</v>
      </c>
      <c r="G65" s="117">
        <f t="shared" ref="G65:G77" si="19">D65*E65</f>
        <v>34380.704041720986</v>
      </c>
      <c r="H65" s="207">
        <f t="shared" ref="H65:H77" si="20">G65*F65</f>
        <v>34380.704041720986</v>
      </c>
    </row>
    <row r="66" spans="1:10" ht="14.25" customHeight="1" x14ac:dyDescent="0.3">
      <c r="A66" s="128" t="s">
        <v>83</v>
      </c>
      <c r="B66" s="114" t="str">
        <f t="shared" si="17"/>
        <v>Dry Oregano - أوريجانو مجفف</v>
      </c>
      <c r="C66" s="123" t="str">
        <f t="shared" si="17"/>
        <v>gm</v>
      </c>
      <c r="D66" s="123">
        <f t="shared" si="17"/>
        <v>1</v>
      </c>
      <c r="E66" s="126">
        <f>$C$53</f>
        <v>6.2095761381475736</v>
      </c>
      <c r="F66" s="299">
        <f t="shared" si="18"/>
        <v>1</v>
      </c>
      <c r="G66" s="117">
        <f t="shared" si="19"/>
        <v>6.2095761381475736</v>
      </c>
      <c r="H66" s="207">
        <f t="shared" si="20"/>
        <v>6.2095761381475736</v>
      </c>
    </row>
    <row r="67" spans="1:10" ht="14.25" customHeight="1" x14ac:dyDescent="0.3">
      <c r="A67" s="128" t="s">
        <v>13</v>
      </c>
      <c r="B67" s="114" t="str">
        <f t="shared" si="17"/>
        <v>Garlic - ثوم مقشر</v>
      </c>
      <c r="C67" s="123" t="str">
        <f t="shared" si="17"/>
        <v>gm</v>
      </c>
      <c r="D67" s="123">
        <f t="shared" si="17"/>
        <v>30</v>
      </c>
      <c r="E67" s="126">
        <f t="shared" ref="E67:E78" si="21">$C$53</f>
        <v>6.2095761381475736</v>
      </c>
      <c r="F67" s="299">
        <f t="shared" si="18"/>
        <v>1</v>
      </c>
      <c r="G67" s="549">
        <f t="shared" si="19"/>
        <v>186.28728414442722</v>
      </c>
      <c r="H67" s="207">
        <f t="shared" si="20"/>
        <v>186.28728414442722</v>
      </c>
    </row>
    <row r="68" spans="1:10" ht="14.25" customHeight="1" x14ac:dyDescent="0.3">
      <c r="A68" s="128" t="s">
        <v>13</v>
      </c>
      <c r="B68" s="114" t="str">
        <f t="shared" si="17"/>
        <v>Tomato - طماطم</v>
      </c>
      <c r="C68" s="123" t="str">
        <f t="shared" si="17"/>
        <v>gm</v>
      </c>
      <c r="D68" s="123">
        <f t="shared" si="17"/>
        <v>400</v>
      </c>
      <c r="E68" s="126">
        <f t="shared" si="21"/>
        <v>6.2095761381475736</v>
      </c>
      <c r="F68" s="299">
        <f t="shared" si="18"/>
        <v>0.9</v>
      </c>
      <c r="G68" s="549">
        <f t="shared" si="19"/>
        <v>2483.8304552590293</v>
      </c>
      <c r="H68" s="207">
        <f t="shared" si="20"/>
        <v>2235.4474097331263</v>
      </c>
    </row>
    <row r="69" spans="1:10" ht="14.25" customHeight="1" x14ac:dyDescent="0.3">
      <c r="A69" s="128" t="s">
        <v>196</v>
      </c>
      <c r="B69" s="114" t="str">
        <f t="shared" si="17"/>
        <v>Tomato Paste - صلصة طماطم</v>
      </c>
      <c r="C69" s="123" t="str">
        <f t="shared" si="17"/>
        <v>gm</v>
      </c>
      <c r="D69" s="123">
        <f t="shared" si="17"/>
        <v>200</v>
      </c>
      <c r="E69" s="126">
        <f t="shared" si="21"/>
        <v>6.2095761381475736</v>
      </c>
      <c r="F69" s="299">
        <f t="shared" si="18"/>
        <v>0.9</v>
      </c>
      <c r="G69" s="549">
        <f t="shared" si="19"/>
        <v>1241.9152276295147</v>
      </c>
      <c r="H69" s="207">
        <f t="shared" si="20"/>
        <v>1117.7237048665631</v>
      </c>
    </row>
    <row r="70" spans="1:10" ht="14.25" customHeight="1" x14ac:dyDescent="0.3">
      <c r="A70" s="128" t="s">
        <v>186</v>
      </c>
      <c r="B70" s="114" t="str">
        <f t="shared" si="17"/>
        <v>Sugar - سكر</v>
      </c>
      <c r="C70" s="123" t="str">
        <f t="shared" si="17"/>
        <v>gm</v>
      </c>
      <c r="D70" s="123">
        <f t="shared" si="17"/>
        <v>10</v>
      </c>
      <c r="E70" s="126">
        <f t="shared" si="21"/>
        <v>6.2095761381475736</v>
      </c>
      <c r="F70" s="299">
        <f t="shared" si="18"/>
        <v>1</v>
      </c>
      <c r="G70" s="549">
        <f t="shared" si="19"/>
        <v>62.095761381475739</v>
      </c>
      <c r="H70" s="207">
        <f t="shared" si="20"/>
        <v>62.095761381475739</v>
      </c>
    </row>
    <row r="71" spans="1:10" ht="14.25" customHeight="1" x14ac:dyDescent="0.3">
      <c r="A71" s="128" t="s">
        <v>210</v>
      </c>
      <c r="B71" s="114" t="str">
        <f t="shared" si="17"/>
        <v>Vinegar - خل</v>
      </c>
      <c r="C71" s="123" t="str">
        <f t="shared" si="17"/>
        <v>ml</v>
      </c>
      <c r="D71" s="123">
        <f t="shared" si="17"/>
        <v>5</v>
      </c>
      <c r="E71" s="126">
        <f t="shared" si="21"/>
        <v>6.2095761381475736</v>
      </c>
      <c r="F71" s="299">
        <f t="shared" si="18"/>
        <v>1</v>
      </c>
      <c r="G71" s="549">
        <f t="shared" si="19"/>
        <v>31.04788069073787</v>
      </c>
      <c r="H71" s="207">
        <f t="shared" si="20"/>
        <v>31.04788069073787</v>
      </c>
    </row>
    <row r="72" spans="1:10" ht="14.25" customHeight="1" x14ac:dyDescent="0.3">
      <c r="A72" s="128" t="s">
        <v>158</v>
      </c>
      <c r="B72" s="114" t="str">
        <f t="shared" si="17"/>
        <v>Butter - زبدة</v>
      </c>
      <c r="C72" s="123" t="str">
        <f t="shared" si="17"/>
        <v>gm</v>
      </c>
      <c r="D72" s="123">
        <f t="shared" si="17"/>
        <v>25</v>
      </c>
      <c r="E72" s="126">
        <f t="shared" si="21"/>
        <v>6.2095761381475736</v>
      </c>
      <c r="F72" s="299">
        <f t="shared" si="18"/>
        <v>1</v>
      </c>
      <c r="G72" s="549">
        <f t="shared" si="19"/>
        <v>155.23940345368933</v>
      </c>
      <c r="H72" s="207">
        <f t="shared" si="20"/>
        <v>155.23940345368933</v>
      </c>
    </row>
    <row r="73" spans="1:10" ht="14.25" customHeight="1" x14ac:dyDescent="0.3">
      <c r="A73" s="128" t="s">
        <v>83</v>
      </c>
      <c r="B73" s="114" t="str">
        <f t="shared" si="17"/>
        <v>Dry Basil - ريحان مجفف</v>
      </c>
      <c r="C73" s="123" t="str">
        <f t="shared" si="17"/>
        <v>gm</v>
      </c>
      <c r="D73" s="123">
        <f t="shared" si="17"/>
        <v>1</v>
      </c>
      <c r="E73" s="126">
        <f t="shared" si="21"/>
        <v>6.2095761381475736</v>
      </c>
      <c r="F73" s="299">
        <f t="shared" si="18"/>
        <v>0.9</v>
      </c>
      <c r="G73" s="549">
        <f t="shared" si="19"/>
        <v>6.2095761381475736</v>
      </c>
      <c r="H73" s="207">
        <f t="shared" si="20"/>
        <v>5.5886185243328166</v>
      </c>
    </row>
    <row r="74" spans="1:10" ht="14.25" customHeight="1" x14ac:dyDescent="0.3">
      <c r="A74" s="128" t="s">
        <v>196</v>
      </c>
      <c r="B74" s="114" t="str">
        <f t="shared" si="17"/>
        <v>Sriracha Sauce - صوص سريراتشا</v>
      </c>
      <c r="C74" s="123" t="str">
        <f t="shared" si="17"/>
        <v>ml</v>
      </c>
      <c r="D74" s="123">
        <f t="shared" si="17"/>
        <v>35</v>
      </c>
      <c r="E74" s="126">
        <f t="shared" si="21"/>
        <v>6.2095761381475736</v>
      </c>
      <c r="F74" s="299">
        <f t="shared" si="18"/>
        <v>0.75</v>
      </c>
      <c r="G74" s="549">
        <f t="shared" si="19"/>
        <v>217.33516483516507</v>
      </c>
      <c r="H74" s="207">
        <f t="shared" si="20"/>
        <v>163.00137362637381</v>
      </c>
    </row>
    <row r="75" spans="1:10" ht="14.25" customHeight="1" x14ac:dyDescent="0.3">
      <c r="A75" s="128" t="s">
        <v>196</v>
      </c>
      <c r="B75" s="114" t="str">
        <f t="shared" si="17"/>
        <v>Tomato Ketchup - كاتشب طماطم</v>
      </c>
      <c r="C75" s="123" t="str">
        <f t="shared" si="17"/>
        <v>ml</v>
      </c>
      <c r="D75" s="123">
        <f t="shared" si="17"/>
        <v>200</v>
      </c>
      <c r="E75" s="126">
        <f t="shared" si="21"/>
        <v>6.2095761381475736</v>
      </c>
      <c r="F75" s="299">
        <f t="shared" si="18"/>
        <v>0.9</v>
      </c>
      <c r="G75" s="549">
        <f t="shared" si="19"/>
        <v>1241.9152276295147</v>
      </c>
      <c r="H75" s="207">
        <f t="shared" si="20"/>
        <v>1117.7237048665631</v>
      </c>
    </row>
    <row r="76" spans="1:10" ht="14.25" customHeight="1" x14ac:dyDescent="0.3">
      <c r="A76" s="128" t="s">
        <v>97</v>
      </c>
      <c r="B76" s="114" t="str">
        <f t="shared" si="17"/>
        <v>Salt - ملح</v>
      </c>
      <c r="C76" s="123" t="str">
        <f t="shared" si="17"/>
        <v>gm</v>
      </c>
      <c r="D76" s="123">
        <f t="shared" si="17"/>
        <v>5</v>
      </c>
      <c r="E76" s="126">
        <f t="shared" si="21"/>
        <v>6.2095761381475736</v>
      </c>
      <c r="F76" s="299">
        <f t="shared" si="18"/>
        <v>1</v>
      </c>
      <c r="G76" s="549">
        <f t="shared" si="19"/>
        <v>31.04788069073787</v>
      </c>
      <c r="H76" s="207">
        <f t="shared" si="20"/>
        <v>31.04788069073787</v>
      </c>
    </row>
    <row r="77" spans="1:10" ht="14.25" customHeight="1" x14ac:dyDescent="0.3">
      <c r="A77" s="128" t="s">
        <v>158</v>
      </c>
      <c r="B77" s="114" t="str">
        <f t="shared" si="17"/>
        <v>Mozzarella Cheese - جبنة موتزاريلا</v>
      </c>
      <c r="C77" s="123" t="str">
        <f t="shared" si="17"/>
        <v>gm</v>
      </c>
      <c r="D77" s="123">
        <f t="shared" si="17"/>
        <v>150</v>
      </c>
      <c r="E77" s="126">
        <f t="shared" si="21"/>
        <v>6.2095761381475736</v>
      </c>
      <c r="F77" s="299">
        <f t="shared" si="18"/>
        <v>1</v>
      </c>
      <c r="G77" s="549">
        <f t="shared" si="19"/>
        <v>931.43642072213606</v>
      </c>
      <c r="H77" s="207">
        <f t="shared" si="20"/>
        <v>931.43642072213606</v>
      </c>
    </row>
    <row r="78" spans="1:10" ht="20.25" customHeight="1" x14ac:dyDescent="0.4">
      <c r="A78" s="128" t="s">
        <v>158</v>
      </c>
      <c r="B78" s="114" t="str">
        <f t="shared" si="17"/>
        <v>Cheddar Cheese - جبنة شيدر</v>
      </c>
      <c r="C78" s="123" t="str">
        <f t="shared" si="17"/>
        <v>gm</v>
      </c>
      <c r="D78" s="123">
        <f t="shared" si="17"/>
        <v>1050</v>
      </c>
      <c r="E78" s="126">
        <f t="shared" si="21"/>
        <v>6.2095761381475736</v>
      </c>
      <c r="F78" s="299">
        <f t="shared" si="18"/>
        <v>1</v>
      </c>
      <c r="G78" s="549">
        <f>D78*E78</f>
        <v>6520.0549450549524</v>
      </c>
      <c r="H78" s="207">
        <f>G78*F78</f>
        <v>6520.0549450549524</v>
      </c>
      <c r="I78" s="204"/>
      <c r="J78" s="203"/>
    </row>
    <row r="79" spans="1:10" ht="18" x14ac:dyDescent="0.3">
      <c r="A79" s="211"/>
      <c r="B79" s="198" t="s">
        <v>299</v>
      </c>
      <c r="C79" s="200" t="s">
        <v>285</v>
      </c>
      <c r="E79" s="200" t="s">
        <v>300</v>
      </c>
      <c r="G79" s="890" t="s">
        <v>276</v>
      </c>
      <c r="H79" s="890" t="s">
        <v>733</v>
      </c>
    </row>
    <row r="80" spans="1:10" ht="20" x14ac:dyDescent="0.4">
      <c r="A80" s="211"/>
      <c r="B80" s="199">
        <f>$J$53</f>
        <v>20284.615384615379</v>
      </c>
      <c r="C80" s="199">
        <f>E80+G80</f>
        <v>6085.3846153846216</v>
      </c>
      <c r="D80" s="930"/>
      <c r="E80" s="199">
        <f>$D$53*$S$44</f>
        <v>6085.3846153846216</v>
      </c>
      <c r="F80" s="934"/>
      <c r="G80" s="199">
        <f>$D$53*$T$44</f>
        <v>0</v>
      </c>
      <c r="H80" s="199">
        <f>B80+E80</f>
        <v>26370</v>
      </c>
    </row>
  </sheetData>
  <mergeCells count="9">
    <mergeCell ref="B63:H63"/>
    <mergeCell ref="AE2:AG3"/>
    <mergeCell ref="R26:U26"/>
    <mergeCell ref="AN2:AN3"/>
    <mergeCell ref="B62:H62"/>
    <mergeCell ref="R25:U25"/>
    <mergeCell ref="F2:F3"/>
    <mergeCell ref="AK2:AM2"/>
    <mergeCell ref="B35:F35"/>
  </mergeCells>
  <printOptions horizontalCentered="1"/>
  <pageMargins left="0.4" right="0.4" top="1" bottom="0.5" header="0.3" footer="0.511811023622047"/>
  <pageSetup paperSize="9" scale="48" fitToHeight="0" orientation="landscape" r:id="rId1"/>
  <legacy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tabColor rgb="FFC55A11"/>
    <pageSetUpPr fitToPage="1"/>
  </sheetPr>
  <dimension ref="A1:AG83"/>
  <sheetViews>
    <sheetView topLeftCell="R16" zoomScale="85" zoomScaleNormal="85" workbookViewId="0">
      <selection activeCell="AB38" sqref="AB38"/>
    </sheetView>
  </sheetViews>
  <sheetFormatPr defaultColWidth="12.5" defaultRowHeight="14" x14ac:dyDescent="0.3"/>
  <cols>
    <col min="1" max="1" width="12.5" style="79" customWidth="1"/>
    <col min="2" max="2" width="36.7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3.4140625" style="14" customWidth="1"/>
    <col min="15" max="17" width="12.5" style="14" customWidth="1"/>
    <col min="18" max="18" width="30.5" style="14" customWidth="1"/>
    <col min="19" max="19" width="12.5" style="14" customWidth="1"/>
    <col min="20" max="16384" width="12.5" style="14"/>
  </cols>
  <sheetData>
    <row r="1" spans="1:33" ht="35.25" customHeight="1" x14ac:dyDescent="0.3">
      <c r="B1" s="80" t="s">
        <v>243</v>
      </c>
      <c r="C1" s="81">
        <v>1000</v>
      </c>
      <c r="D1" s="82" t="s">
        <v>244</v>
      </c>
      <c r="E1" s="117">
        <f>T32</f>
        <v>6082.8630000000003</v>
      </c>
      <c r="F1" s="80" t="s">
        <v>245</v>
      </c>
      <c r="G1" s="81">
        <f>E1/C1</f>
        <v>6.0828630000000006</v>
      </c>
      <c r="H1" s="80" t="s">
        <v>246</v>
      </c>
      <c r="I1" s="283">
        <f>G1/K1</f>
        <v>6.0828630000000006</v>
      </c>
      <c r="J1" s="86" t="s">
        <v>247</v>
      </c>
      <c r="K1" s="100">
        <v>1</v>
      </c>
      <c r="L1" s="100"/>
      <c r="M1" s="89"/>
      <c r="N1" s="90"/>
      <c r="O1" s="91" t="s">
        <v>248</v>
      </c>
      <c r="P1" s="92" t="s">
        <v>301</v>
      </c>
      <c r="Q1" s="93" t="s">
        <v>250</v>
      </c>
      <c r="R1" s="92">
        <v>0.66</v>
      </c>
      <c r="Y1" s="91" t="s">
        <v>479</v>
      </c>
      <c r="Z1" s="847">
        <v>17130</v>
      </c>
      <c r="AA1" s="91" t="s">
        <v>600</v>
      </c>
      <c r="AB1" s="847">
        <v>0</v>
      </c>
      <c r="AC1" s="91" t="s">
        <v>587</v>
      </c>
      <c r="AD1" s="847">
        <v>119</v>
      </c>
      <c r="AE1" s="250"/>
      <c r="AF1" s="252"/>
      <c r="AG1" s="92"/>
    </row>
    <row r="2" spans="1:33" ht="12.75" customHeight="1" x14ac:dyDescent="0.3">
      <c r="A2" s="97"/>
      <c r="B2" s="1483" t="s">
        <v>139</v>
      </c>
      <c r="C2" s="1429"/>
      <c r="D2" s="1429"/>
      <c r="E2" s="1429"/>
      <c r="F2" s="1429"/>
      <c r="G2" s="1429"/>
      <c r="H2" s="1429"/>
      <c r="I2" s="1429"/>
      <c r="J2" s="1429"/>
      <c r="K2" s="1484"/>
      <c r="L2" s="293"/>
      <c r="M2" s="100"/>
      <c r="N2" s="100"/>
      <c r="O2" s="100"/>
      <c r="P2" s="100"/>
      <c r="Q2" s="100"/>
      <c r="R2" s="100"/>
      <c r="AC2" s="99"/>
      <c r="AD2" s="99"/>
      <c r="AE2" s="1391"/>
      <c r="AF2" s="1389"/>
      <c r="AG2" s="1389"/>
    </row>
    <row r="3" spans="1:33" ht="12.75" customHeight="1" x14ac:dyDescent="0.3">
      <c r="A3" s="97"/>
      <c r="B3" s="1388"/>
      <c r="C3" s="1388"/>
      <c r="D3" s="1388"/>
      <c r="E3" s="1388"/>
      <c r="F3" s="1388"/>
      <c r="G3" s="1388"/>
      <c r="H3" s="1388"/>
      <c r="I3" s="1388"/>
      <c r="J3" s="1388"/>
      <c r="K3" s="1451"/>
      <c r="L3" s="293"/>
      <c r="M3" s="100"/>
      <c r="N3" s="100"/>
      <c r="O3" s="100"/>
      <c r="P3" s="100"/>
      <c r="Q3" s="100"/>
      <c r="R3" s="100"/>
      <c r="AC3" s="99"/>
      <c r="AD3" s="99"/>
      <c r="AE3" s="1389"/>
      <c r="AF3" s="1389"/>
      <c r="AG3" s="1389"/>
    </row>
    <row r="4" spans="1:33" ht="35.25" customHeight="1" x14ac:dyDescent="0.25">
      <c r="A4" s="91" t="s">
        <v>1</v>
      </c>
      <c r="B4" s="91" t="s">
        <v>253</v>
      </c>
      <c r="C4" s="107" t="s">
        <v>254</v>
      </c>
      <c r="D4" s="91" t="s">
        <v>243</v>
      </c>
      <c r="E4" s="218" t="s">
        <v>246</v>
      </c>
      <c r="F4" s="108" t="s">
        <v>255</v>
      </c>
      <c r="G4" s="91" t="s">
        <v>256</v>
      </c>
      <c r="H4" s="107" t="s">
        <v>347</v>
      </c>
      <c r="I4" s="91" t="s">
        <v>258</v>
      </c>
      <c r="J4" s="91" t="s">
        <v>259</v>
      </c>
      <c r="K4" s="91" t="s">
        <v>260</v>
      </c>
      <c r="L4" s="91" t="s">
        <v>261</v>
      </c>
      <c r="M4" s="100"/>
      <c r="N4" s="100"/>
      <c r="O4" s="100"/>
      <c r="P4" s="100"/>
      <c r="AA4" s="251"/>
      <c r="AB4" s="253"/>
      <c r="AC4" s="251"/>
      <c r="AD4" s="251"/>
      <c r="AE4" s="251"/>
    </row>
    <row r="5" spans="1:33" ht="14.25" customHeight="1" x14ac:dyDescent="0.25">
      <c r="A5" s="266" t="s">
        <v>230</v>
      </c>
      <c r="B5" s="286" t="s">
        <v>237</v>
      </c>
      <c r="C5" s="115" t="s">
        <v>14</v>
      </c>
      <c r="D5" s="121">
        <f>I51/10</f>
        <v>5050.6060606060601</v>
      </c>
      <c r="E5" s="117">
        <f>H52</f>
        <v>3.3140748185036304</v>
      </c>
      <c r="F5" s="127">
        <v>1</v>
      </c>
      <c r="G5" s="121">
        <f t="shared" ref="G5:G20" si="0">D5*E5</f>
        <v>16738.086363636365</v>
      </c>
      <c r="H5" s="120">
        <f t="shared" ref="H5:H20" si="1">G5*F5</f>
        <v>16738.086363636365</v>
      </c>
      <c r="I5" s="81">
        <f>VLOOKUP(B5,All_Ingredients!$A$1:$F$151,6,FALSE())</f>
        <v>0.99</v>
      </c>
      <c r="J5" s="119">
        <f>VLOOKUP(B5,All_Ingredients!$A$1:$J$151,10,FALSE())</f>
        <v>0</v>
      </c>
      <c r="K5" s="122">
        <f t="shared" ref="K5" si="2">(H5/I5)/1000</f>
        <v>16.907157943067034</v>
      </c>
      <c r="L5" s="122">
        <f t="shared" ref="L5" si="3">K5*J5</f>
        <v>0</v>
      </c>
      <c r="M5" s="100"/>
      <c r="N5" s="100"/>
      <c r="O5" s="100"/>
      <c r="P5" s="100"/>
      <c r="AA5" s="92"/>
      <c r="AB5" s="133"/>
      <c r="AC5" s="254"/>
      <c r="AD5" s="135"/>
      <c r="AE5" s="136"/>
    </row>
    <row r="6" spans="1:33" ht="14.25" customHeight="1" x14ac:dyDescent="0.25">
      <c r="A6" s="550" t="s">
        <v>13</v>
      </c>
      <c r="B6" s="286" t="s">
        <v>12</v>
      </c>
      <c r="C6" s="124" t="s">
        <v>14</v>
      </c>
      <c r="D6" s="125">
        <v>300</v>
      </c>
      <c r="E6" s="197">
        <f t="shared" ref="E6:E20" si="4">$G$1</f>
        <v>6.0828630000000006</v>
      </c>
      <c r="F6" s="127">
        <v>0.95</v>
      </c>
      <c r="G6" s="121">
        <f t="shared" si="0"/>
        <v>1824.8589000000002</v>
      </c>
      <c r="H6" s="120">
        <f t="shared" si="1"/>
        <v>1733.615955</v>
      </c>
      <c r="I6" s="81">
        <f>VLOOKUP(B6,All_Ingredients!$A$1:$F$151,6,FALSE())</f>
        <v>0.9</v>
      </c>
      <c r="J6" s="119">
        <f>VLOOKUP(B6,All_Ingredients!$A$1:$J$151,10,FALSE())</f>
        <v>3</v>
      </c>
      <c r="K6" s="122">
        <f t="shared" ref="K6:K20" si="5">(H6/I6)/1000</f>
        <v>1.9262399499999998</v>
      </c>
      <c r="L6" s="122">
        <f t="shared" ref="L6:L20" si="6">K6*J6</f>
        <v>5.7787198499999999</v>
      </c>
    </row>
    <row r="7" spans="1:33" ht="14.25" customHeight="1" x14ac:dyDescent="0.25">
      <c r="A7" s="550" t="s">
        <v>13</v>
      </c>
      <c r="B7" s="286" t="s">
        <v>792</v>
      </c>
      <c r="C7" s="124" t="s">
        <v>14</v>
      </c>
      <c r="D7" s="125">
        <v>25</v>
      </c>
      <c r="E7" s="223">
        <f t="shared" si="4"/>
        <v>6.0828630000000006</v>
      </c>
      <c r="F7" s="127">
        <v>0.95</v>
      </c>
      <c r="G7" s="121">
        <f t="shared" si="0"/>
        <v>152.07157500000002</v>
      </c>
      <c r="H7" s="120">
        <f t="shared" si="1"/>
        <v>144.46799625000003</v>
      </c>
      <c r="I7" s="81">
        <f>VLOOKUP(B7,All_Ingredients!$A$1:$F$151,6,FALSE())</f>
        <v>1</v>
      </c>
      <c r="J7" s="119">
        <f>VLOOKUP(B7,All_Ingredients!$A$1:$J$151,10,FALSE())</f>
        <v>10.5</v>
      </c>
      <c r="K7" s="122">
        <f t="shared" si="5"/>
        <v>0.14446799625000004</v>
      </c>
      <c r="L7" s="122">
        <f t="shared" si="6"/>
        <v>1.5169139606250004</v>
      </c>
    </row>
    <row r="8" spans="1:33" ht="14.25" customHeight="1" x14ac:dyDescent="0.25">
      <c r="A8" s="550" t="s">
        <v>13</v>
      </c>
      <c r="B8" s="286" t="s">
        <v>17</v>
      </c>
      <c r="C8" s="124" t="s">
        <v>14</v>
      </c>
      <c r="D8" s="125">
        <v>600</v>
      </c>
      <c r="E8" s="223">
        <f t="shared" si="4"/>
        <v>6.0828630000000006</v>
      </c>
      <c r="F8" s="127">
        <v>1</v>
      </c>
      <c r="G8" s="121">
        <f t="shared" si="0"/>
        <v>3649.7178000000004</v>
      </c>
      <c r="H8" s="120">
        <f t="shared" si="1"/>
        <v>3649.7178000000004</v>
      </c>
      <c r="I8" s="81">
        <f>VLOOKUP(B8,All_Ingredients!$A$1:$F$151,6,FALSE())</f>
        <v>0.98</v>
      </c>
      <c r="J8" s="119">
        <f>VLOOKUP(B8,All_Ingredients!$A$1:$J$151,10,FALSE())</f>
        <v>3.5</v>
      </c>
      <c r="K8" s="122">
        <f t="shared" si="5"/>
        <v>3.7242018367346943</v>
      </c>
      <c r="L8" s="122">
        <f t="shared" si="6"/>
        <v>13.034706428571431</v>
      </c>
    </row>
    <row r="9" spans="1:33" ht="14.25" customHeight="1" x14ac:dyDescent="0.25">
      <c r="A9" s="550" t="s">
        <v>196</v>
      </c>
      <c r="B9" s="286" t="s">
        <v>761</v>
      </c>
      <c r="C9" s="124" t="s">
        <v>14</v>
      </c>
      <c r="D9" s="273">
        <v>500</v>
      </c>
      <c r="E9" s="223">
        <f t="shared" si="4"/>
        <v>6.0828630000000006</v>
      </c>
      <c r="F9" s="127">
        <v>1</v>
      </c>
      <c r="G9" s="121">
        <f t="shared" si="0"/>
        <v>3041.4315000000001</v>
      </c>
      <c r="H9" s="120">
        <f t="shared" si="1"/>
        <v>3041.4315000000001</v>
      </c>
      <c r="I9" s="81">
        <f>VLOOKUP(B9,All_Ingredients!$A$1:$F$151,6,FALSE())</f>
        <v>1</v>
      </c>
      <c r="J9" s="119">
        <f>VLOOKUP(B9,All_Ingredients!$A$1:$J$151,10,FALSE())</f>
        <v>8.1520833333333336</v>
      </c>
      <c r="K9" s="122">
        <f t="shared" si="5"/>
        <v>3.0414315000000003</v>
      </c>
      <c r="L9" s="122">
        <f t="shared" si="6"/>
        <v>24.794003040625004</v>
      </c>
    </row>
    <row r="10" spans="1:33" ht="14.25" customHeight="1" x14ac:dyDescent="0.25">
      <c r="A10" s="550" t="s">
        <v>97</v>
      </c>
      <c r="B10" s="286" t="s">
        <v>102</v>
      </c>
      <c r="C10" s="124" t="s">
        <v>14</v>
      </c>
      <c r="D10" s="273">
        <v>10</v>
      </c>
      <c r="E10" s="223">
        <f t="shared" si="4"/>
        <v>6.0828630000000006</v>
      </c>
      <c r="F10" s="127">
        <v>0.75</v>
      </c>
      <c r="G10" s="121">
        <f t="shared" si="0"/>
        <v>60.828630000000004</v>
      </c>
      <c r="H10" s="120">
        <f t="shared" si="1"/>
        <v>45.621472500000003</v>
      </c>
      <c r="I10" s="81">
        <f>VLOOKUP(B10,All_Ingredients!$A$1:$F$151,6,FALSE())</f>
        <v>1</v>
      </c>
      <c r="J10" s="119">
        <f>VLOOKUP(B10,All_Ingredients!$A$1:$J$151,10,FALSE())</f>
        <v>31</v>
      </c>
      <c r="K10" s="122">
        <f t="shared" si="5"/>
        <v>4.5621472500000003E-2</v>
      </c>
      <c r="L10" s="122">
        <f t="shared" si="6"/>
        <v>1.4142656475000002</v>
      </c>
    </row>
    <row r="11" spans="1:33" ht="14.25" customHeight="1" x14ac:dyDescent="0.25">
      <c r="A11" s="550" t="s">
        <v>97</v>
      </c>
      <c r="B11" s="286" t="s">
        <v>108</v>
      </c>
      <c r="C11" s="124" t="s">
        <v>14</v>
      </c>
      <c r="D11" s="273">
        <v>20</v>
      </c>
      <c r="E11" s="223">
        <f t="shared" si="4"/>
        <v>6.0828630000000006</v>
      </c>
      <c r="F11" s="127">
        <v>1</v>
      </c>
      <c r="G11" s="121">
        <f t="shared" si="0"/>
        <v>121.65726000000001</v>
      </c>
      <c r="H11" s="120">
        <f t="shared" si="1"/>
        <v>121.65726000000001</v>
      </c>
      <c r="I11" s="81">
        <f>VLOOKUP(B11,All_Ingredients!$A$1:$F$151,6,FALSE())</f>
        <v>1</v>
      </c>
      <c r="J11" s="119">
        <f>VLOOKUP(B11,All_Ingredients!$A$1:$J$151,10,FALSE())</f>
        <v>15</v>
      </c>
      <c r="K11" s="122">
        <f t="shared" si="5"/>
        <v>0.12165726</v>
      </c>
      <c r="L11" s="122">
        <f t="shared" si="6"/>
        <v>1.8248589</v>
      </c>
    </row>
    <row r="12" spans="1:33" ht="14.25" customHeight="1" x14ac:dyDescent="0.25">
      <c r="A12" s="550" t="s">
        <v>97</v>
      </c>
      <c r="B12" s="286" t="s">
        <v>110</v>
      </c>
      <c r="C12" s="124" t="s">
        <v>14</v>
      </c>
      <c r="D12" s="273">
        <v>20</v>
      </c>
      <c r="E12" s="223">
        <f t="shared" si="4"/>
        <v>6.0828630000000006</v>
      </c>
      <c r="F12" s="127">
        <v>1</v>
      </c>
      <c r="G12" s="121">
        <f t="shared" si="0"/>
        <v>121.65726000000001</v>
      </c>
      <c r="H12" s="120">
        <f t="shared" si="1"/>
        <v>121.65726000000001</v>
      </c>
      <c r="I12" s="81">
        <f>VLOOKUP(B12,All_Ingredients!$A$1:$F$151,6,FALSE())</f>
        <v>1</v>
      </c>
      <c r="J12" s="119">
        <f>VLOOKUP(B12,All_Ingredients!$A$1:$J$151,10,FALSE())</f>
        <v>8</v>
      </c>
      <c r="K12" s="122">
        <f t="shared" si="5"/>
        <v>0.12165726</v>
      </c>
      <c r="L12" s="122">
        <f t="shared" si="6"/>
        <v>0.97325808000000003</v>
      </c>
    </row>
    <row r="13" spans="1:33" ht="17" customHeight="1" x14ac:dyDescent="0.25">
      <c r="A13" s="550" t="s">
        <v>97</v>
      </c>
      <c r="B13" s="286" t="s">
        <v>126</v>
      </c>
      <c r="C13" s="124" t="s">
        <v>14</v>
      </c>
      <c r="D13" s="125">
        <v>10</v>
      </c>
      <c r="E13" s="223">
        <f t="shared" si="4"/>
        <v>6.0828630000000006</v>
      </c>
      <c r="F13" s="127">
        <v>0.75</v>
      </c>
      <c r="G13" s="121">
        <f t="shared" si="0"/>
        <v>60.828630000000004</v>
      </c>
      <c r="H13" s="120">
        <f t="shared" si="1"/>
        <v>45.621472500000003</v>
      </c>
      <c r="I13" s="81">
        <f>VLOOKUP(B13,All_Ingredients!$A$1:$F$151,6,FALSE())</f>
        <v>1</v>
      </c>
      <c r="J13" s="119">
        <f>VLOOKUP(B13,All_Ingredients!$A$1:$J$151,10,FALSE())</f>
        <v>14</v>
      </c>
      <c r="K13" s="122">
        <f t="shared" si="5"/>
        <v>4.5621472500000003E-2</v>
      </c>
      <c r="L13" s="122">
        <f t="shared" si="6"/>
        <v>0.63870061500000008</v>
      </c>
      <c r="P13" s="100" t="s">
        <v>469</v>
      </c>
      <c r="Q13" s="100" t="s">
        <v>470</v>
      </c>
    </row>
    <row r="14" spans="1:33" ht="14.25" customHeight="1" x14ac:dyDescent="0.25">
      <c r="A14" s="550" t="s">
        <v>97</v>
      </c>
      <c r="B14" s="286" t="s">
        <v>144</v>
      </c>
      <c r="C14" s="124" t="s">
        <v>14</v>
      </c>
      <c r="D14" s="273">
        <v>15</v>
      </c>
      <c r="E14" s="223">
        <f t="shared" si="4"/>
        <v>6.0828630000000006</v>
      </c>
      <c r="F14" s="127">
        <v>0.75</v>
      </c>
      <c r="G14" s="121">
        <f t="shared" si="0"/>
        <v>91.242945000000006</v>
      </c>
      <c r="H14" s="120">
        <f t="shared" si="1"/>
        <v>68.432208750000001</v>
      </c>
      <c r="I14" s="81">
        <f>VLOOKUP(B14,All_Ingredients!$A$1:$F$151,6,FALSE())</f>
        <v>1</v>
      </c>
      <c r="J14" s="119">
        <f>VLOOKUP(B14,All_Ingredients!$A$1:$J$151,10,FALSE())</f>
        <v>15.277777777777779</v>
      </c>
      <c r="K14" s="122">
        <f t="shared" si="5"/>
        <v>6.8432208750000001E-2</v>
      </c>
      <c r="L14" s="122">
        <f t="shared" si="6"/>
        <v>1.0454920781250001</v>
      </c>
      <c r="P14" s="183"/>
      <c r="Q14" s="100"/>
    </row>
    <row r="15" spans="1:33" ht="14.25" customHeight="1" x14ac:dyDescent="0.25">
      <c r="A15" s="550" t="s">
        <v>97</v>
      </c>
      <c r="B15" s="286" t="s">
        <v>96</v>
      </c>
      <c r="C15" s="124" t="s">
        <v>14</v>
      </c>
      <c r="D15" s="125">
        <v>5</v>
      </c>
      <c r="E15" s="223">
        <f t="shared" si="4"/>
        <v>6.0828630000000006</v>
      </c>
      <c r="F15" s="127">
        <v>0.75</v>
      </c>
      <c r="G15" s="121">
        <f t="shared" si="0"/>
        <v>30.414315000000002</v>
      </c>
      <c r="H15" s="120">
        <f t="shared" si="1"/>
        <v>22.810736250000001</v>
      </c>
      <c r="I15" s="81">
        <f>VLOOKUP(B15,All_Ingredients!$A$1:$F$151,6,FALSE())</f>
        <v>1</v>
      </c>
      <c r="J15" s="119">
        <f>VLOOKUP(B15,All_Ingredients!$A$1:$J$151,10,FALSE())</f>
        <v>0.74</v>
      </c>
      <c r="K15" s="122">
        <f t="shared" si="5"/>
        <v>2.2810736250000001E-2</v>
      </c>
      <c r="L15" s="122">
        <f t="shared" si="6"/>
        <v>1.6879944825E-2</v>
      </c>
      <c r="P15" s="100"/>
      <c r="Q15" s="100"/>
    </row>
    <row r="16" spans="1:33" ht="14.25" customHeight="1" x14ac:dyDescent="0.25">
      <c r="A16" s="550" t="s">
        <v>83</v>
      </c>
      <c r="B16" s="81" t="s">
        <v>795</v>
      </c>
      <c r="C16" s="124" t="s">
        <v>14</v>
      </c>
      <c r="D16" s="125">
        <v>5</v>
      </c>
      <c r="E16" s="223">
        <f t="shared" si="4"/>
        <v>6.0828630000000006</v>
      </c>
      <c r="F16" s="127">
        <v>0.75</v>
      </c>
      <c r="G16" s="121">
        <f t="shared" si="0"/>
        <v>30.414315000000002</v>
      </c>
      <c r="H16" s="120">
        <f t="shared" si="1"/>
        <v>22.810736250000001</v>
      </c>
      <c r="I16" s="81">
        <f>VLOOKUP(B16,All_Ingredients!$A$1:$F$151,6,FALSE())</f>
        <v>0.52</v>
      </c>
      <c r="J16" s="119">
        <f>VLOOKUP(B16,All_Ingredients!$A$1:$J$151,10,FALSE())</f>
        <v>100</v>
      </c>
      <c r="K16" s="122">
        <f t="shared" si="5"/>
        <v>4.3866800480769234E-2</v>
      </c>
      <c r="L16" s="122">
        <f t="shared" si="6"/>
        <v>4.386680048076923</v>
      </c>
      <c r="P16" s="100"/>
      <c r="Q16" s="100"/>
    </row>
    <row r="17" spans="1:30" ht="14.25" customHeight="1" x14ac:dyDescent="0.25">
      <c r="A17" s="550" t="s">
        <v>158</v>
      </c>
      <c r="B17" s="81" t="s">
        <v>791</v>
      </c>
      <c r="C17" s="124" t="s">
        <v>14</v>
      </c>
      <c r="D17" s="551">
        <v>100</v>
      </c>
      <c r="E17" s="223">
        <f t="shared" si="4"/>
        <v>6.0828630000000006</v>
      </c>
      <c r="F17" s="127">
        <v>1</v>
      </c>
      <c r="G17" s="121">
        <f t="shared" si="0"/>
        <v>608.2863000000001</v>
      </c>
      <c r="H17" s="120">
        <f t="shared" si="1"/>
        <v>608.2863000000001</v>
      </c>
      <c r="I17" s="81">
        <f>VLOOKUP(B17,All_Ingredients!$A$1:$F$151,6,FALSE())</f>
        <v>1</v>
      </c>
      <c r="J17" s="119">
        <f>VLOOKUP(B17,All_Ingredients!$A$1:$J$151,10,FALSE())</f>
        <v>67.91483113069016</v>
      </c>
      <c r="K17" s="122">
        <f t="shared" si="5"/>
        <v>0.60828630000000006</v>
      </c>
      <c r="L17" s="122">
        <f t="shared" si="6"/>
        <v>41.311661343612336</v>
      </c>
      <c r="P17" s="100"/>
      <c r="Q17" s="100"/>
    </row>
    <row r="18" spans="1:30" ht="14.25" customHeight="1" x14ac:dyDescent="0.25">
      <c r="A18" s="550" t="s">
        <v>220</v>
      </c>
      <c r="B18" s="81" t="s">
        <v>221</v>
      </c>
      <c r="C18" s="124" t="s">
        <v>14</v>
      </c>
      <c r="D18" s="115">
        <v>1</v>
      </c>
      <c r="E18" s="223">
        <f t="shared" si="4"/>
        <v>6.0828630000000006</v>
      </c>
      <c r="F18" s="127">
        <v>1</v>
      </c>
      <c r="G18" s="121">
        <f t="shared" si="0"/>
        <v>6.0828630000000006</v>
      </c>
      <c r="H18" s="120">
        <f t="shared" si="1"/>
        <v>6.0828630000000006</v>
      </c>
      <c r="I18" s="81">
        <f>VLOOKUP(B18,All_Ingredients!$A$1:$F$151,6,FALSE())</f>
        <v>1</v>
      </c>
      <c r="J18" s="119">
        <f>VLOOKUP(B18,All_Ingredients!$A$1:$J$151,10,FALSE())</f>
        <v>35</v>
      </c>
      <c r="K18" s="122">
        <f t="shared" si="5"/>
        <v>6.0828630000000009E-3</v>
      </c>
      <c r="L18" s="122">
        <f t="shared" si="6"/>
        <v>0.21290020500000004</v>
      </c>
      <c r="P18" s="100"/>
      <c r="Q18" s="100"/>
    </row>
    <row r="19" spans="1:30" ht="14.25" customHeight="1" x14ac:dyDescent="0.3">
      <c r="A19" s="128"/>
      <c r="B19" s="81" t="s">
        <v>157</v>
      </c>
      <c r="C19" s="124" t="s">
        <v>14</v>
      </c>
      <c r="D19" s="115">
        <v>40</v>
      </c>
      <c r="E19" s="223">
        <f t="shared" si="4"/>
        <v>6.0828630000000006</v>
      </c>
      <c r="F19" s="127">
        <v>1</v>
      </c>
      <c r="G19" s="121">
        <f t="shared" si="0"/>
        <v>243.31452000000002</v>
      </c>
      <c r="H19" s="120">
        <f t="shared" si="1"/>
        <v>243.31452000000002</v>
      </c>
      <c r="I19" s="81">
        <f>VLOOKUP(B19,All_Ingredients!$A$1:$F$151,6,FALSE())</f>
        <v>1</v>
      </c>
      <c r="J19" s="119">
        <f>VLOOKUP(B19,All_Ingredients!$A$1:$J$151,10,FALSE())</f>
        <v>30</v>
      </c>
      <c r="K19" s="122">
        <f t="shared" si="5"/>
        <v>0.24331452000000001</v>
      </c>
      <c r="L19" s="122">
        <f t="shared" si="6"/>
        <v>7.2994355999999998</v>
      </c>
      <c r="P19" s="100"/>
      <c r="Q19" s="100"/>
    </row>
    <row r="20" spans="1:30" ht="17.75" customHeight="1" x14ac:dyDescent="0.3">
      <c r="A20" s="128"/>
      <c r="B20" s="81" t="s">
        <v>178</v>
      </c>
      <c r="C20" s="124" t="s">
        <v>14</v>
      </c>
      <c r="D20" s="115">
        <v>100</v>
      </c>
      <c r="E20" s="223">
        <f t="shared" si="4"/>
        <v>6.0828630000000006</v>
      </c>
      <c r="F20" s="127">
        <v>1</v>
      </c>
      <c r="G20" s="121">
        <f t="shared" si="0"/>
        <v>608.2863000000001</v>
      </c>
      <c r="H20" s="120">
        <f t="shared" si="1"/>
        <v>608.2863000000001</v>
      </c>
      <c r="I20" s="81">
        <f>VLOOKUP(B20,All_Ingredients!$A$1:$F$151,6,FALSE())</f>
        <v>1</v>
      </c>
      <c r="J20" s="119">
        <f>VLOOKUP(B20,All_Ingredients!$A$1:$J$151,10,FALSE())</f>
        <v>17.934782608695652</v>
      </c>
      <c r="K20" s="122">
        <f t="shared" si="5"/>
        <v>0.60828630000000006</v>
      </c>
      <c r="L20" s="122">
        <f t="shared" si="6"/>
        <v>10.909482554347827</v>
      </c>
      <c r="P20" s="100" t="s">
        <v>471</v>
      </c>
      <c r="Q20" s="100" t="s">
        <v>472</v>
      </c>
    </row>
    <row r="21" spans="1:30" ht="24" customHeight="1" x14ac:dyDescent="0.3">
      <c r="B21" s="92"/>
      <c r="C21" s="133"/>
      <c r="D21" s="250"/>
      <c r="E21" s="225"/>
      <c r="F21" s="136"/>
      <c r="G21" s="140"/>
      <c r="H21" s="138"/>
      <c r="I21" s="92"/>
      <c r="J21" s="137"/>
      <c r="K21" s="131"/>
      <c r="L21" s="131"/>
      <c r="R21" s="100"/>
      <c r="S21" s="100" t="s">
        <v>473</v>
      </c>
    </row>
    <row r="22" spans="1:30" ht="14.25" customHeight="1" x14ac:dyDescent="0.3">
      <c r="B22"/>
    </row>
    <row r="23" spans="1:30" ht="14.25" customHeight="1" x14ac:dyDescent="0.3">
      <c r="L23" s="297"/>
    </row>
    <row r="24" spans="1:30" ht="14.25" customHeight="1" x14ac:dyDescent="0.3">
      <c r="L24" s="297"/>
      <c r="Z24" s="1234"/>
    </row>
    <row r="25" spans="1:30" ht="14.25" customHeight="1" x14ac:dyDescent="0.3">
      <c r="L25" s="297"/>
      <c r="R25" s="1423" t="s">
        <v>474</v>
      </c>
      <c r="S25" s="1476"/>
      <c r="T25" s="1476"/>
      <c r="U25" s="1476"/>
      <c r="V25" s="1218"/>
      <c r="Z25" s="141" t="s">
        <v>264</v>
      </c>
      <c r="AA25" s="142">
        <v>17130</v>
      </c>
      <c r="AB25" s="141" t="s">
        <v>261</v>
      </c>
      <c r="AC25" s="143">
        <f>AD30*AA25</f>
        <v>115.73465060400082</v>
      </c>
    </row>
    <row r="26" spans="1:30" ht="18" customHeight="1" x14ac:dyDescent="0.3">
      <c r="L26" s="297"/>
      <c r="R26" s="1423" t="s">
        <v>373</v>
      </c>
      <c r="S26" s="1476"/>
      <c r="T26" s="1476"/>
      <c r="U26" s="1476"/>
      <c r="V26" s="1206"/>
    </row>
    <row r="27" spans="1:30" ht="23.25" customHeight="1" thickBot="1" x14ac:dyDescent="0.35">
      <c r="L27" s="297"/>
      <c r="R27" s="145" t="s">
        <v>266</v>
      </c>
      <c r="S27" s="146" t="s">
        <v>398</v>
      </c>
      <c r="T27" s="146" t="s">
        <v>268</v>
      </c>
      <c r="U27" s="146" t="s">
        <v>269</v>
      </c>
      <c r="V27" s="146" t="s">
        <v>848</v>
      </c>
      <c r="Z27" s="141" t="s">
        <v>270</v>
      </c>
      <c r="AA27" s="147" t="s">
        <v>271</v>
      </c>
      <c r="AB27" s="147" t="s">
        <v>272</v>
      </c>
      <c r="AC27" s="1186" t="s">
        <v>848</v>
      </c>
      <c r="AD27" s="147" t="s">
        <v>274</v>
      </c>
    </row>
    <row r="28" spans="1:30" ht="14.25" customHeight="1" thickBot="1" x14ac:dyDescent="0.35">
      <c r="L28" s="297"/>
      <c r="R28" s="148" t="s">
        <v>275</v>
      </c>
      <c r="S28" s="304">
        <f>U28*S40</f>
        <v>11047.137000000001</v>
      </c>
      <c r="T28" s="149">
        <f>U28*U40</f>
        <v>6082.8630000000003</v>
      </c>
      <c r="U28" s="150">
        <f>$Z$1</f>
        <v>17130</v>
      </c>
      <c r="V28" s="149">
        <f>SUM(H37)</f>
        <v>8.33</v>
      </c>
      <c r="Z28" s="151"/>
      <c r="AA28" s="152">
        <f>AA25*$S$40</f>
        <v>11047.137000000001</v>
      </c>
      <c r="AB28" s="152">
        <f>AA25*$U$40</f>
        <v>6082.8630000000003</v>
      </c>
      <c r="AC28" s="1188"/>
      <c r="AD28" s="154">
        <f>SUM(AA28:AC28)</f>
        <v>17130</v>
      </c>
    </row>
    <row r="29" spans="1:30" ht="14.25" customHeight="1" thickBot="1" x14ac:dyDescent="0.35">
      <c r="B29" s="100"/>
      <c r="L29" s="297"/>
      <c r="R29" s="148" t="s">
        <v>276</v>
      </c>
      <c r="S29" s="155"/>
      <c r="T29" s="149"/>
      <c r="U29" s="149">
        <f>T29</f>
        <v>0</v>
      </c>
      <c r="V29" s="149"/>
      <c r="Z29" s="151"/>
      <c r="AA29" s="156">
        <f>AA28/$AD$28</f>
        <v>0.64490000000000003</v>
      </c>
      <c r="AB29" s="156">
        <f>AB28/$AD$28</f>
        <v>0.35510000000000003</v>
      </c>
      <c r="AC29" s="1192"/>
      <c r="AD29" s="156">
        <f>AD28/$AD$28</f>
        <v>1</v>
      </c>
    </row>
    <row r="30" spans="1:30" ht="14.25" customHeight="1" thickBot="1" x14ac:dyDescent="0.35">
      <c r="B30" s="100"/>
      <c r="L30" s="297"/>
      <c r="R30" s="148" t="s">
        <v>277</v>
      </c>
      <c r="S30" s="1228">
        <f>U30*S40</f>
        <v>0</v>
      </c>
      <c r="T30" s="149">
        <f>U30*U40</f>
        <v>0</v>
      </c>
      <c r="U30" s="1236">
        <f>$AB$1</f>
        <v>0</v>
      </c>
      <c r="V30" s="1143"/>
      <c r="Z30" s="141" t="s">
        <v>278</v>
      </c>
      <c r="AA30" s="157">
        <f>S35/(S32)</f>
        <v>0</v>
      </c>
      <c r="AB30" s="158">
        <f>T35/T32</f>
        <v>1.8931539029616237E-2</v>
      </c>
      <c r="AC30" s="1199">
        <f>V35/U32</f>
        <v>3.3665633840765183E-5</v>
      </c>
      <c r="AD30" s="1201">
        <f>SUMPRODUCT(AA30:AB30,AA29:AB29)+AC30</f>
        <v>6.756255143257491E-3</v>
      </c>
    </row>
    <row r="31" spans="1:30" ht="14.25" customHeight="1" thickBot="1" x14ac:dyDescent="0.35">
      <c r="B31" s="100"/>
      <c r="C31" s="861"/>
      <c r="D31" s="861"/>
      <c r="E31" s="861"/>
      <c r="F31" s="861"/>
      <c r="G31" s="861"/>
      <c r="H31"/>
      <c r="R31" s="148" t="s">
        <v>279</v>
      </c>
      <c r="S31" s="155"/>
      <c r="T31" s="149"/>
      <c r="U31" s="149"/>
      <c r="V31" s="149"/>
    </row>
    <row r="32" spans="1:30" ht="14.25" customHeight="1" thickBot="1" x14ac:dyDescent="0.35">
      <c r="B32" s="371"/>
      <c r="C32" s="348"/>
      <c r="D32" s="264"/>
      <c r="E32" s="371"/>
      <c r="F32" s="371"/>
      <c r="G32" s="264"/>
      <c r="H32" s="55"/>
      <c r="R32" s="160" t="s">
        <v>269</v>
      </c>
      <c r="S32" s="149">
        <f>SUM(S28:S30)</f>
        <v>11047.137000000001</v>
      </c>
      <c r="T32" s="149">
        <f>SUM(T28:T30)</f>
        <v>6082.8630000000003</v>
      </c>
      <c r="U32" s="149">
        <f>SUM(U28:U30)</f>
        <v>17130</v>
      </c>
      <c r="V32" s="149">
        <f>SUM(V28:V30)</f>
        <v>8.33</v>
      </c>
    </row>
    <row r="33" spans="2:23" ht="14.25" customHeight="1" thickBot="1" x14ac:dyDescent="0.35">
      <c r="B33" s="100"/>
      <c r="E33" s="100"/>
      <c r="F33" s="100"/>
      <c r="R33" s="161" t="s">
        <v>280</v>
      </c>
      <c r="S33" s="155"/>
      <c r="T33" s="155"/>
      <c r="U33" s="149">
        <f>F57</f>
        <v>0</v>
      </c>
      <c r="V33" s="155"/>
    </row>
    <row r="34" spans="2:23" ht="14.25" customHeight="1" thickBot="1" x14ac:dyDescent="0.35">
      <c r="R34" s="162" t="s">
        <v>281</v>
      </c>
      <c r="S34" s="155"/>
      <c r="T34" s="149"/>
      <c r="U34" s="149">
        <f>U33-(U28+U29)</f>
        <v>-17130</v>
      </c>
      <c r="V34" s="155"/>
    </row>
    <row r="35" spans="2:23" ht="14.25" customHeight="1" thickBot="1" x14ac:dyDescent="0.35">
      <c r="B35" s="1394" t="s">
        <v>724</v>
      </c>
      <c r="C35" s="1394"/>
      <c r="D35" s="1394"/>
      <c r="E35" s="1394"/>
      <c r="F35" s="1394"/>
      <c r="G35" s="882"/>
      <c r="H35" s="882"/>
      <c r="I35" s="889"/>
      <c r="J35" s="889"/>
      <c r="K35" s="889"/>
      <c r="L35" s="889"/>
      <c r="R35" s="163" t="s">
        <v>261</v>
      </c>
      <c r="S35" s="1144">
        <f>$L$5</f>
        <v>0</v>
      </c>
      <c r="T35" s="1144">
        <f>SUM(L6:L20)</f>
        <v>115.15795829630852</v>
      </c>
      <c r="U35" s="1144">
        <f>S35+T35+V35</f>
        <v>115.73465060400083</v>
      </c>
      <c r="V35" s="1203">
        <f>SUM(L37)</f>
        <v>0.57669230769230762</v>
      </c>
    </row>
    <row r="36" spans="2:23" ht="14.25" customHeight="1" x14ac:dyDescent="0.3">
      <c r="B36" s="860" t="s">
        <v>253</v>
      </c>
      <c r="C36" s="860" t="s">
        <v>329</v>
      </c>
      <c r="D36" s="862" t="s">
        <v>671</v>
      </c>
      <c r="E36" s="859" t="s">
        <v>672</v>
      </c>
      <c r="F36" s="862" t="s">
        <v>673</v>
      </c>
      <c r="G36" s="882"/>
      <c r="H36" s="862" t="s">
        <v>673</v>
      </c>
      <c r="I36" s="862" t="s">
        <v>258</v>
      </c>
      <c r="J36" s="862" t="s">
        <v>259</v>
      </c>
      <c r="K36" s="862" t="s">
        <v>260</v>
      </c>
      <c r="L36" s="862" t="s">
        <v>261</v>
      </c>
    </row>
    <row r="37" spans="2:23" ht="14.25" customHeight="1" x14ac:dyDescent="0.3">
      <c r="B37" s="855" t="s">
        <v>746</v>
      </c>
      <c r="C37" s="856" t="s">
        <v>14</v>
      </c>
      <c r="D37" s="857">
        <v>7.0000000000000007E-2</v>
      </c>
      <c r="E37" s="855">
        <f>$AD$1</f>
        <v>119</v>
      </c>
      <c r="F37" s="855">
        <f>D37*E37</f>
        <v>8.33</v>
      </c>
      <c r="G37" s="881"/>
      <c r="H37" s="855">
        <f>F37</f>
        <v>8.33</v>
      </c>
      <c r="I37" s="855">
        <f>VLOOKUP(B37,All_Ingredients!$A$1:$F$151,6,FALSE())</f>
        <v>0.65</v>
      </c>
      <c r="J37" s="855">
        <f>VLOOKUP(B37,All_Ingredients!$A$1:$J$151,10,FALSE())</f>
        <v>45</v>
      </c>
      <c r="K37" s="855">
        <f>(H37/I37)/1000</f>
        <v>1.2815384615384614E-2</v>
      </c>
      <c r="L37" s="855">
        <f>K37*J37</f>
        <v>0.57669230769230762</v>
      </c>
    </row>
    <row r="38" spans="2:23" ht="14.25" customHeight="1" x14ac:dyDescent="0.3">
      <c r="B38"/>
      <c r="E38" s="100"/>
      <c r="F38" s="100"/>
    </row>
    <row r="39" spans="2:23" ht="14.25" customHeight="1" x14ac:dyDescent="0.3">
      <c r="B39"/>
    </row>
    <row r="40" spans="2:23" ht="14.25" customHeight="1" x14ac:dyDescent="0.3">
      <c r="B40"/>
      <c r="R40" s="165" t="s">
        <v>282</v>
      </c>
      <c r="S40" s="239">
        <v>0.64490000000000003</v>
      </c>
      <c r="T40" s="165" t="s">
        <v>283</v>
      </c>
      <c r="U40" s="239">
        <v>0.35510000000000003</v>
      </c>
      <c r="V40" s="168">
        <f>S40+U40</f>
        <v>1</v>
      </c>
    </row>
    <row r="41" spans="2:23" ht="14.25" customHeight="1" x14ac:dyDescent="0.3">
      <c r="U41" s="169"/>
    </row>
    <row r="42" spans="2:23" ht="14.25" customHeight="1" x14ac:dyDescent="0.3"/>
    <row r="43" spans="2:23" ht="14" customHeight="1" x14ac:dyDescent="0.3">
      <c r="Q43" s="170" t="s">
        <v>284</v>
      </c>
      <c r="R43" s="170" t="s">
        <v>285</v>
      </c>
      <c r="S43" s="170" t="s">
        <v>286</v>
      </c>
      <c r="T43" s="170" t="s">
        <v>287</v>
      </c>
      <c r="U43" s="170" t="s">
        <v>288</v>
      </c>
      <c r="V43" s="170" t="s">
        <v>289</v>
      </c>
      <c r="W43" s="258" t="s">
        <v>290</v>
      </c>
    </row>
    <row r="44" spans="2:23" ht="14" customHeight="1" x14ac:dyDescent="0.3">
      <c r="Q44" s="172">
        <v>43334</v>
      </c>
      <c r="R44" s="173">
        <f>D51</f>
        <v>10000</v>
      </c>
      <c r="S44" s="174">
        <v>1</v>
      </c>
      <c r="T44" s="174">
        <v>0</v>
      </c>
      <c r="U44" s="242">
        <f>R44*S44</f>
        <v>10000</v>
      </c>
      <c r="V44" s="176">
        <f>R44*T44</f>
        <v>0</v>
      </c>
      <c r="W44" s="260">
        <f>Q44-U44</f>
        <v>33334</v>
      </c>
    </row>
    <row r="50" spans="1:10" x14ac:dyDescent="0.3">
      <c r="B50" s="276"/>
      <c r="C50" s="145" t="s">
        <v>245</v>
      </c>
      <c r="D50" s="145" t="s">
        <v>291</v>
      </c>
      <c r="G50" s="145" t="s">
        <v>292</v>
      </c>
      <c r="H50" s="145" t="s">
        <v>245</v>
      </c>
      <c r="I50" s="145" t="s">
        <v>293</v>
      </c>
      <c r="J50" s="145" t="s">
        <v>294</v>
      </c>
    </row>
    <row r="51" spans="1:10" x14ac:dyDescent="0.3">
      <c r="B51" s="180" t="s">
        <v>295</v>
      </c>
      <c r="C51" s="181">
        <f>10/$K$1</f>
        <v>10</v>
      </c>
      <c r="D51" s="182">
        <f>$C$1*10</f>
        <v>10000</v>
      </c>
      <c r="G51" s="180" t="s">
        <v>295</v>
      </c>
      <c r="H51" s="277">
        <f>I51/$D$5</f>
        <v>10</v>
      </c>
      <c r="I51" s="181">
        <f>J51/$R$1</f>
        <v>50506.060606060601</v>
      </c>
      <c r="J51" s="181">
        <f>$W$44</f>
        <v>33334</v>
      </c>
    </row>
    <row r="52" spans="1:10" x14ac:dyDescent="0.3">
      <c r="B52" s="231" t="s">
        <v>274</v>
      </c>
      <c r="C52" s="232">
        <f>$I$1</f>
        <v>6.0828630000000006</v>
      </c>
      <c r="D52" s="233">
        <f>$E$1</f>
        <v>6082.8630000000003</v>
      </c>
      <c r="G52" s="148" t="s">
        <v>274</v>
      </c>
      <c r="H52" s="210">
        <f>I52/$D$5</f>
        <v>3.3140748185036304</v>
      </c>
      <c r="I52" s="176">
        <f>J52/$R$1</f>
        <v>16738.086363636365</v>
      </c>
      <c r="J52" s="184">
        <f>$S$32</f>
        <v>11047.137000000001</v>
      </c>
    </row>
    <row r="53" spans="1:10" x14ac:dyDescent="0.3">
      <c r="B53" s="231" t="s">
        <v>296</v>
      </c>
      <c r="C53" s="234">
        <f>MIN(C52, C51)</f>
        <v>6.0828630000000006</v>
      </c>
      <c r="D53" s="233">
        <f>(C53*$K$1)*$C$1</f>
        <v>6082.8630000000003</v>
      </c>
      <c r="G53" s="148" t="s">
        <v>296</v>
      </c>
      <c r="H53" s="187">
        <f>MIN(H52,H51)</f>
        <v>3.3140748185036304</v>
      </c>
      <c r="I53" s="176">
        <f>J53/$R$1</f>
        <v>16738.086363636365</v>
      </c>
      <c r="J53" s="176">
        <f>MIN(J52,J51)</f>
        <v>11047.137000000001</v>
      </c>
    </row>
    <row r="54" spans="1:10" x14ac:dyDescent="0.3">
      <c r="B54" s="231" t="s">
        <v>297</v>
      </c>
      <c r="C54" s="234">
        <f>MIN(MAX(C52-C53,0),C51)</f>
        <v>0</v>
      </c>
      <c r="D54" s="233">
        <f>(C54*$K$1)*$C$1</f>
        <v>0</v>
      </c>
      <c r="G54" s="148" t="s">
        <v>297</v>
      </c>
      <c r="H54" s="187">
        <f>MIN(MAX(H52-H53),H51)</f>
        <v>0</v>
      </c>
      <c r="I54" s="176">
        <f>J54/$R$1</f>
        <v>0</v>
      </c>
      <c r="J54" s="176">
        <f>MIN(MAX(J52-J53),J51)</f>
        <v>0</v>
      </c>
    </row>
    <row r="55" spans="1:10" x14ac:dyDescent="0.3">
      <c r="B55" s="231" t="s">
        <v>298</v>
      </c>
      <c r="C55" s="234">
        <f>MIN(MAX(C52-C53-C54,0),C51)</f>
        <v>0</v>
      </c>
      <c r="D55" s="233">
        <f>(C55*$K$1)*$C$1</f>
        <v>0</v>
      </c>
      <c r="G55" s="145" t="s">
        <v>298</v>
      </c>
      <c r="H55" s="187">
        <f>MIN(MAX(H52-H53-H54),H51)</f>
        <v>0</v>
      </c>
      <c r="I55" s="176">
        <f>J55/$R$1</f>
        <v>0</v>
      </c>
      <c r="J55" s="176">
        <f>MIN(MAX(J52-J53-J54),J51)</f>
        <v>0</v>
      </c>
    </row>
    <row r="62" spans="1:10" ht="14.25" customHeight="1" x14ac:dyDescent="0.3">
      <c r="A62" s="937"/>
      <c r="B62" s="1382" t="str">
        <f>"لحم بولونيز    1 / " &amp; COUNTIF($C$53:$C$55, "&gt;0")</f>
        <v>لحم بولونيز    1 / 1</v>
      </c>
      <c r="C62" s="1383"/>
      <c r="D62" s="1383"/>
      <c r="E62" s="1383"/>
      <c r="F62" s="1383"/>
      <c r="G62" s="1383"/>
      <c r="H62" s="1383"/>
    </row>
    <row r="63" spans="1:10" x14ac:dyDescent="0.3">
      <c r="A63" s="937"/>
      <c r="B63" s="1384" t="str">
        <f>"Lahm Bolognese  1 / " &amp; COUNTIF($C$53:$C$55, "&gt;0")</f>
        <v>Lahm Bolognese  1 / 1</v>
      </c>
      <c r="C63" s="1385"/>
      <c r="D63" s="1385"/>
      <c r="E63" s="1385"/>
      <c r="F63" s="1385"/>
      <c r="G63" s="1385"/>
      <c r="H63" s="1385"/>
    </row>
    <row r="64" spans="1:10" ht="47.75" customHeight="1" x14ac:dyDescent="0.25">
      <c r="A64" s="91"/>
      <c r="B64" s="91" t="s">
        <v>253</v>
      </c>
      <c r="C64" s="107" t="s">
        <v>254</v>
      </c>
      <c r="D64" s="91" t="s">
        <v>243</v>
      </c>
      <c r="E64" s="218" t="s">
        <v>246</v>
      </c>
      <c r="F64" s="108" t="s">
        <v>255</v>
      </c>
      <c r="G64" s="91" t="s">
        <v>256</v>
      </c>
      <c r="H64" s="218" t="s">
        <v>257</v>
      </c>
    </row>
    <row r="65" spans="1:8" ht="17.75" customHeight="1" x14ac:dyDescent="0.25">
      <c r="A65" s="219" t="s">
        <v>230</v>
      </c>
      <c r="B65" s="323" t="str">
        <f t="shared" ref="B65:D80" si="7">B5</f>
        <v>Indian Meat Tammam Mafroom - مفروم هندى</v>
      </c>
      <c r="C65" s="124" t="str">
        <f t="shared" si="7"/>
        <v>gm</v>
      </c>
      <c r="D65" s="223">
        <f t="shared" si="7"/>
        <v>5050.6060606060601</v>
      </c>
      <c r="E65" s="126">
        <f>H53</f>
        <v>3.3140748185036304</v>
      </c>
      <c r="F65" s="127">
        <f t="shared" ref="F65:F80" si="8">F5</f>
        <v>1</v>
      </c>
      <c r="G65" s="119">
        <f t="shared" ref="G65:G80" si="9">D65*E65</f>
        <v>16738.086363636365</v>
      </c>
      <c r="H65" s="120">
        <f t="shared" ref="H65:H80" si="10">G65*F65</f>
        <v>16738.086363636365</v>
      </c>
    </row>
    <row r="66" spans="1:8" x14ac:dyDescent="0.3">
      <c r="A66" s="128" t="s">
        <v>13</v>
      </c>
      <c r="B66" s="323" t="str">
        <f t="shared" si="7"/>
        <v>Onion - بصل</v>
      </c>
      <c r="C66" s="124" t="str">
        <f t="shared" si="7"/>
        <v>gm</v>
      </c>
      <c r="D66" s="125">
        <f t="shared" si="7"/>
        <v>300</v>
      </c>
      <c r="E66" s="126">
        <f>$C$53</f>
        <v>6.0828630000000006</v>
      </c>
      <c r="F66" s="127">
        <f t="shared" si="8"/>
        <v>0.95</v>
      </c>
      <c r="G66" s="119">
        <f t="shared" si="9"/>
        <v>1824.8589000000002</v>
      </c>
      <c r="H66" s="120">
        <f t="shared" si="10"/>
        <v>1733.615955</v>
      </c>
    </row>
    <row r="67" spans="1:8" ht="14.25" customHeight="1" x14ac:dyDescent="0.3">
      <c r="A67" s="128" t="s">
        <v>13</v>
      </c>
      <c r="B67" s="323" t="str">
        <f t="shared" si="7"/>
        <v>Garlic - ثوم مقشر</v>
      </c>
      <c r="C67" s="124" t="str">
        <f t="shared" si="7"/>
        <v>gm</v>
      </c>
      <c r="D67" s="125">
        <f t="shared" si="7"/>
        <v>25</v>
      </c>
      <c r="E67" s="126">
        <f t="shared" ref="E67:E80" si="11">$C$53</f>
        <v>6.0828630000000006</v>
      </c>
      <c r="F67" s="127">
        <f t="shared" si="8"/>
        <v>0.95</v>
      </c>
      <c r="G67" s="119">
        <f t="shared" si="9"/>
        <v>152.07157500000002</v>
      </c>
      <c r="H67" s="120">
        <f t="shared" si="10"/>
        <v>144.46799625000003</v>
      </c>
    </row>
    <row r="68" spans="1:8" ht="14.25" customHeight="1" x14ac:dyDescent="0.3">
      <c r="A68" s="128" t="s">
        <v>13</v>
      </c>
      <c r="B68" s="323" t="str">
        <f t="shared" si="7"/>
        <v>Tomato - طماطم</v>
      </c>
      <c r="C68" s="124" t="str">
        <f t="shared" si="7"/>
        <v>gm</v>
      </c>
      <c r="D68" s="125">
        <f t="shared" si="7"/>
        <v>600</v>
      </c>
      <c r="E68" s="126">
        <f t="shared" si="11"/>
        <v>6.0828630000000006</v>
      </c>
      <c r="F68" s="127">
        <f t="shared" si="8"/>
        <v>1</v>
      </c>
      <c r="G68" s="119">
        <f t="shared" si="9"/>
        <v>3649.7178000000004</v>
      </c>
      <c r="H68" s="120">
        <f t="shared" si="10"/>
        <v>3649.7178000000004</v>
      </c>
    </row>
    <row r="69" spans="1:8" ht="14.25" customHeight="1" x14ac:dyDescent="0.3">
      <c r="A69" s="128" t="s">
        <v>196</v>
      </c>
      <c r="B69" s="323" t="str">
        <f t="shared" si="7"/>
        <v>Tomato Paste - صلصة طماطم</v>
      </c>
      <c r="C69" s="124" t="str">
        <f t="shared" si="7"/>
        <v>gm</v>
      </c>
      <c r="D69" s="125">
        <f t="shared" si="7"/>
        <v>500</v>
      </c>
      <c r="E69" s="126">
        <f t="shared" si="11"/>
        <v>6.0828630000000006</v>
      </c>
      <c r="F69" s="127">
        <f t="shared" si="8"/>
        <v>1</v>
      </c>
      <c r="G69" s="119">
        <f t="shared" si="9"/>
        <v>3041.4315000000001</v>
      </c>
      <c r="H69" s="120">
        <f t="shared" si="10"/>
        <v>3041.4315000000001</v>
      </c>
    </row>
    <row r="70" spans="1:8" ht="14.25" customHeight="1" x14ac:dyDescent="0.3">
      <c r="A70" s="128" t="s">
        <v>97</v>
      </c>
      <c r="B70" s="323" t="str">
        <f t="shared" si="7"/>
        <v>Black Pepper Powder - فلفل أسود مطحون</v>
      </c>
      <c r="C70" s="124" t="str">
        <f t="shared" si="7"/>
        <v>gm</v>
      </c>
      <c r="D70" s="125">
        <f t="shared" si="7"/>
        <v>10</v>
      </c>
      <c r="E70" s="126">
        <f t="shared" si="11"/>
        <v>6.0828630000000006</v>
      </c>
      <c r="F70" s="127">
        <f t="shared" si="8"/>
        <v>0.75</v>
      </c>
      <c r="G70" s="119">
        <f t="shared" si="9"/>
        <v>60.828630000000004</v>
      </c>
      <c r="H70" s="120">
        <f t="shared" si="10"/>
        <v>45.621472500000003</v>
      </c>
    </row>
    <row r="71" spans="1:8" ht="14.25" customHeight="1" x14ac:dyDescent="0.3">
      <c r="A71" s="128" t="s">
        <v>97</v>
      </c>
      <c r="B71" s="323" t="str">
        <f t="shared" si="7"/>
        <v>Cumin Powder - كمون مطحون</v>
      </c>
      <c r="C71" s="124" t="str">
        <f t="shared" si="7"/>
        <v>gm</v>
      </c>
      <c r="D71" s="125">
        <f t="shared" si="7"/>
        <v>20</v>
      </c>
      <c r="E71" s="126">
        <f t="shared" si="11"/>
        <v>6.0828630000000006</v>
      </c>
      <c r="F71" s="127">
        <f t="shared" si="8"/>
        <v>1</v>
      </c>
      <c r="G71" s="119">
        <f t="shared" si="9"/>
        <v>121.65726000000001</v>
      </c>
      <c r="H71" s="120">
        <f t="shared" si="10"/>
        <v>121.65726000000001</v>
      </c>
    </row>
    <row r="72" spans="1:8" ht="14.25" customHeight="1" x14ac:dyDescent="0.3">
      <c r="A72" s="128" t="s">
        <v>97</v>
      </c>
      <c r="B72" s="323" t="str">
        <f t="shared" si="7"/>
        <v>Coriander Powder - كزبرة مطحونة</v>
      </c>
      <c r="C72" s="124" t="str">
        <f t="shared" si="7"/>
        <v>gm</v>
      </c>
      <c r="D72" s="125">
        <f t="shared" si="7"/>
        <v>20</v>
      </c>
      <c r="E72" s="126">
        <f t="shared" si="11"/>
        <v>6.0828630000000006</v>
      </c>
      <c r="F72" s="127">
        <f t="shared" si="8"/>
        <v>1</v>
      </c>
      <c r="G72" s="119">
        <f t="shared" si="9"/>
        <v>121.65726000000001</v>
      </c>
      <c r="H72" s="120">
        <f t="shared" si="10"/>
        <v>121.65726000000001</v>
      </c>
    </row>
    <row r="73" spans="1:8" ht="14.25" customHeight="1" x14ac:dyDescent="0.3">
      <c r="A73" s="128" t="s">
        <v>97</v>
      </c>
      <c r="B73" s="323" t="str">
        <f t="shared" si="7"/>
        <v>Cinnamon Powder - قرفة مطحونة</v>
      </c>
      <c r="C73" s="124" t="str">
        <f t="shared" si="7"/>
        <v>gm</v>
      </c>
      <c r="D73" s="125">
        <f t="shared" si="7"/>
        <v>10</v>
      </c>
      <c r="E73" s="126">
        <f t="shared" si="11"/>
        <v>6.0828630000000006</v>
      </c>
      <c r="F73" s="127">
        <f t="shared" si="8"/>
        <v>0.75</v>
      </c>
      <c r="G73" s="119">
        <f t="shared" si="9"/>
        <v>60.828630000000004</v>
      </c>
      <c r="H73" s="120">
        <f t="shared" si="10"/>
        <v>45.621472500000003</v>
      </c>
    </row>
    <row r="74" spans="1:8" ht="14.25" customHeight="1" x14ac:dyDescent="0.3">
      <c r="A74" s="128" t="s">
        <v>97</v>
      </c>
      <c r="B74" s="323" t="str">
        <f t="shared" si="7"/>
        <v>Maggi Cubes - مكعبات ماجي</v>
      </c>
      <c r="C74" s="124" t="str">
        <f t="shared" si="7"/>
        <v>gm</v>
      </c>
      <c r="D74" s="125">
        <f t="shared" si="7"/>
        <v>15</v>
      </c>
      <c r="E74" s="126">
        <f t="shared" si="11"/>
        <v>6.0828630000000006</v>
      </c>
      <c r="F74" s="127">
        <f t="shared" si="8"/>
        <v>0.75</v>
      </c>
      <c r="G74" s="119">
        <f t="shared" si="9"/>
        <v>91.242945000000006</v>
      </c>
      <c r="H74" s="120">
        <f t="shared" si="10"/>
        <v>68.432208750000001</v>
      </c>
    </row>
    <row r="75" spans="1:8" ht="14.25" customHeight="1" x14ac:dyDescent="0.3">
      <c r="A75" s="128" t="s">
        <v>97</v>
      </c>
      <c r="B75" s="323" t="str">
        <f t="shared" si="7"/>
        <v>Salt - ملح</v>
      </c>
      <c r="C75" s="124" t="str">
        <f t="shared" si="7"/>
        <v>gm</v>
      </c>
      <c r="D75" s="125">
        <f t="shared" si="7"/>
        <v>5</v>
      </c>
      <c r="E75" s="126">
        <f t="shared" si="11"/>
        <v>6.0828630000000006</v>
      </c>
      <c r="F75" s="127">
        <f t="shared" si="8"/>
        <v>0.75</v>
      </c>
      <c r="G75" s="119">
        <f t="shared" si="9"/>
        <v>30.414315000000002</v>
      </c>
      <c r="H75" s="120">
        <f t="shared" si="10"/>
        <v>22.810736250000001</v>
      </c>
    </row>
    <row r="76" spans="1:8" ht="14.25" customHeight="1" x14ac:dyDescent="0.3">
      <c r="A76" s="128" t="s">
        <v>83</v>
      </c>
      <c r="B76" s="323" t="str">
        <f t="shared" si="7"/>
        <v>Basil - ريحان</v>
      </c>
      <c r="C76" s="124" t="str">
        <f t="shared" si="7"/>
        <v>gm</v>
      </c>
      <c r="D76" s="125">
        <f t="shared" si="7"/>
        <v>5</v>
      </c>
      <c r="E76" s="126">
        <f t="shared" si="11"/>
        <v>6.0828630000000006</v>
      </c>
      <c r="F76" s="127">
        <f t="shared" si="8"/>
        <v>0.75</v>
      </c>
      <c r="G76" s="119">
        <f t="shared" si="9"/>
        <v>30.414315000000002</v>
      </c>
      <c r="H76" s="120">
        <f t="shared" si="10"/>
        <v>22.810736250000001</v>
      </c>
    </row>
    <row r="77" spans="1:8" ht="14.25" customHeight="1" x14ac:dyDescent="0.3">
      <c r="A77" s="128" t="s">
        <v>158</v>
      </c>
      <c r="B77" s="323" t="str">
        <f t="shared" si="7"/>
        <v>Parmesan Cheese Powder - بديل البارميزان</v>
      </c>
      <c r="C77" s="124" t="str">
        <f t="shared" si="7"/>
        <v>gm</v>
      </c>
      <c r="D77" s="125">
        <f t="shared" si="7"/>
        <v>100</v>
      </c>
      <c r="E77" s="126">
        <f t="shared" si="11"/>
        <v>6.0828630000000006</v>
      </c>
      <c r="F77" s="127">
        <f t="shared" si="8"/>
        <v>1</v>
      </c>
      <c r="G77" s="119">
        <f t="shared" si="9"/>
        <v>608.2863000000001</v>
      </c>
      <c r="H77" s="120">
        <f t="shared" si="10"/>
        <v>608.2863000000001</v>
      </c>
    </row>
    <row r="78" spans="1:8" ht="14.25" customHeight="1" x14ac:dyDescent="0.3">
      <c r="A78" s="128" t="s">
        <v>220</v>
      </c>
      <c r="B78" s="323" t="str">
        <f t="shared" si="7"/>
        <v>Orange Color - لون برتقالي</v>
      </c>
      <c r="C78" s="124" t="str">
        <f t="shared" si="7"/>
        <v>gm</v>
      </c>
      <c r="D78" s="125">
        <f t="shared" si="7"/>
        <v>1</v>
      </c>
      <c r="E78" s="126">
        <f t="shared" si="11"/>
        <v>6.0828630000000006</v>
      </c>
      <c r="F78" s="127">
        <f t="shared" si="8"/>
        <v>1</v>
      </c>
      <c r="G78" s="119">
        <f t="shared" si="9"/>
        <v>6.0828630000000006</v>
      </c>
      <c r="H78" s="120">
        <f t="shared" si="10"/>
        <v>6.0828630000000006</v>
      </c>
    </row>
    <row r="79" spans="1:8" ht="14.25" customHeight="1" x14ac:dyDescent="0.3">
      <c r="B79" s="323" t="str">
        <f t="shared" si="7"/>
        <v>Butter - زبدة</v>
      </c>
      <c r="C79" s="124" t="str">
        <f t="shared" si="7"/>
        <v>gm</v>
      </c>
      <c r="D79" s="125">
        <f t="shared" si="7"/>
        <v>40</v>
      </c>
      <c r="E79" s="126">
        <f t="shared" si="11"/>
        <v>6.0828630000000006</v>
      </c>
      <c r="F79" s="127">
        <f t="shared" si="8"/>
        <v>1</v>
      </c>
      <c r="G79" s="119">
        <f t="shared" si="9"/>
        <v>243.31452000000002</v>
      </c>
      <c r="H79" s="120">
        <f t="shared" si="10"/>
        <v>243.31452000000002</v>
      </c>
    </row>
    <row r="80" spans="1:8" ht="14.25" customHeight="1" x14ac:dyDescent="0.3">
      <c r="B80" s="323" t="str">
        <f t="shared" si="7"/>
        <v>Mozzarella Cheese - جبنة موتزاريلا</v>
      </c>
      <c r="C80" s="124" t="str">
        <f t="shared" si="7"/>
        <v>gm</v>
      </c>
      <c r="D80" s="125">
        <f t="shared" si="7"/>
        <v>100</v>
      </c>
      <c r="E80" s="126">
        <f t="shared" si="11"/>
        <v>6.0828630000000006</v>
      </c>
      <c r="F80" s="127">
        <f t="shared" si="8"/>
        <v>1</v>
      </c>
      <c r="G80" s="119">
        <f t="shared" si="9"/>
        <v>608.2863000000001</v>
      </c>
      <c r="H80" s="120">
        <f t="shared" si="10"/>
        <v>608.2863000000001</v>
      </c>
    </row>
    <row r="81" spans="1:8" ht="14.25" customHeight="1" x14ac:dyDescent="0.3">
      <c r="A81" s="211"/>
      <c r="B81" s="198" t="s">
        <v>299</v>
      </c>
      <c r="C81" s="200" t="s">
        <v>285</v>
      </c>
      <c r="E81" s="200" t="s">
        <v>300</v>
      </c>
      <c r="G81" s="890" t="s">
        <v>276</v>
      </c>
      <c r="H81" s="890" t="s">
        <v>733</v>
      </c>
    </row>
    <row r="82" spans="1:8" ht="26.75" customHeight="1" x14ac:dyDescent="0.4">
      <c r="A82" s="211"/>
      <c r="B82" s="199">
        <f>$J$53</f>
        <v>11047.137000000001</v>
      </c>
      <c r="C82" s="199">
        <f>E82+G82</f>
        <v>6082.8630000000003</v>
      </c>
      <c r="D82" s="930"/>
      <c r="E82" s="199">
        <f>$D$53*$S$44</f>
        <v>6082.8630000000003</v>
      </c>
      <c r="F82" s="934"/>
      <c r="G82" s="199">
        <f>$D$53*$T$44</f>
        <v>0</v>
      </c>
      <c r="H82" s="199">
        <f>B82+E82</f>
        <v>17130</v>
      </c>
    </row>
    <row r="83" spans="1:8" ht="20.25" customHeight="1" x14ac:dyDescent="0.3"/>
  </sheetData>
  <mergeCells count="7">
    <mergeCell ref="AE2:AG3"/>
    <mergeCell ref="B63:H63"/>
    <mergeCell ref="R26:U26"/>
    <mergeCell ref="R25:U25"/>
    <mergeCell ref="B62:H62"/>
    <mergeCell ref="B2:K3"/>
    <mergeCell ref="B35:F35"/>
  </mergeCells>
  <printOptions horizontalCentered="1"/>
  <pageMargins left="0.5" right="0.5" top="1" bottom="0.5" header="0.3" footer="0.511811023622047"/>
  <pageSetup paperSize="9" scale="32" orientation="portrait" r:id="rId1"/>
  <legacy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4">
    <tabColor rgb="FFC55A11"/>
    <pageSetUpPr fitToPage="1"/>
  </sheetPr>
  <dimension ref="A1:AG171"/>
  <sheetViews>
    <sheetView topLeftCell="L9" zoomScaleNormal="100" workbookViewId="0">
      <selection activeCell="Q21" sqref="Q21"/>
    </sheetView>
  </sheetViews>
  <sheetFormatPr defaultColWidth="12.5" defaultRowHeight="14" x14ac:dyDescent="0.3"/>
  <cols>
    <col min="1" max="1" width="12.5" style="79" customWidth="1"/>
    <col min="2" max="2" width="32"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9" width="10.5" style="14" customWidth="1"/>
    <col min="10" max="10" width="23.25" style="14" customWidth="1"/>
    <col min="11" max="11" width="10.5" style="14" customWidth="1"/>
    <col min="12" max="12" width="11.6640625" style="14" customWidth="1"/>
    <col min="13" max="14" width="7.9140625" style="14" customWidth="1"/>
    <col min="15" max="17" width="12.5" style="14" customWidth="1"/>
    <col min="18" max="18" width="31.4140625" style="14" bestFit="1" customWidth="1"/>
    <col min="19" max="19" width="12.5" style="14" customWidth="1"/>
    <col min="20" max="16384" width="12.5" style="14"/>
  </cols>
  <sheetData>
    <row r="1" spans="1:33" ht="35.25" customHeight="1" x14ac:dyDescent="0.3">
      <c r="B1" s="80" t="s">
        <v>243</v>
      </c>
      <c r="C1" s="81">
        <v>1000</v>
      </c>
      <c r="D1" s="82" t="s">
        <v>244</v>
      </c>
      <c r="E1" s="117">
        <f>T32</f>
        <v>63288.112201963537</v>
      </c>
      <c r="F1" s="80" t="s">
        <v>245</v>
      </c>
      <c r="G1" s="81">
        <f>E1/C1</f>
        <v>63.288112201963536</v>
      </c>
      <c r="H1" s="80" t="s">
        <v>246</v>
      </c>
      <c r="I1" s="283">
        <f>G1/K1</f>
        <v>63.288112201963536</v>
      </c>
      <c r="J1" s="86" t="s">
        <v>247</v>
      </c>
      <c r="K1" s="100">
        <v>1</v>
      </c>
      <c r="L1" s="100"/>
      <c r="M1" s="89"/>
      <c r="N1" s="90"/>
      <c r="O1" s="91" t="s">
        <v>248</v>
      </c>
      <c r="P1" s="92" t="s">
        <v>301</v>
      </c>
      <c r="Q1" s="93" t="s">
        <v>250</v>
      </c>
      <c r="R1" s="92">
        <v>0.51</v>
      </c>
      <c r="Y1" s="91" t="s">
        <v>479</v>
      </c>
      <c r="Z1" s="847">
        <v>141600</v>
      </c>
      <c r="AA1" s="91" t="s">
        <v>600</v>
      </c>
      <c r="AB1" s="847">
        <v>1000</v>
      </c>
      <c r="AC1" s="91" t="s">
        <v>587</v>
      </c>
      <c r="AD1" s="847">
        <v>452</v>
      </c>
    </row>
    <row r="2" spans="1:33" ht="12.75" customHeight="1" x14ac:dyDescent="0.3">
      <c r="A2" s="97"/>
      <c r="B2" s="1408" t="s">
        <v>475</v>
      </c>
      <c r="C2" s="1429"/>
      <c r="D2" s="1429"/>
      <c r="E2" s="1429"/>
      <c r="F2" s="1429"/>
      <c r="G2" s="1429"/>
      <c r="H2" s="1429"/>
      <c r="I2" s="552"/>
      <c r="J2" s="552"/>
      <c r="K2" s="553"/>
      <c r="L2" s="293"/>
      <c r="M2" s="100"/>
      <c r="N2" s="100"/>
      <c r="O2" s="100"/>
      <c r="P2" s="100"/>
      <c r="Q2" s="100"/>
      <c r="R2" s="100"/>
      <c r="AE2" s="1417"/>
      <c r="AF2" s="1389"/>
      <c r="AG2" s="1389"/>
    </row>
    <row r="3" spans="1:33" ht="12.75" customHeight="1" x14ac:dyDescent="0.3">
      <c r="A3" s="97"/>
      <c r="B3" s="1388"/>
      <c r="C3" s="1388"/>
      <c r="D3" s="1388"/>
      <c r="E3" s="1388"/>
      <c r="F3" s="1388"/>
      <c r="G3" s="1388"/>
      <c r="H3" s="1388"/>
      <c r="I3" s="370"/>
      <c r="J3" s="370"/>
      <c r="K3" s="504"/>
      <c r="L3" s="293"/>
      <c r="M3" s="100"/>
      <c r="N3" s="100"/>
      <c r="O3" s="100"/>
      <c r="P3" s="100"/>
      <c r="Q3" s="100"/>
      <c r="R3" s="100"/>
      <c r="AE3" s="1389"/>
      <c r="AF3" s="1389"/>
      <c r="AG3" s="1389"/>
    </row>
    <row r="4" spans="1:33" ht="47.75" customHeight="1" x14ac:dyDescent="0.25">
      <c r="A4" s="91" t="s">
        <v>1</v>
      </c>
      <c r="B4" s="91" t="s">
        <v>253</v>
      </c>
      <c r="C4" s="107" t="s">
        <v>254</v>
      </c>
      <c r="D4" s="91" t="s">
        <v>243</v>
      </c>
      <c r="E4" s="218" t="s">
        <v>246</v>
      </c>
      <c r="F4" s="108" t="s">
        <v>255</v>
      </c>
      <c r="G4" s="91" t="s">
        <v>256</v>
      </c>
      <c r="H4" s="218" t="s">
        <v>257</v>
      </c>
      <c r="I4" s="91" t="s">
        <v>258</v>
      </c>
      <c r="J4" s="91" t="s">
        <v>259</v>
      </c>
      <c r="K4" s="91" t="s">
        <v>260</v>
      </c>
      <c r="L4" s="91" t="s">
        <v>261</v>
      </c>
      <c r="M4" s="100"/>
      <c r="N4" s="100"/>
      <c r="O4" s="100"/>
      <c r="P4" s="100"/>
    </row>
    <row r="5" spans="1:33" ht="14.25" customHeight="1" x14ac:dyDescent="0.25">
      <c r="A5" s="554"/>
      <c r="B5" s="22" t="s">
        <v>476</v>
      </c>
      <c r="C5" s="124" t="s">
        <v>14</v>
      </c>
      <c r="D5" s="125">
        <v>154</v>
      </c>
      <c r="E5" s="197">
        <f t="shared" ref="E5:E13" si="0">$G$1</f>
        <v>63.288112201963536</v>
      </c>
      <c r="F5" s="127">
        <v>1</v>
      </c>
      <c r="G5" s="121">
        <f t="shared" ref="G5:G13" si="1">D5*E5</f>
        <v>9746.3692791023841</v>
      </c>
      <c r="H5" s="120">
        <f t="shared" ref="H5:H13" si="2">G5*F5</f>
        <v>9746.3692791023841</v>
      </c>
      <c r="I5" s="81">
        <f>VLOOKUP(B5,All_Ingredients!$A$1:$F$151,6,FALSE())</f>
        <v>1</v>
      </c>
      <c r="J5" s="119">
        <f>VLOOKUP(B5,All_Ingredients!$A$1:$J$151,10,FALSE())</f>
        <v>30.2863436123348</v>
      </c>
      <c r="K5" s="122">
        <f t="shared" ref="K5" si="3">(H5/I5)/1000</f>
        <v>9.7463692791023835</v>
      </c>
      <c r="L5" s="122">
        <f t="shared" ref="L5" si="4">K5*J5</f>
        <v>295.18188895959861</v>
      </c>
      <c r="M5" s="100"/>
      <c r="N5" s="100"/>
      <c r="O5" s="100"/>
      <c r="P5" s="100"/>
    </row>
    <row r="6" spans="1:33" ht="14.25" customHeight="1" x14ac:dyDescent="0.3">
      <c r="A6" s="128" t="s">
        <v>158</v>
      </c>
      <c r="B6" s="22" t="s">
        <v>164</v>
      </c>
      <c r="C6" s="124" t="s">
        <v>14</v>
      </c>
      <c r="D6" s="125">
        <v>212</v>
      </c>
      <c r="E6" s="197">
        <f t="shared" si="0"/>
        <v>63.288112201963536</v>
      </c>
      <c r="F6" s="127">
        <v>1</v>
      </c>
      <c r="G6" s="119">
        <f t="shared" si="1"/>
        <v>13417.07978681627</v>
      </c>
      <c r="H6" s="120">
        <f t="shared" si="2"/>
        <v>13417.07978681627</v>
      </c>
      <c r="I6" s="81">
        <f>VLOOKUP(B6,All_Ingredients!$A$1:$F$151,6,FALSE())</f>
        <v>1</v>
      </c>
      <c r="J6" s="119">
        <f>VLOOKUP(B6,All_Ingredients!$A$1:$J$151,10,FALSE())</f>
        <v>4.2033333333333331</v>
      </c>
      <c r="K6" s="122">
        <f t="shared" ref="K6:K13" si="5">(H6/I6)/1000</f>
        <v>13.41707978681627</v>
      </c>
      <c r="L6" s="122">
        <f t="shared" ref="L6:L13" si="6">K6*J6</f>
        <v>56.396458703917716</v>
      </c>
    </row>
    <row r="7" spans="1:33" ht="14.25" customHeight="1" x14ac:dyDescent="0.3">
      <c r="A7" s="128" t="s">
        <v>158</v>
      </c>
      <c r="B7" s="22" t="s">
        <v>171</v>
      </c>
      <c r="C7" s="124" t="s">
        <v>165</v>
      </c>
      <c r="D7" s="125">
        <v>212</v>
      </c>
      <c r="E7" s="223">
        <f t="shared" si="0"/>
        <v>63.288112201963536</v>
      </c>
      <c r="F7" s="127">
        <v>1</v>
      </c>
      <c r="G7" s="119">
        <f t="shared" si="1"/>
        <v>13417.07978681627</v>
      </c>
      <c r="H7" s="120">
        <f t="shared" si="2"/>
        <v>13417.07978681627</v>
      </c>
      <c r="I7" s="81">
        <f>VLOOKUP(B7,All_Ingredients!$A$1:$F$151,6,FALSE())</f>
        <v>1</v>
      </c>
      <c r="J7" s="119">
        <f>VLOOKUP(B7,All_Ingredients!$A$1:$J$151,10,FALSE())</f>
        <v>12.666666666666666</v>
      </c>
      <c r="K7" s="122">
        <f t="shared" si="5"/>
        <v>13.41707978681627</v>
      </c>
      <c r="L7" s="122">
        <f t="shared" si="6"/>
        <v>169.94967729967274</v>
      </c>
    </row>
    <row r="8" spans="1:33" ht="14.25" customHeight="1" x14ac:dyDescent="0.3">
      <c r="A8" s="128" t="s">
        <v>158</v>
      </c>
      <c r="B8" s="22" t="s">
        <v>157</v>
      </c>
      <c r="C8" s="124" t="s">
        <v>14</v>
      </c>
      <c r="D8" s="125">
        <v>9.3000000000000007</v>
      </c>
      <c r="E8" s="223">
        <f t="shared" si="0"/>
        <v>63.288112201963536</v>
      </c>
      <c r="F8" s="127">
        <v>1</v>
      </c>
      <c r="G8" s="121">
        <f t="shared" si="1"/>
        <v>588.57944347826094</v>
      </c>
      <c r="H8" s="120">
        <f t="shared" si="2"/>
        <v>588.57944347826094</v>
      </c>
      <c r="I8" s="81">
        <f>VLOOKUP(B8,All_Ingredients!$A$1:$F$151,6,FALSE())</f>
        <v>1</v>
      </c>
      <c r="J8" s="119">
        <f>VLOOKUP(B8,All_Ingredients!$A$1:$J$151,10,FALSE())</f>
        <v>30</v>
      </c>
      <c r="K8" s="122">
        <f t="shared" si="5"/>
        <v>0.58857944347826097</v>
      </c>
      <c r="L8" s="122">
        <f t="shared" si="6"/>
        <v>17.657383304347828</v>
      </c>
    </row>
    <row r="9" spans="1:33" ht="14.25" customHeight="1" x14ac:dyDescent="0.3">
      <c r="A9" s="128" t="s">
        <v>192</v>
      </c>
      <c r="B9" s="22" t="s">
        <v>191</v>
      </c>
      <c r="C9" s="124" t="s">
        <v>14</v>
      </c>
      <c r="D9" s="125">
        <v>33</v>
      </c>
      <c r="E9" s="223">
        <f t="shared" si="0"/>
        <v>63.288112201963536</v>
      </c>
      <c r="F9" s="127">
        <v>1</v>
      </c>
      <c r="G9" s="121">
        <f t="shared" si="1"/>
        <v>2088.5077026647969</v>
      </c>
      <c r="H9" s="120">
        <f t="shared" si="2"/>
        <v>2088.5077026647969</v>
      </c>
      <c r="I9" s="81">
        <f>VLOOKUP(B9,All_Ingredients!$A$1:$F$151,6,FALSE())</f>
        <v>1</v>
      </c>
      <c r="J9" s="119">
        <f>VLOOKUP(B9,All_Ingredients!$A$1:$J$151,10,FALSE())</f>
        <v>1.7</v>
      </c>
      <c r="K9" s="122">
        <f t="shared" si="5"/>
        <v>2.0885077026647969</v>
      </c>
      <c r="L9" s="122">
        <f t="shared" si="6"/>
        <v>3.5504630945301545</v>
      </c>
    </row>
    <row r="10" spans="1:33" ht="14.25" customHeight="1" x14ac:dyDescent="0.3">
      <c r="A10" s="128" t="s">
        <v>97</v>
      </c>
      <c r="B10" s="22" t="s">
        <v>144</v>
      </c>
      <c r="C10" s="124" t="s">
        <v>14</v>
      </c>
      <c r="D10" s="125">
        <v>18.600000000000001</v>
      </c>
      <c r="E10" s="223">
        <f t="shared" si="0"/>
        <v>63.288112201963536</v>
      </c>
      <c r="F10" s="127">
        <v>1</v>
      </c>
      <c r="G10" s="121">
        <f t="shared" si="1"/>
        <v>1177.1588869565219</v>
      </c>
      <c r="H10" s="120">
        <f t="shared" si="2"/>
        <v>1177.1588869565219</v>
      </c>
      <c r="I10" s="81">
        <f>VLOOKUP(B10,All_Ingredients!$A$1:$F$151,6,FALSE())</f>
        <v>1</v>
      </c>
      <c r="J10" s="119">
        <f>VLOOKUP(B10,All_Ingredients!$A$1:$J$151,10,FALSE())</f>
        <v>15.277777777777779</v>
      </c>
      <c r="K10" s="122">
        <f t="shared" si="5"/>
        <v>1.1771588869565219</v>
      </c>
      <c r="L10" s="122">
        <f t="shared" si="6"/>
        <v>17.984371884057975</v>
      </c>
    </row>
    <row r="11" spans="1:33" ht="14.25" customHeight="1" x14ac:dyDescent="0.3">
      <c r="A11" s="128" t="s">
        <v>97</v>
      </c>
      <c r="B11" s="22" t="s">
        <v>104</v>
      </c>
      <c r="C11" s="124" t="s">
        <v>14</v>
      </c>
      <c r="D11" s="197">
        <v>0.6</v>
      </c>
      <c r="E11" s="223">
        <f t="shared" si="0"/>
        <v>63.288112201963536</v>
      </c>
      <c r="F11" s="127">
        <v>1</v>
      </c>
      <c r="G11" s="121">
        <f t="shared" si="1"/>
        <v>37.972867321178121</v>
      </c>
      <c r="H11" s="120">
        <f t="shared" si="2"/>
        <v>37.972867321178121</v>
      </c>
      <c r="I11" s="81">
        <f>VLOOKUP(B11,All_Ingredients!$A$1:$F$151,6,FALSE())</f>
        <v>1</v>
      </c>
      <c r="J11" s="119">
        <f>VLOOKUP(B11,All_Ingredients!$A$1:$J$151,10,FALSE())</f>
        <v>47</v>
      </c>
      <c r="K11" s="122">
        <f t="shared" si="5"/>
        <v>3.7972867321178119E-2</v>
      </c>
      <c r="L11" s="122">
        <f t="shared" si="6"/>
        <v>1.7847247640953716</v>
      </c>
      <c r="R11" s="100"/>
    </row>
    <row r="12" spans="1:33" ht="15" customHeight="1" x14ac:dyDescent="0.3">
      <c r="A12" s="128" t="s">
        <v>97</v>
      </c>
      <c r="B12" s="22" t="s">
        <v>96</v>
      </c>
      <c r="C12" s="124" t="s">
        <v>14</v>
      </c>
      <c r="D12" s="125">
        <v>5</v>
      </c>
      <c r="E12" s="223">
        <f t="shared" si="0"/>
        <v>63.288112201963536</v>
      </c>
      <c r="F12" s="127">
        <v>1</v>
      </c>
      <c r="G12" s="121">
        <f t="shared" si="1"/>
        <v>316.44056100981766</v>
      </c>
      <c r="H12" s="120">
        <f t="shared" si="2"/>
        <v>316.44056100981766</v>
      </c>
      <c r="I12" s="81">
        <f>VLOOKUP(B12,All_Ingredients!$A$1:$F$151,6,FALSE())</f>
        <v>1</v>
      </c>
      <c r="J12" s="119">
        <f>VLOOKUP(B12,All_Ingredients!$A$1:$J$151,10,FALSE())</f>
        <v>0.74</v>
      </c>
      <c r="K12" s="122">
        <f t="shared" si="5"/>
        <v>0.31644056100981766</v>
      </c>
      <c r="L12" s="122">
        <f t="shared" si="6"/>
        <v>0.23416601514726507</v>
      </c>
      <c r="R12" s="100"/>
    </row>
    <row r="13" spans="1:33" ht="14.25" customHeight="1" x14ac:dyDescent="0.3">
      <c r="A13" s="555" t="s">
        <v>158</v>
      </c>
      <c r="B13" s="22" t="s">
        <v>178</v>
      </c>
      <c r="C13" s="124" t="s">
        <v>14</v>
      </c>
      <c r="D13" s="115">
        <v>310</v>
      </c>
      <c r="E13" s="223">
        <f t="shared" si="0"/>
        <v>63.288112201963536</v>
      </c>
      <c r="F13" s="127">
        <v>1</v>
      </c>
      <c r="G13" s="121">
        <f t="shared" si="1"/>
        <v>19619.314782608697</v>
      </c>
      <c r="H13" s="120">
        <f t="shared" si="2"/>
        <v>19619.314782608697</v>
      </c>
      <c r="I13" s="81">
        <f>VLOOKUP(B13,All_Ingredients!$A$1:$F$151,6,FALSE())</f>
        <v>1</v>
      </c>
      <c r="J13" s="119">
        <f>VLOOKUP(B13,All_Ingredients!$A$1:$J$151,10,FALSE())</f>
        <v>17.934782608695652</v>
      </c>
      <c r="K13" s="122">
        <f t="shared" si="5"/>
        <v>19.619314782608697</v>
      </c>
      <c r="L13" s="122">
        <f t="shared" si="6"/>
        <v>351.86814555765596</v>
      </c>
      <c r="P13" s="100"/>
      <c r="R13" s="559"/>
    </row>
    <row r="14" spans="1:33" ht="14.25" customHeight="1" x14ac:dyDescent="0.3">
      <c r="R14" s="328"/>
      <c r="S14" s="560"/>
      <c r="T14" s="559"/>
    </row>
    <row r="15" spans="1:33" ht="14.25" customHeight="1" x14ac:dyDescent="0.3">
      <c r="G15" s="556"/>
      <c r="R15" s="100"/>
      <c r="S15" s="560"/>
      <c r="T15" s="559"/>
    </row>
    <row r="16" spans="1:33" ht="14.25" customHeight="1" x14ac:dyDescent="0.3">
      <c r="H16" s="557"/>
      <c r="R16" s="100"/>
      <c r="S16" s="560"/>
      <c r="T16" s="559"/>
    </row>
    <row r="17" spans="2:29" ht="14.25" customHeight="1" x14ac:dyDescent="0.3">
      <c r="H17" s="557"/>
      <c r="R17" s="100"/>
      <c r="S17" s="560"/>
      <c r="T17" s="559"/>
    </row>
    <row r="18" spans="2:29" ht="14.25" customHeight="1" x14ac:dyDescent="0.3">
      <c r="H18" s="557"/>
      <c r="R18" s="100"/>
      <c r="S18" s="560"/>
      <c r="T18" s="559"/>
    </row>
    <row r="19" spans="2:29" ht="14.25" customHeight="1" x14ac:dyDescent="0.3">
      <c r="H19" s="557"/>
      <c r="R19" s="100"/>
      <c r="S19" s="561"/>
      <c r="T19" s="559"/>
    </row>
    <row r="20" spans="2:29" ht="14.25" customHeight="1" x14ac:dyDescent="0.3">
      <c r="H20" s="557"/>
      <c r="R20" s="100"/>
      <c r="S20" s="561"/>
      <c r="T20" s="559"/>
    </row>
    <row r="21" spans="2:29" ht="14.25" customHeight="1" x14ac:dyDescent="0.3">
      <c r="H21" s="557"/>
      <c r="R21" s="100"/>
      <c r="S21" s="561"/>
      <c r="T21" s="559"/>
    </row>
    <row r="22" spans="2:29" ht="14.25" customHeight="1" x14ac:dyDescent="0.3">
      <c r="H22" s="557"/>
      <c r="R22" s="100"/>
      <c r="S22" s="560"/>
      <c r="T22" s="557"/>
    </row>
    <row r="23" spans="2:29" ht="14.25" customHeight="1" x14ac:dyDescent="0.3">
      <c r="H23" s="557"/>
      <c r="T23" s="338" t="s">
        <v>479</v>
      </c>
      <c r="U23" s="402">
        <f>$Z$1</f>
        <v>141600</v>
      </c>
    </row>
    <row r="24" spans="2:29" ht="14.25" customHeight="1" x14ac:dyDescent="0.3">
      <c r="B24" s="100"/>
      <c r="H24" s="557"/>
    </row>
    <row r="25" spans="2:29" ht="14.25" customHeight="1" x14ac:dyDescent="0.3">
      <c r="E25" s="100"/>
      <c r="F25" s="560"/>
      <c r="G25" s="557"/>
      <c r="H25" s="557"/>
      <c r="R25" s="1423" t="s">
        <v>475</v>
      </c>
      <c r="S25" s="1388"/>
      <c r="T25" s="1388"/>
      <c r="U25" s="1388"/>
      <c r="Z25" s="141" t="s">
        <v>264</v>
      </c>
      <c r="AA25" s="142">
        <v>150</v>
      </c>
      <c r="AB25" s="141" t="s">
        <v>261</v>
      </c>
      <c r="AC25" s="143">
        <f>(T35/T32)*AA25</f>
        <v>2.1677229287492819</v>
      </c>
    </row>
    <row r="26" spans="2:29" ht="18" customHeight="1" x14ac:dyDescent="0.3">
      <c r="E26" s="100"/>
      <c r="F26" s="560"/>
      <c r="G26" s="557"/>
      <c r="H26" s="557"/>
      <c r="R26" s="1423" t="s">
        <v>373</v>
      </c>
      <c r="S26" s="1388"/>
      <c r="T26" s="1388"/>
      <c r="U26" s="1388"/>
    </row>
    <row r="27" spans="2:29" ht="23.25" customHeight="1" x14ac:dyDescent="0.3">
      <c r="B27" s="100"/>
      <c r="E27" s="100"/>
      <c r="F27" s="100"/>
      <c r="R27" s="145" t="s">
        <v>266</v>
      </c>
      <c r="S27" s="146" t="s">
        <v>364</v>
      </c>
      <c r="T27" s="146" t="s">
        <v>268</v>
      </c>
      <c r="U27" s="146" t="s">
        <v>269</v>
      </c>
    </row>
    <row r="28" spans="2:29" ht="14.25" customHeight="1" x14ac:dyDescent="0.3">
      <c r="B28" s="100"/>
      <c r="E28" s="100"/>
      <c r="F28" s="100"/>
      <c r="R28" s="148" t="s">
        <v>275</v>
      </c>
      <c r="S28" s="149"/>
      <c r="T28" s="149">
        <f>U28-S28</f>
        <v>62288.112201963537</v>
      </c>
      <c r="U28" s="149">
        <f>U23-'Beef Lasagne Sauce'!U28</f>
        <v>62288.112201963537</v>
      </c>
    </row>
    <row r="29" spans="2:29" ht="14.25" customHeight="1" x14ac:dyDescent="0.3">
      <c r="B29" s="100"/>
      <c r="E29" s="100"/>
      <c r="F29" s="100"/>
      <c r="R29" s="148" t="s">
        <v>276</v>
      </c>
      <c r="S29" s="155"/>
      <c r="T29" s="149"/>
      <c r="U29" s="149">
        <f>T29</f>
        <v>0</v>
      </c>
    </row>
    <row r="30" spans="2:29" ht="14.25" customHeight="1" x14ac:dyDescent="0.3">
      <c r="B30" s="100"/>
      <c r="E30" s="100"/>
      <c r="F30" s="100"/>
      <c r="R30" s="148" t="s">
        <v>277</v>
      </c>
      <c r="S30" s="155"/>
      <c r="T30" s="150">
        <f>$AB$1</f>
        <v>1000</v>
      </c>
      <c r="U30" s="155">
        <f>T30</f>
        <v>1000</v>
      </c>
    </row>
    <row r="31" spans="2:29" ht="14.25" customHeight="1" x14ac:dyDescent="0.3">
      <c r="B31" s="100"/>
      <c r="E31" s="100"/>
      <c r="F31" s="100"/>
      <c r="R31" s="148" t="s">
        <v>279</v>
      </c>
      <c r="S31" s="155"/>
      <c r="T31" s="149"/>
      <c r="U31" s="149"/>
    </row>
    <row r="32" spans="2:29" ht="14.25" customHeight="1" x14ac:dyDescent="0.3">
      <c r="C32" s="100"/>
      <c r="D32" s="560"/>
      <c r="L32" s="298"/>
      <c r="M32" s="298"/>
      <c r="N32" s="298"/>
      <c r="P32" s="297"/>
      <c r="R32" s="160" t="s">
        <v>269</v>
      </c>
      <c r="S32" s="149">
        <f>SUM(S28:S30)</f>
        <v>0</v>
      </c>
      <c r="T32" s="149">
        <f>SUM(T28:T30)</f>
        <v>63288.112201963537</v>
      </c>
      <c r="U32" s="149">
        <f>SUM(U28:U30)</f>
        <v>63288.112201963537</v>
      </c>
    </row>
    <row r="33" spans="3:21" ht="14.25" customHeight="1" x14ac:dyDescent="0.3">
      <c r="C33" s="100"/>
      <c r="D33" s="560"/>
      <c r="L33" s="298"/>
      <c r="M33" s="298"/>
      <c r="N33" s="319"/>
      <c r="O33" s="556"/>
      <c r="P33" s="297"/>
      <c r="R33" s="161" t="s">
        <v>280</v>
      </c>
      <c r="S33" s="155"/>
      <c r="T33" s="155"/>
      <c r="U33" s="149">
        <f>F75</f>
        <v>0</v>
      </c>
    </row>
    <row r="34" spans="3:21" ht="14.25" customHeight="1" x14ac:dyDescent="0.3">
      <c r="C34" s="100"/>
      <c r="D34" s="560"/>
      <c r="L34" s="298"/>
      <c r="M34" s="298"/>
      <c r="N34" s="319"/>
      <c r="O34" s="556"/>
      <c r="P34" s="297"/>
      <c r="R34" s="162" t="s">
        <v>281</v>
      </c>
      <c r="S34" s="155"/>
      <c r="T34" s="149"/>
      <c r="U34" s="149">
        <f>U33-(U28+U29)</f>
        <v>-62288.112201963537</v>
      </c>
    </row>
    <row r="35" spans="3:21" ht="14.25" customHeight="1" x14ac:dyDescent="0.3">
      <c r="C35" s="100"/>
      <c r="D35" s="560"/>
      <c r="L35" s="298"/>
      <c r="M35" s="298"/>
      <c r="N35" s="319"/>
      <c r="O35" s="556"/>
      <c r="P35" s="297"/>
      <c r="R35" s="163" t="s">
        <v>261</v>
      </c>
      <c r="S35" s="1144"/>
      <c r="T35" s="1144">
        <f>SUM(L5:L13)</f>
        <v>914.60727958302368</v>
      </c>
      <c r="U35" s="1144">
        <f>S35+T35</f>
        <v>914.60727958302368</v>
      </c>
    </row>
    <row r="36" spans="3:21" ht="14.25" customHeight="1" x14ac:dyDescent="0.3">
      <c r="C36" s="100"/>
      <c r="D36" s="561"/>
      <c r="L36" s="298"/>
      <c r="M36" s="298"/>
      <c r="N36" s="319"/>
      <c r="O36" s="556"/>
      <c r="P36" s="297"/>
    </row>
    <row r="37" spans="3:21" ht="14.25" customHeight="1" x14ac:dyDescent="0.3">
      <c r="C37" s="100"/>
      <c r="D37" s="561"/>
      <c r="N37" s="413"/>
      <c r="O37" s="556"/>
      <c r="P37" s="297"/>
    </row>
    <row r="38" spans="3:21" ht="14.25" customHeight="1" x14ac:dyDescent="0.3">
      <c r="C38" s="100"/>
      <c r="D38" s="561"/>
      <c r="O38" s="556"/>
      <c r="P38" s="297"/>
    </row>
    <row r="39" spans="3:21" ht="14.25" customHeight="1" x14ac:dyDescent="0.3">
      <c r="O39" s="556"/>
      <c r="P39" s="297"/>
    </row>
    <row r="40" spans="3:21" ht="14.25" customHeight="1" x14ac:dyDescent="0.3">
      <c r="O40" s="556"/>
      <c r="P40" s="297"/>
      <c r="R40" s="390"/>
      <c r="S40" s="501"/>
      <c r="T40" s="390"/>
      <c r="U40" s="501"/>
    </row>
    <row r="41" spans="3:21" ht="14.25" customHeight="1" x14ac:dyDescent="0.3">
      <c r="N41" s="319"/>
      <c r="O41" s="556"/>
      <c r="U41" s="169"/>
    </row>
    <row r="42" spans="3:21" ht="14.25" customHeight="1" x14ac:dyDescent="0.3">
      <c r="N42" s="413"/>
      <c r="O42" s="298"/>
    </row>
    <row r="43" spans="3:21" ht="14" customHeight="1" x14ac:dyDescent="0.3">
      <c r="Q43" s="321"/>
      <c r="R43" s="321"/>
      <c r="S43" s="321"/>
      <c r="T43" s="321"/>
      <c r="U43" s="321"/>
    </row>
    <row r="44" spans="3:21" ht="14" customHeight="1" x14ac:dyDescent="0.3">
      <c r="R44" s="389"/>
      <c r="S44" s="392"/>
      <c r="T44" s="392"/>
      <c r="U44" s="393"/>
    </row>
    <row r="50" spans="1:8" x14ac:dyDescent="0.3">
      <c r="B50" s="276"/>
      <c r="C50" s="145" t="s">
        <v>245</v>
      </c>
      <c r="D50" s="145" t="s">
        <v>291</v>
      </c>
    </row>
    <row r="51" spans="1:8" x14ac:dyDescent="0.3">
      <c r="B51" s="180" t="s">
        <v>295</v>
      </c>
      <c r="C51" s="181">
        <f>10/$K$1</f>
        <v>10</v>
      </c>
      <c r="D51" s="182">
        <f>$C$1*10</f>
        <v>10000</v>
      </c>
    </row>
    <row r="52" spans="1:8" x14ac:dyDescent="0.3">
      <c r="B52" s="276" t="s">
        <v>274</v>
      </c>
      <c r="C52" s="185">
        <f>I1</f>
        <v>63.288112201963536</v>
      </c>
      <c r="D52" s="185">
        <f>E1</f>
        <v>63288.112201963537</v>
      </c>
    </row>
    <row r="53" spans="1:8" x14ac:dyDescent="0.3">
      <c r="B53" s="276" t="s">
        <v>296</v>
      </c>
      <c r="C53" s="558">
        <f>MIN($C$52, C51)</f>
        <v>10</v>
      </c>
      <c r="D53" s="185">
        <f t="shared" ref="D53:D59" si="7">(C53*$K$1)*$C$1</f>
        <v>10000</v>
      </c>
    </row>
    <row r="54" spans="1:8" x14ac:dyDescent="0.3">
      <c r="B54" s="276" t="s">
        <v>297</v>
      </c>
      <c r="C54" s="186">
        <f>MIN(MAX($C$52-C53,0),C51)</f>
        <v>10</v>
      </c>
      <c r="D54" s="185">
        <f t="shared" si="7"/>
        <v>10000</v>
      </c>
    </row>
    <row r="55" spans="1:8" ht="14.25" customHeight="1" x14ac:dyDescent="0.3">
      <c r="B55" s="276" t="s">
        <v>298</v>
      </c>
      <c r="C55" s="186">
        <f>MIN(MAX($C$52-C53-C54,0),C51)</f>
        <v>10</v>
      </c>
      <c r="D55" s="185">
        <f t="shared" si="7"/>
        <v>10000</v>
      </c>
    </row>
    <row r="56" spans="1:8" ht="14.25" customHeight="1" x14ac:dyDescent="0.3">
      <c r="B56" s="276" t="s">
        <v>305</v>
      </c>
      <c r="C56" s="186">
        <f>MIN(MAX($C$52-C53-C54-C55,0),C51)</f>
        <v>10</v>
      </c>
      <c r="D56" s="185">
        <f t="shared" si="7"/>
        <v>10000</v>
      </c>
    </row>
    <row r="57" spans="1:8" x14ac:dyDescent="0.3">
      <c r="B57" s="276" t="s">
        <v>356</v>
      </c>
      <c r="C57" s="186">
        <f>MIN(MAX($C$52-C53-C54-C55-C56,0),C51)</f>
        <v>10</v>
      </c>
      <c r="D57" s="185">
        <f t="shared" si="7"/>
        <v>10000</v>
      </c>
    </row>
    <row r="58" spans="1:8" x14ac:dyDescent="0.3">
      <c r="B58" s="276" t="s">
        <v>477</v>
      </c>
      <c r="C58" s="186">
        <f>MIN(MAX($C$52-C53-C54-C55-C56-C57,0),C51)</f>
        <v>10</v>
      </c>
      <c r="D58" s="185">
        <f t="shared" si="7"/>
        <v>10000</v>
      </c>
    </row>
    <row r="59" spans="1:8" x14ac:dyDescent="0.3">
      <c r="B59" s="276" t="s">
        <v>478</v>
      </c>
      <c r="C59" s="186">
        <f>MIN(MAX($C$52-C53-C54-C55-C56-C57-C58,0),C51)</f>
        <v>3.2881122019635356</v>
      </c>
      <c r="D59" s="185">
        <f t="shared" si="7"/>
        <v>3288.1122019635354</v>
      </c>
    </row>
    <row r="62" spans="1:8" ht="17.75" customHeight="1" x14ac:dyDescent="0.3">
      <c r="B62" s="1428"/>
      <c r="C62" s="1422"/>
      <c r="D62" s="1422"/>
      <c r="E62" s="1422"/>
      <c r="F62" s="1422"/>
      <c r="G62" s="1422"/>
      <c r="H62" s="1422"/>
    </row>
    <row r="63" spans="1:8" ht="18" customHeight="1" x14ac:dyDescent="0.3">
      <c r="B63" s="1428"/>
      <c r="C63" s="1422"/>
      <c r="D63" s="1422"/>
      <c r="E63" s="1422"/>
      <c r="F63" s="1422"/>
      <c r="G63" s="1422"/>
      <c r="H63" s="1422"/>
    </row>
    <row r="64" spans="1:8" ht="25.5" customHeight="1" x14ac:dyDescent="0.25">
      <c r="A64" s="371"/>
      <c r="B64" s="371"/>
      <c r="C64" s="348"/>
      <c r="D64" s="371"/>
      <c r="E64" s="347"/>
      <c r="F64" s="371"/>
      <c r="G64" s="371"/>
      <c r="H64" s="347"/>
    </row>
    <row r="65" spans="2:8" ht="14.25" customHeight="1" x14ac:dyDescent="0.3">
      <c r="B65" s="349"/>
      <c r="C65" s="133"/>
      <c r="D65" s="254"/>
      <c r="E65" s="135"/>
      <c r="F65" s="136"/>
      <c r="G65" s="137"/>
      <c r="H65" s="138"/>
    </row>
    <row r="66" spans="2:8" ht="14.25" customHeight="1" x14ac:dyDescent="0.3">
      <c r="B66" s="349"/>
      <c r="C66" s="133"/>
      <c r="D66" s="254"/>
      <c r="E66" s="135"/>
      <c r="F66" s="136"/>
      <c r="G66" s="137"/>
      <c r="H66" s="138"/>
    </row>
    <row r="67" spans="2:8" ht="14.25" customHeight="1" x14ac:dyDescent="0.3">
      <c r="B67" s="349"/>
      <c r="C67" s="133"/>
      <c r="D67" s="254"/>
      <c r="E67" s="135"/>
      <c r="F67" s="136"/>
      <c r="G67" s="137"/>
      <c r="H67" s="138"/>
    </row>
    <row r="68" spans="2:8" ht="14.25" customHeight="1" x14ac:dyDescent="0.3">
      <c r="B68" s="349"/>
      <c r="C68" s="133"/>
      <c r="D68" s="254"/>
      <c r="E68" s="135"/>
      <c r="F68" s="136"/>
      <c r="G68" s="137"/>
      <c r="H68" s="138"/>
    </row>
    <row r="69" spans="2:8" ht="14.25" customHeight="1" x14ac:dyDescent="0.3">
      <c r="B69" s="349"/>
      <c r="C69" s="133"/>
      <c r="D69" s="254"/>
      <c r="E69" s="135"/>
      <c r="F69" s="136"/>
      <c r="G69" s="137"/>
      <c r="H69" s="138"/>
    </row>
    <row r="70" spans="2:8" ht="14.25" customHeight="1" x14ac:dyDescent="0.3">
      <c r="B70" s="349"/>
      <c r="C70" s="133"/>
      <c r="D70" s="254"/>
      <c r="E70" s="135"/>
      <c r="F70" s="136"/>
      <c r="G70" s="137"/>
      <c r="H70" s="138"/>
    </row>
    <row r="71" spans="2:8" ht="14.25" customHeight="1" x14ac:dyDescent="0.3">
      <c r="B71" s="349"/>
      <c r="C71" s="133"/>
      <c r="D71" s="254"/>
      <c r="E71" s="135"/>
      <c r="F71" s="136"/>
      <c r="G71" s="137"/>
      <c r="H71" s="138"/>
    </row>
    <row r="72" spans="2:8" ht="14.25" customHeight="1" x14ac:dyDescent="0.3">
      <c r="B72" s="349"/>
      <c r="C72" s="133"/>
      <c r="D72" s="254"/>
      <c r="E72" s="135"/>
      <c r="F72" s="136"/>
      <c r="G72" s="137"/>
      <c r="H72" s="138"/>
    </row>
    <row r="73" spans="2:8" ht="14.25" customHeight="1" x14ac:dyDescent="0.3">
      <c r="B73" s="349"/>
      <c r="C73" s="133"/>
      <c r="D73" s="254"/>
      <c r="E73" s="135"/>
      <c r="F73" s="136"/>
      <c r="G73" s="137"/>
      <c r="H73" s="138"/>
    </row>
    <row r="74" spans="2:8" ht="14.25" customHeight="1" x14ac:dyDescent="0.3">
      <c r="B74" s="349"/>
      <c r="C74" s="133"/>
      <c r="D74" s="254"/>
      <c r="E74" s="135"/>
      <c r="F74" s="136"/>
      <c r="G74" s="137"/>
      <c r="H74" s="138"/>
    </row>
    <row r="75" spans="2:8" ht="14.25" customHeight="1" x14ac:dyDescent="0.3">
      <c r="B75" s="100"/>
    </row>
    <row r="80" spans="2:8" ht="17.75" customHeight="1" x14ac:dyDescent="0.3">
      <c r="B80" s="1428"/>
      <c r="C80" s="1422"/>
      <c r="D80" s="1422"/>
      <c r="E80" s="1422"/>
      <c r="F80" s="1422"/>
      <c r="G80" s="1422"/>
      <c r="H80" s="1422"/>
    </row>
    <row r="81" spans="1:8" ht="18" customHeight="1" x14ac:dyDescent="0.3">
      <c r="B81" s="1428"/>
      <c r="C81" s="1422"/>
      <c r="D81" s="1422"/>
      <c r="E81" s="1422"/>
      <c r="F81" s="1422"/>
      <c r="G81" s="1422"/>
      <c r="H81" s="1422"/>
    </row>
    <row r="82" spans="1:8" ht="25.5" customHeight="1" x14ac:dyDescent="0.25">
      <c r="A82" s="371"/>
      <c r="B82" s="371"/>
      <c r="C82" s="348"/>
      <c r="D82" s="371"/>
      <c r="E82" s="347"/>
      <c r="F82" s="371"/>
      <c r="G82" s="371"/>
      <c r="H82" s="347"/>
    </row>
    <row r="83" spans="1:8" ht="14.25" customHeight="1" x14ac:dyDescent="0.3">
      <c r="B83" s="349"/>
      <c r="C83" s="349"/>
      <c r="D83" s="349"/>
      <c r="E83" s="135"/>
      <c r="F83" s="136"/>
      <c r="G83" s="137"/>
      <c r="H83" s="138"/>
    </row>
    <row r="84" spans="1:8" ht="14.25" customHeight="1" x14ac:dyDescent="0.3">
      <c r="B84" s="349"/>
      <c r="C84" s="349"/>
      <c r="D84" s="349"/>
      <c r="E84" s="135"/>
      <c r="F84" s="136"/>
      <c r="G84" s="137"/>
      <c r="H84" s="138"/>
    </row>
    <row r="85" spans="1:8" ht="14.25" customHeight="1" x14ac:dyDescent="0.3">
      <c r="B85" s="349"/>
      <c r="C85" s="349"/>
      <c r="D85" s="349"/>
      <c r="E85" s="135"/>
      <c r="F85" s="136"/>
      <c r="G85" s="137"/>
      <c r="H85" s="138"/>
    </row>
    <row r="86" spans="1:8" ht="14.25" customHeight="1" x14ac:dyDescent="0.3">
      <c r="B86" s="349"/>
      <c r="C86" s="349"/>
      <c r="D86" s="349"/>
      <c r="E86" s="135"/>
      <c r="F86" s="136"/>
      <c r="G86" s="137"/>
      <c r="H86" s="138"/>
    </row>
    <row r="87" spans="1:8" ht="14.25" customHeight="1" x14ac:dyDescent="0.3">
      <c r="B87" s="349"/>
      <c r="C87" s="349"/>
      <c r="D87" s="349"/>
      <c r="E87" s="135"/>
      <c r="F87" s="136"/>
      <c r="G87" s="137"/>
      <c r="H87" s="138"/>
    </row>
    <row r="88" spans="1:8" ht="14.25" customHeight="1" x14ac:dyDescent="0.3">
      <c r="B88" s="349"/>
      <c r="C88" s="349"/>
      <c r="D88" s="349"/>
      <c r="E88" s="135"/>
      <c r="F88" s="136"/>
      <c r="G88" s="137"/>
      <c r="H88" s="138"/>
    </row>
    <row r="89" spans="1:8" ht="14.25" customHeight="1" x14ac:dyDescent="0.3">
      <c r="B89" s="349"/>
      <c r="C89" s="349"/>
      <c r="D89" s="349"/>
      <c r="E89" s="135"/>
      <c r="F89" s="136"/>
      <c r="G89" s="137"/>
      <c r="H89" s="138"/>
    </row>
    <row r="90" spans="1:8" ht="14.25" customHeight="1" x14ac:dyDescent="0.3">
      <c r="B90" s="349"/>
      <c r="C90" s="349"/>
      <c r="D90" s="349"/>
      <c r="E90" s="135"/>
      <c r="F90" s="136"/>
      <c r="G90" s="137"/>
      <c r="H90" s="138"/>
    </row>
    <row r="91" spans="1:8" ht="20.25" customHeight="1" x14ac:dyDescent="0.4">
      <c r="B91" s="100"/>
      <c r="E91" s="100"/>
      <c r="F91" s="100"/>
      <c r="G91" s="204"/>
      <c r="H91" s="203"/>
    </row>
    <row r="92" spans="1:8" ht="14.25" customHeight="1" x14ac:dyDescent="0.3">
      <c r="B92" s="100"/>
    </row>
    <row r="98" spans="1:8" ht="17.75" customHeight="1" x14ac:dyDescent="0.3">
      <c r="B98" s="1428"/>
      <c r="C98" s="1422"/>
      <c r="D98" s="1422"/>
      <c r="E98" s="1422"/>
      <c r="F98" s="1422"/>
      <c r="G98" s="1422"/>
      <c r="H98" s="1422"/>
    </row>
    <row r="99" spans="1:8" ht="18" customHeight="1" x14ac:dyDescent="0.3">
      <c r="B99" s="1428"/>
      <c r="C99" s="1422"/>
      <c r="D99" s="1422"/>
      <c r="E99" s="1422"/>
      <c r="F99" s="1422"/>
      <c r="G99" s="1422"/>
      <c r="H99" s="1422"/>
    </row>
    <row r="100" spans="1:8" ht="25.5" customHeight="1" x14ac:dyDescent="0.25">
      <c r="A100" s="371"/>
      <c r="B100" s="371"/>
      <c r="C100" s="348"/>
      <c r="D100" s="371"/>
      <c r="E100" s="347"/>
      <c r="F100" s="371"/>
      <c r="G100" s="371"/>
      <c r="H100" s="347"/>
    </row>
    <row r="101" spans="1:8" ht="14.25" customHeight="1" x14ac:dyDescent="0.3">
      <c r="B101" s="349"/>
      <c r="C101" s="349"/>
      <c r="D101" s="349"/>
      <c r="E101" s="908"/>
      <c r="F101" s="909"/>
      <c r="G101" s="137"/>
      <c r="H101" s="138"/>
    </row>
    <row r="102" spans="1:8" ht="14.25" customHeight="1" x14ac:dyDescent="0.3">
      <c r="B102" s="349"/>
      <c r="C102" s="349"/>
      <c r="D102" s="349"/>
      <c r="E102" s="908"/>
      <c r="F102" s="909"/>
      <c r="G102" s="137"/>
      <c r="H102" s="138"/>
    </row>
    <row r="103" spans="1:8" ht="14.25" customHeight="1" x14ac:dyDescent="0.3">
      <c r="B103" s="349"/>
      <c r="C103" s="349"/>
      <c r="D103" s="349"/>
      <c r="E103" s="908"/>
      <c r="F103" s="909"/>
      <c r="G103" s="137"/>
      <c r="H103" s="138"/>
    </row>
    <row r="104" spans="1:8" ht="14.25" customHeight="1" x14ac:dyDescent="0.3">
      <c r="B104" s="349"/>
      <c r="C104" s="349"/>
      <c r="D104" s="349"/>
      <c r="E104" s="908"/>
      <c r="F104" s="909"/>
      <c r="G104" s="137"/>
      <c r="H104" s="138"/>
    </row>
    <row r="105" spans="1:8" ht="14.25" customHeight="1" x14ac:dyDescent="0.3">
      <c r="B105" s="349"/>
      <c r="C105" s="349"/>
      <c r="D105" s="349"/>
      <c r="E105" s="908"/>
      <c r="F105" s="909"/>
      <c r="G105" s="137"/>
      <c r="H105" s="138"/>
    </row>
    <row r="106" spans="1:8" ht="14.25" customHeight="1" x14ac:dyDescent="0.3">
      <c r="B106" s="349"/>
      <c r="C106" s="349"/>
      <c r="D106" s="349"/>
      <c r="E106" s="908"/>
      <c r="F106" s="909"/>
      <c r="G106" s="137"/>
      <c r="H106" s="138"/>
    </row>
    <row r="107" spans="1:8" ht="14.25" customHeight="1" x14ac:dyDescent="0.3">
      <c r="B107" s="349"/>
      <c r="C107" s="349"/>
      <c r="D107" s="349"/>
      <c r="E107" s="908"/>
      <c r="F107" s="909"/>
      <c r="G107" s="137"/>
      <c r="H107" s="138"/>
    </row>
    <row r="108" spans="1:8" ht="14.25" customHeight="1" x14ac:dyDescent="0.3">
      <c r="B108" s="349"/>
      <c r="C108" s="349"/>
      <c r="D108" s="349"/>
      <c r="E108" s="908"/>
      <c r="F108" s="909"/>
      <c r="G108" s="137"/>
      <c r="H108" s="138"/>
    </row>
    <row r="109" spans="1:8" ht="20.25" customHeight="1" x14ac:dyDescent="0.4">
      <c r="B109" s="100"/>
      <c r="E109" s="100"/>
      <c r="F109" s="100"/>
      <c r="G109" s="204"/>
      <c r="H109" s="203"/>
    </row>
    <row r="110" spans="1:8" ht="14.25" customHeight="1" x14ac:dyDescent="0.3">
      <c r="B110" s="100"/>
    </row>
    <row r="116" spans="1:8" ht="17.75" customHeight="1" x14ac:dyDescent="0.3">
      <c r="B116" s="1428"/>
      <c r="C116" s="1422"/>
      <c r="D116" s="1422"/>
      <c r="E116" s="1422"/>
      <c r="F116" s="1422"/>
      <c r="G116" s="1422"/>
      <c r="H116" s="1422"/>
    </row>
    <row r="117" spans="1:8" ht="18" customHeight="1" x14ac:dyDescent="0.3">
      <c r="B117" s="1428"/>
      <c r="C117" s="1422"/>
      <c r="D117" s="1422"/>
      <c r="E117" s="1422"/>
      <c r="F117" s="1422"/>
      <c r="G117" s="1422"/>
      <c r="H117" s="1422"/>
    </row>
    <row r="118" spans="1:8" ht="25.5" customHeight="1" x14ac:dyDescent="0.25">
      <c r="A118" s="371"/>
      <c r="B118" s="371"/>
      <c r="C118" s="348"/>
      <c r="D118" s="371"/>
      <c r="E118" s="347"/>
      <c r="F118" s="371"/>
      <c r="G118" s="371"/>
      <c r="H118" s="347"/>
    </row>
    <row r="119" spans="1:8" ht="14.25" customHeight="1" x14ac:dyDescent="0.3">
      <c r="B119" s="349"/>
      <c r="C119" s="349"/>
      <c r="D119" s="349"/>
      <c r="E119" s="908"/>
      <c r="F119" s="909"/>
      <c r="G119" s="137"/>
      <c r="H119" s="138"/>
    </row>
    <row r="120" spans="1:8" ht="14.25" customHeight="1" x14ac:dyDescent="0.3">
      <c r="B120" s="349"/>
      <c r="C120" s="349"/>
      <c r="D120" s="349"/>
      <c r="E120" s="908"/>
      <c r="F120" s="909"/>
      <c r="G120" s="137"/>
      <c r="H120" s="138"/>
    </row>
    <row r="121" spans="1:8" ht="14.25" customHeight="1" x14ac:dyDescent="0.3">
      <c r="B121" s="349"/>
      <c r="C121" s="349"/>
      <c r="D121" s="349"/>
      <c r="E121" s="908"/>
      <c r="F121" s="909"/>
      <c r="G121" s="137"/>
      <c r="H121" s="138"/>
    </row>
    <row r="122" spans="1:8" ht="14.25" customHeight="1" x14ac:dyDescent="0.3">
      <c r="B122" s="349"/>
      <c r="C122" s="349"/>
      <c r="D122" s="349"/>
      <c r="E122" s="908"/>
      <c r="F122" s="909"/>
      <c r="G122" s="137"/>
      <c r="H122" s="138"/>
    </row>
    <row r="123" spans="1:8" ht="14.25" customHeight="1" x14ac:dyDescent="0.3">
      <c r="B123" s="349"/>
      <c r="C123" s="349"/>
      <c r="D123" s="349"/>
      <c r="E123" s="908"/>
      <c r="F123" s="909"/>
      <c r="G123" s="137"/>
      <c r="H123" s="138"/>
    </row>
    <row r="124" spans="1:8" ht="14.25" customHeight="1" x14ac:dyDescent="0.3">
      <c r="B124" s="349"/>
      <c r="C124" s="349"/>
      <c r="D124" s="349"/>
      <c r="E124" s="908"/>
      <c r="F124" s="909"/>
      <c r="G124" s="137"/>
      <c r="H124" s="138"/>
    </row>
    <row r="125" spans="1:8" ht="14.25" customHeight="1" x14ac:dyDescent="0.3">
      <c r="B125" s="349"/>
      <c r="C125" s="349"/>
      <c r="D125" s="349"/>
      <c r="E125" s="908"/>
      <c r="F125" s="909"/>
      <c r="G125" s="137"/>
      <c r="H125" s="138"/>
    </row>
    <row r="126" spans="1:8" ht="14.25" customHeight="1" x14ac:dyDescent="0.3">
      <c r="B126" s="349"/>
      <c r="C126" s="133"/>
      <c r="D126" s="254"/>
      <c r="E126" s="135"/>
      <c r="F126" s="136"/>
      <c r="G126" s="137"/>
      <c r="H126" s="138"/>
    </row>
    <row r="127" spans="1:8" ht="20.25" customHeight="1" x14ac:dyDescent="0.4">
      <c r="B127" s="100"/>
      <c r="E127" s="100"/>
      <c r="F127" s="100"/>
      <c r="G127" s="204"/>
      <c r="H127" s="203"/>
    </row>
    <row r="130" spans="1:8" ht="17.75" customHeight="1" x14ac:dyDescent="0.3">
      <c r="B130" s="1428"/>
      <c r="C130" s="1422"/>
      <c r="D130" s="1422"/>
      <c r="E130" s="1422"/>
      <c r="F130" s="1422"/>
      <c r="G130" s="1422"/>
      <c r="H130" s="1422"/>
    </row>
    <row r="131" spans="1:8" ht="17.75" customHeight="1" x14ac:dyDescent="0.3">
      <c r="B131" s="1428"/>
      <c r="C131" s="1422"/>
      <c r="D131" s="1422"/>
      <c r="E131" s="1422"/>
      <c r="F131" s="1422"/>
      <c r="G131" s="1422"/>
      <c r="H131" s="1422"/>
    </row>
    <row r="132" spans="1:8" ht="25.5" customHeight="1" x14ac:dyDescent="0.25">
      <c r="A132" s="371"/>
      <c r="B132" s="371"/>
      <c r="C132" s="348"/>
      <c r="D132" s="371"/>
      <c r="E132" s="347"/>
      <c r="F132" s="371"/>
      <c r="G132" s="371"/>
      <c r="H132" s="347"/>
    </row>
    <row r="133" spans="1:8" ht="14.25" customHeight="1" x14ac:dyDescent="0.3">
      <c r="B133" s="349"/>
      <c r="C133" s="349"/>
      <c r="D133" s="349"/>
      <c r="E133" s="908"/>
      <c r="F133" s="909"/>
      <c r="G133" s="137"/>
      <c r="H133" s="138"/>
    </row>
    <row r="134" spans="1:8" ht="14.25" customHeight="1" x14ac:dyDescent="0.3">
      <c r="B134" s="349"/>
      <c r="C134" s="349"/>
      <c r="D134" s="349"/>
      <c r="E134" s="908"/>
      <c r="F134" s="909"/>
      <c r="G134" s="137"/>
      <c r="H134" s="138"/>
    </row>
    <row r="135" spans="1:8" ht="14.25" customHeight="1" x14ac:dyDescent="0.3">
      <c r="B135" s="349"/>
      <c r="C135" s="349"/>
      <c r="D135" s="349"/>
      <c r="E135" s="908"/>
      <c r="F135" s="909"/>
      <c r="G135" s="137"/>
      <c r="H135" s="138"/>
    </row>
    <row r="136" spans="1:8" ht="14.25" customHeight="1" x14ac:dyDescent="0.3">
      <c r="B136" s="349"/>
      <c r="C136" s="349"/>
      <c r="D136" s="349"/>
      <c r="E136" s="908"/>
      <c r="F136" s="909"/>
      <c r="G136" s="137"/>
      <c r="H136" s="138"/>
    </row>
    <row r="137" spans="1:8" ht="18" customHeight="1" x14ac:dyDescent="0.3">
      <c r="B137" s="349"/>
      <c r="C137" s="349"/>
      <c r="D137" s="349"/>
      <c r="E137" s="908"/>
      <c r="F137" s="909"/>
      <c r="G137" s="137"/>
      <c r="H137" s="138"/>
    </row>
    <row r="138" spans="1:8" ht="14.25" customHeight="1" x14ac:dyDescent="0.3">
      <c r="B138" s="349"/>
      <c r="C138" s="349"/>
      <c r="D138" s="349"/>
      <c r="E138" s="908"/>
      <c r="F138" s="909"/>
      <c r="G138" s="137"/>
      <c r="H138" s="138"/>
    </row>
    <row r="139" spans="1:8" ht="14.25" customHeight="1" x14ac:dyDescent="0.3">
      <c r="B139" s="349"/>
      <c r="C139" s="349"/>
      <c r="D139" s="349"/>
      <c r="E139" s="908"/>
      <c r="F139" s="909"/>
      <c r="G139" s="137"/>
      <c r="H139" s="138"/>
    </row>
    <row r="140" spans="1:8" ht="14.25" customHeight="1" x14ac:dyDescent="0.3">
      <c r="B140" s="349"/>
      <c r="C140" s="133"/>
      <c r="D140" s="254"/>
      <c r="E140" s="135"/>
      <c r="F140" s="136"/>
      <c r="G140" s="137"/>
      <c r="H140" s="138"/>
    </row>
    <row r="141" spans="1:8" ht="20.25" customHeight="1" x14ac:dyDescent="0.4">
      <c r="B141" s="100"/>
      <c r="E141" s="100"/>
      <c r="F141" s="100"/>
      <c r="G141" s="204"/>
      <c r="H141" s="203"/>
    </row>
    <row r="144" spans="1:8" ht="17.75" customHeight="1" x14ac:dyDescent="0.3">
      <c r="B144" s="1428"/>
      <c r="C144" s="1422"/>
      <c r="D144" s="1422"/>
      <c r="E144" s="1422"/>
      <c r="F144" s="1422"/>
      <c r="G144" s="1422"/>
      <c r="H144" s="1422"/>
    </row>
    <row r="145" spans="1:8" ht="17.75" customHeight="1" x14ac:dyDescent="0.3">
      <c r="B145" s="1428"/>
      <c r="C145" s="1422"/>
      <c r="D145" s="1422"/>
      <c r="E145" s="1422"/>
      <c r="F145" s="1422"/>
      <c r="G145" s="1422"/>
      <c r="H145" s="1422"/>
    </row>
    <row r="146" spans="1:8" ht="25.5" customHeight="1" x14ac:dyDescent="0.25">
      <c r="A146" s="371"/>
      <c r="B146" s="371"/>
      <c r="C146" s="348"/>
      <c r="D146" s="371"/>
      <c r="E146" s="347"/>
      <c r="F146" s="371"/>
      <c r="G146" s="371"/>
      <c r="H146" s="347"/>
    </row>
    <row r="147" spans="1:8" ht="14.25" customHeight="1" x14ac:dyDescent="0.3">
      <c r="B147" s="349"/>
      <c r="C147" s="349"/>
      <c r="D147" s="349"/>
      <c r="E147" s="908"/>
      <c r="F147" s="909"/>
      <c r="G147" s="137"/>
      <c r="H147" s="138"/>
    </row>
    <row r="148" spans="1:8" ht="14.25" customHeight="1" x14ac:dyDescent="0.3">
      <c r="B148" s="349"/>
      <c r="C148" s="349"/>
      <c r="D148" s="349"/>
      <c r="E148" s="908"/>
      <c r="F148" s="909"/>
      <c r="G148" s="137"/>
      <c r="H148" s="138"/>
    </row>
    <row r="149" spans="1:8" ht="14.25" customHeight="1" x14ac:dyDescent="0.3">
      <c r="B149" s="349"/>
      <c r="C149" s="349"/>
      <c r="D149" s="349"/>
      <c r="E149" s="908"/>
      <c r="F149" s="909"/>
      <c r="G149" s="137"/>
      <c r="H149" s="138"/>
    </row>
    <row r="150" spans="1:8" ht="14.25" customHeight="1" x14ac:dyDescent="0.3">
      <c r="B150" s="349"/>
      <c r="C150" s="349"/>
      <c r="D150" s="349"/>
      <c r="E150" s="908"/>
      <c r="F150" s="909"/>
      <c r="G150" s="137"/>
      <c r="H150" s="138"/>
    </row>
    <row r="151" spans="1:8" ht="18" customHeight="1" x14ac:dyDescent="0.3">
      <c r="B151" s="349"/>
      <c r="C151" s="349"/>
      <c r="D151" s="349"/>
      <c r="E151" s="908"/>
      <c r="F151" s="909"/>
      <c r="G151" s="137"/>
      <c r="H151" s="138"/>
    </row>
    <row r="152" spans="1:8" ht="14.25" customHeight="1" x14ac:dyDescent="0.3">
      <c r="B152" s="349"/>
      <c r="C152" s="349"/>
      <c r="D152" s="349"/>
      <c r="E152" s="908"/>
      <c r="F152" s="909"/>
      <c r="G152" s="137"/>
      <c r="H152" s="138"/>
    </row>
    <row r="153" spans="1:8" ht="14.25" customHeight="1" x14ac:dyDescent="0.3">
      <c r="B153" s="349"/>
      <c r="C153" s="349"/>
      <c r="D153" s="349"/>
      <c r="E153" s="908"/>
      <c r="F153" s="909"/>
      <c r="G153" s="137"/>
      <c r="H153" s="138"/>
    </row>
    <row r="154" spans="1:8" ht="14.25" customHeight="1" x14ac:dyDescent="0.3">
      <c r="B154" s="349"/>
      <c r="C154" s="133"/>
      <c r="D154" s="254"/>
      <c r="E154" s="135"/>
      <c r="F154" s="136"/>
      <c r="G154" s="137"/>
      <c r="H154" s="138"/>
    </row>
    <row r="155" spans="1:8" ht="20.25" customHeight="1" x14ac:dyDescent="0.4">
      <c r="B155" s="100"/>
      <c r="E155" s="100"/>
      <c r="F155" s="100"/>
      <c r="G155" s="204"/>
      <c r="H155" s="203"/>
    </row>
    <row r="160" spans="1:8" ht="17.75" customHeight="1" x14ac:dyDescent="0.3">
      <c r="B160" s="1428"/>
      <c r="C160" s="1422"/>
      <c r="D160" s="1422"/>
      <c r="E160" s="1422"/>
      <c r="F160" s="1422"/>
      <c r="G160" s="1422"/>
      <c r="H160" s="1422"/>
    </row>
    <row r="161" spans="1:8" ht="17.75" customHeight="1" x14ac:dyDescent="0.3">
      <c r="B161" s="1428"/>
      <c r="C161" s="1422"/>
      <c r="D161" s="1422"/>
      <c r="E161" s="1422"/>
      <c r="F161" s="1422"/>
      <c r="G161" s="1422"/>
      <c r="H161" s="1422"/>
    </row>
    <row r="162" spans="1:8" ht="25.5" customHeight="1" x14ac:dyDescent="0.25">
      <c r="A162" s="371"/>
      <c r="B162" s="371"/>
      <c r="C162" s="348"/>
      <c r="D162" s="371"/>
      <c r="E162" s="347"/>
      <c r="F162" s="371"/>
      <c r="G162" s="371"/>
      <c r="H162" s="347"/>
    </row>
    <row r="163" spans="1:8" ht="14.25" customHeight="1" x14ac:dyDescent="0.3">
      <c r="B163" s="349"/>
      <c r="C163" s="349"/>
      <c r="D163" s="349"/>
      <c r="E163" s="908"/>
      <c r="F163" s="909"/>
      <c r="G163" s="137"/>
      <c r="H163" s="138"/>
    </row>
    <row r="164" spans="1:8" ht="14.25" customHeight="1" x14ac:dyDescent="0.3">
      <c r="B164" s="349"/>
      <c r="C164" s="349"/>
      <c r="D164" s="349"/>
      <c r="E164" s="908"/>
      <c r="F164" s="909"/>
      <c r="G164" s="137"/>
      <c r="H164" s="138"/>
    </row>
    <row r="165" spans="1:8" ht="14.25" customHeight="1" x14ac:dyDescent="0.3">
      <c r="B165" s="349"/>
      <c r="C165" s="349"/>
      <c r="D165" s="349"/>
      <c r="E165" s="908"/>
      <c r="F165" s="909"/>
      <c r="G165" s="137"/>
      <c r="H165" s="138"/>
    </row>
    <row r="166" spans="1:8" ht="14.25" customHeight="1" x14ac:dyDescent="0.3">
      <c r="B166" s="349"/>
      <c r="C166" s="349"/>
      <c r="D166" s="349"/>
      <c r="E166" s="908"/>
      <c r="F166" s="909"/>
      <c r="G166" s="137"/>
      <c r="H166" s="138"/>
    </row>
    <row r="167" spans="1:8" ht="18" customHeight="1" x14ac:dyDescent="0.3">
      <c r="B167" s="349"/>
      <c r="C167" s="349"/>
      <c r="D167" s="349"/>
      <c r="E167" s="908"/>
      <c r="F167" s="909"/>
      <c r="G167" s="137"/>
      <c r="H167" s="138"/>
    </row>
    <row r="168" spans="1:8" ht="14.25" customHeight="1" x14ac:dyDescent="0.3">
      <c r="B168" s="349"/>
      <c r="C168" s="349"/>
      <c r="D168" s="349"/>
      <c r="E168" s="908"/>
      <c r="F168" s="909"/>
      <c r="G168" s="137"/>
      <c r="H168" s="138"/>
    </row>
    <row r="169" spans="1:8" ht="14.25" customHeight="1" x14ac:dyDescent="0.3">
      <c r="B169" s="349"/>
      <c r="C169" s="349"/>
      <c r="D169" s="349"/>
      <c r="E169" s="908"/>
      <c r="F169" s="909"/>
      <c r="G169" s="137"/>
      <c r="H169" s="138"/>
    </row>
    <row r="170" spans="1:8" ht="20.25" customHeight="1" x14ac:dyDescent="0.4">
      <c r="B170" s="349"/>
      <c r="C170" s="133"/>
      <c r="D170" s="254"/>
      <c r="E170" s="135"/>
      <c r="F170" s="100"/>
      <c r="G170" s="204"/>
      <c r="H170" s="203"/>
    </row>
    <row r="171" spans="1:8" ht="20.25" customHeight="1" x14ac:dyDescent="0.4">
      <c r="B171" s="100"/>
      <c r="E171" s="100"/>
      <c r="F171" s="100"/>
      <c r="G171" s="204"/>
      <c r="H171" s="203"/>
    </row>
  </sheetData>
  <mergeCells count="18">
    <mergeCell ref="AE2:AG3"/>
    <mergeCell ref="B131:H131"/>
    <mergeCell ref="B98:H98"/>
    <mergeCell ref="B144:H144"/>
    <mergeCell ref="R26:U26"/>
    <mergeCell ref="B62:H62"/>
    <mergeCell ref="R25:U25"/>
    <mergeCell ref="B116:H116"/>
    <mergeCell ref="B2:H3"/>
    <mergeCell ref="B117:H117"/>
    <mergeCell ref="B130:H130"/>
    <mergeCell ref="B161:H161"/>
    <mergeCell ref="B80:H80"/>
    <mergeCell ref="B81:H81"/>
    <mergeCell ref="B63:H63"/>
    <mergeCell ref="B145:H145"/>
    <mergeCell ref="B99:H99"/>
    <mergeCell ref="B160:H160"/>
  </mergeCells>
  <printOptions horizontalCentered="1"/>
  <pageMargins left="0.4" right="0.4" top="1" bottom="0.5" header="0.3" footer="0.511811023622047"/>
  <pageSetup paperSize="9" scale="27" orientation="landscape" r:id="rId1"/>
  <legacyDrawing r:id="rId2"/>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5">
    <tabColor rgb="FFC55A11"/>
    <pageSetUpPr fitToPage="1"/>
  </sheetPr>
  <dimension ref="A1:AG144"/>
  <sheetViews>
    <sheetView topLeftCell="Q11" zoomScale="85" zoomScaleNormal="85" workbookViewId="0">
      <selection activeCell="Z24" sqref="Z24"/>
    </sheetView>
  </sheetViews>
  <sheetFormatPr defaultColWidth="12.5" defaultRowHeight="14" x14ac:dyDescent="0.3"/>
  <cols>
    <col min="1" max="1" width="12.5" style="79" customWidth="1"/>
    <col min="2" max="2" width="32" style="14" customWidth="1"/>
    <col min="3" max="3" width="15.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5.25" style="14" customWidth="1"/>
    <col min="15" max="17" width="12.5" style="14" customWidth="1"/>
    <col min="18" max="18" width="32.58203125" style="14" customWidth="1"/>
    <col min="19" max="19" width="12.5" style="14" customWidth="1"/>
    <col min="20" max="26" width="12.5" style="14"/>
    <col min="27" max="27" width="11" style="14" bestFit="1" customWidth="1"/>
    <col min="28" max="28" width="11.75" style="14" bestFit="1" customWidth="1"/>
    <col min="29" max="29" width="13.25" style="14" bestFit="1" customWidth="1"/>
    <col min="30" max="30" width="10.33203125" style="14" bestFit="1" customWidth="1"/>
    <col min="31" max="33" width="5.58203125" style="14" customWidth="1"/>
    <col min="34" max="16384" width="12.5" style="14"/>
  </cols>
  <sheetData>
    <row r="1" spans="1:33" ht="35.25" customHeight="1" x14ac:dyDescent="0.3">
      <c r="B1" s="80" t="s">
        <v>243</v>
      </c>
      <c r="C1" s="81">
        <v>1000</v>
      </c>
      <c r="D1" s="82" t="s">
        <v>244</v>
      </c>
      <c r="E1" s="117">
        <f>T32</f>
        <v>22762.511798036463</v>
      </c>
      <c r="F1" s="80" t="s">
        <v>245</v>
      </c>
      <c r="G1" s="268">
        <f>E1/C1</f>
        <v>22.762511798036464</v>
      </c>
      <c r="H1" s="80" t="s">
        <v>246</v>
      </c>
      <c r="I1" s="283">
        <f>G1/K1</f>
        <v>22.762511798036464</v>
      </c>
      <c r="J1" s="86" t="s">
        <v>247</v>
      </c>
      <c r="K1" s="100">
        <v>1</v>
      </c>
      <c r="L1" s="100"/>
      <c r="M1" s="89"/>
      <c r="N1" s="90"/>
      <c r="O1" s="91" t="s">
        <v>248</v>
      </c>
      <c r="P1" s="92" t="s">
        <v>301</v>
      </c>
      <c r="Q1" s="93" t="s">
        <v>250</v>
      </c>
      <c r="R1" s="562">
        <v>0.78</v>
      </c>
      <c r="Y1" s="91" t="s">
        <v>479</v>
      </c>
      <c r="Z1" s="847">
        <v>141600</v>
      </c>
      <c r="AA1" s="91" t="s">
        <v>600</v>
      </c>
      <c r="AB1" s="847">
        <v>0</v>
      </c>
      <c r="AC1" s="91" t="s">
        <v>587</v>
      </c>
      <c r="AD1" s="847">
        <v>452</v>
      </c>
      <c r="AE1" s="250"/>
      <c r="AF1" s="252"/>
      <c r="AG1" s="92"/>
    </row>
    <row r="2" spans="1:33" ht="12.75" customHeight="1" x14ac:dyDescent="0.3">
      <c r="A2" s="97"/>
      <c r="B2" s="1408" t="s">
        <v>480</v>
      </c>
      <c r="C2" s="1429"/>
      <c r="D2" s="1429"/>
      <c r="E2" s="1429"/>
      <c r="F2" s="1429"/>
      <c r="G2" s="1429"/>
      <c r="H2" s="1429"/>
      <c r="I2" s="552"/>
      <c r="J2" s="552"/>
      <c r="K2" s="553"/>
      <c r="L2" s="293"/>
      <c r="M2" s="100"/>
      <c r="N2" s="100"/>
      <c r="O2" s="100"/>
      <c r="P2" s="100"/>
      <c r="Q2" s="100"/>
      <c r="R2" s="100"/>
      <c r="AC2" s="99"/>
      <c r="AD2" s="99"/>
      <c r="AE2" s="1391"/>
      <c r="AF2" s="1389"/>
      <c r="AG2" s="1389"/>
    </row>
    <row r="3" spans="1:33" ht="12.75" customHeight="1" x14ac:dyDescent="0.3">
      <c r="A3" s="97"/>
      <c r="B3" s="1388"/>
      <c r="C3" s="1388"/>
      <c r="D3" s="1388"/>
      <c r="E3" s="1388"/>
      <c r="F3" s="1388"/>
      <c r="G3" s="1388"/>
      <c r="H3" s="1388"/>
      <c r="I3" s="370"/>
      <c r="J3" s="370"/>
      <c r="K3" s="504"/>
      <c r="L3" s="293"/>
      <c r="M3" s="100"/>
      <c r="N3" s="100"/>
      <c r="O3" s="100"/>
      <c r="P3" s="100"/>
      <c r="Q3" s="100"/>
      <c r="R3" s="100"/>
      <c r="AC3" s="99"/>
      <c r="AD3" s="99"/>
      <c r="AE3" s="1389"/>
      <c r="AF3" s="1389"/>
      <c r="AG3" s="1389"/>
    </row>
    <row r="4" spans="1:33" ht="48.5" customHeight="1" x14ac:dyDescent="0.25">
      <c r="A4" s="91" t="s">
        <v>1</v>
      </c>
      <c r="B4" s="91" t="s">
        <v>253</v>
      </c>
      <c r="C4" s="107" t="s">
        <v>254</v>
      </c>
      <c r="D4" s="91" t="s">
        <v>243</v>
      </c>
      <c r="E4" s="218" t="s">
        <v>246</v>
      </c>
      <c r="F4" s="108" t="s">
        <v>255</v>
      </c>
      <c r="G4" s="91" t="s">
        <v>256</v>
      </c>
      <c r="H4" s="331" t="s">
        <v>347</v>
      </c>
      <c r="I4" s="91" t="s">
        <v>258</v>
      </c>
      <c r="J4" s="91" t="s">
        <v>259</v>
      </c>
      <c r="K4" s="91" t="s">
        <v>260</v>
      </c>
      <c r="L4" s="91" t="s">
        <v>261</v>
      </c>
      <c r="M4" s="100"/>
      <c r="N4" s="100"/>
      <c r="O4" s="100"/>
      <c r="P4" s="100"/>
      <c r="AA4" s="251"/>
      <c r="AB4" s="253"/>
      <c r="AC4" s="251"/>
      <c r="AD4" s="251"/>
      <c r="AE4" s="251"/>
    </row>
    <row r="5" spans="1:33" ht="14.25" customHeight="1" x14ac:dyDescent="0.25">
      <c r="A5" s="266" t="s">
        <v>230</v>
      </c>
      <c r="B5" s="323" t="s">
        <v>237</v>
      </c>
      <c r="C5" s="124" t="s">
        <v>14</v>
      </c>
      <c r="D5" s="121">
        <f>I51/H51</f>
        <v>3185.1282051282051</v>
      </c>
      <c r="E5" s="197">
        <f>$H$52</f>
        <v>22.761783931734019</v>
      </c>
      <c r="F5" s="127">
        <v>1</v>
      </c>
      <c r="G5" s="121">
        <f t="shared" ref="G5:G19" si="0">D5*E5</f>
        <v>72499.199999999997</v>
      </c>
      <c r="H5" s="120">
        <f t="shared" ref="H5:H19" si="1">G5*F5</f>
        <v>72499.199999999997</v>
      </c>
      <c r="I5" s="81">
        <f>VLOOKUP(B5,All_Ingredients!$A$1:$F$151,6,FALSE())</f>
        <v>0.99</v>
      </c>
      <c r="J5" s="119">
        <f>VLOOKUP(B5,All_Ingredients!$A$1:$J$151,10,FALSE())</f>
        <v>0</v>
      </c>
      <c r="K5" s="122">
        <f t="shared" ref="K5" si="2">(H5/I5)/1000</f>
        <v>73.231515151515154</v>
      </c>
      <c r="L5" s="122">
        <f t="shared" ref="L5" si="3">K5*J5</f>
        <v>0</v>
      </c>
      <c r="M5" s="100"/>
      <c r="N5" s="100"/>
      <c r="O5" s="100"/>
      <c r="P5" s="100"/>
      <c r="X5" s="100"/>
      <c r="AA5" s="92"/>
      <c r="AB5" s="133"/>
      <c r="AC5" s="254"/>
      <c r="AD5" s="135"/>
      <c r="AE5" s="136"/>
    </row>
    <row r="6" spans="1:33" ht="14.25" customHeight="1" x14ac:dyDescent="0.3">
      <c r="A6" s="128" t="s">
        <v>13</v>
      </c>
      <c r="B6" s="22" t="s">
        <v>17</v>
      </c>
      <c r="C6" s="124" t="s">
        <v>14</v>
      </c>
      <c r="D6" s="125">
        <v>500</v>
      </c>
      <c r="E6" s="197">
        <f t="shared" ref="E6:E19" si="4">$G$1</f>
        <v>22.762511798036464</v>
      </c>
      <c r="F6" s="127">
        <v>1</v>
      </c>
      <c r="G6" s="121">
        <f t="shared" si="0"/>
        <v>11381.255899018232</v>
      </c>
      <c r="H6" s="120">
        <f t="shared" si="1"/>
        <v>11381.255899018232</v>
      </c>
      <c r="I6" s="81">
        <f>VLOOKUP(B6,All_Ingredients!$A$1:$F$151,6,FALSE())</f>
        <v>0.98</v>
      </c>
      <c r="J6" s="119">
        <f>VLOOKUP(B6,All_Ingredients!$A$1:$J$151,10,FALSE())</f>
        <v>3.5</v>
      </c>
      <c r="K6" s="122">
        <f t="shared" ref="K6:K19" si="5">(H6/I6)/1000</f>
        <v>11.613526427569624</v>
      </c>
      <c r="L6" s="122">
        <f t="shared" ref="L6:L19" si="6">K6*J6</f>
        <v>40.647342496493685</v>
      </c>
      <c r="U6" s="560"/>
      <c r="V6" s="100"/>
    </row>
    <row r="7" spans="1:33" ht="14.25" customHeight="1" x14ac:dyDescent="0.3">
      <c r="A7" s="128" t="s">
        <v>13</v>
      </c>
      <c r="B7" s="22" t="s">
        <v>12</v>
      </c>
      <c r="C7" s="124" t="s">
        <v>14</v>
      </c>
      <c r="D7" s="125">
        <v>300</v>
      </c>
      <c r="E7" s="223">
        <f t="shared" si="4"/>
        <v>22.762511798036464</v>
      </c>
      <c r="F7" s="127">
        <v>1</v>
      </c>
      <c r="G7" s="121">
        <f t="shared" si="0"/>
        <v>6828.7535394109391</v>
      </c>
      <c r="H7" s="120">
        <f t="shared" si="1"/>
        <v>6828.7535394109391</v>
      </c>
      <c r="I7" s="81">
        <f>VLOOKUP(B7,All_Ingredients!$A$1:$F$151,6,FALSE())</f>
        <v>0.9</v>
      </c>
      <c r="J7" s="119">
        <f>VLOOKUP(B7,All_Ingredients!$A$1:$J$151,10,FALSE())</f>
        <v>3</v>
      </c>
      <c r="K7" s="122">
        <f t="shared" si="5"/>
        <v>7.5875039326788212</v>
      </c>
      <c r="L7" s="122">
        <f t="shared" si="6"/>
        <v>22.762511798036464</v>
      </c>
      <c r="U7" s="560"/>
      <c r="V7" s="100"/>
    </row>
    <row r="8" spans="1:33" ht="14.25" customHeight="1" x14ac:dyDescent="0.3">
      <c r="A8" s="128" t="s">
        <v>158</v>
      </c>
      <c r="B8" s="22" t="s">
        <v>157</v>
      </c>
      <c r="C8" s="124" t="s">
        <v>14</v>
      </c>
      <c r="D8" s="125">
        <v>50</v>
      </c>
      <c r="E8" s="223">
        <f t="shared" si="4"/>
        <v>22.762511798036464</v>
      </c>
      <c r="F8" s="127">
        <v>1</v>
      </c>
      <c r="G8" s="121">
        <f t="shared" si="0"/>
        <v>1138.1255899018231</v>
      </c>
      <c r="H8" s="120">
        <f t="shared" si="1"/>
        <v>1138.1255899018231</v>
      </c>
      <c r="I8" s="81">
        <f>VLOOKUP(B8,All_Ingredients!$A$1:$F$151,6,FALSE())</f>
        <v>1</v>
      </c>
      <c r="J8" s="119">
        <f>VLOOKUP(B8,All_Ingredients!$A$1:$J$151,10,FALSE())</f>
        <v>30</v>
      </c>
      <c r="K8" s="122">
        <f t="shared" si="5"/>
        <v>1.138125589901823</v>
      </c>
      <c r="L8" s="122">
        <f t="shared" si="6"/>
        <v>34.143767697054692</v>
      </c>
      <c r="U8" s="560"/>
      <c r="V8" s="100"/>
    </row>
    <row r="9" spans="1:33" ht="14.25" customHeight="1" x14ac:dyDescent="0.3">
      <c r="A9" s="128" t="s">
        <v>13</v>
      </c>
      <c r="B9" s="22" t="s">
        <v>792</v>
      </c>
      <c r="C9" s="124" t="s">
        <v>14</v>
      </c>
      <c r="D9" s="125">
        <v>50</v>
      </c>
      <c r="E9" s="223">
        <f t="shared" si="4"/>
        <v>22.762511798036464</v>
      </c>
      <c r="F9" s="127">
        <v>1</v>
      </c>
      <c r="G9" s="121">
        <f t="shared" si="0"/>
        <v>1138.1255899018231</v>
      </c>
      <c r="H9" s="120">
        <f t="shared" si="1"/>
        <v>1138.1255899018231</v>
      </c>
      <c r="I9" s="81">
        <f>VLOOKUP(B9,All_Ingredients!$A$1:$F$151,6,FALSE())</f>
        <v>1</v>
      </c>
      <c r="J9" s="119">
        <f>VLOOKUP(B9,All_Ingredients!$A$1:$J$151,10,FALSE())</f>
        <v>10.5</v>
      </c>
      <c r="K9" s="122">
        <f t="shared" si="5"/>
        <v>1.138125589901823</v>
      </c>
      <c r="L9" s="122">
        <f t="shared" si="6"/>
        <v>11.950318693969141</v>
      </c>
      <c r="U9" s="560"/>
      <c r="V9" s="100"/>
    </row>
    <row r="10" spans="1:33" ht="16.25" customHeight="1" x14ac:dyDescent="0.3">
      <c r="A10" s="128" t="s">
        <v>196</v>
      </c>
      <c r="B10" s="22" t="s">
        <v>761</v>
      </c>
      <c r="C10" s="124" t="s">
        <v>14</v>
      </c>
      <c r="D10" s="125">
        <v>500</v>
      </c>
      <c r="E10" s="223">
        <f t="shared" si="4"/>
        <v>22.762511798036464</v>
      </c>
      <c r="F10" s="127">
        <v>1</v>
      </c>
      <c r="G10" s="121">
        <f t="shared" si="0"/>
        <v>11381.255899018232</v>
      </c>
      <c r="H10" s="120">
        <f t="shared" si="1"/>
        <v>11381.255899018232</v>
      </c>
      <c r="I10" s="81">
        <f>VLOOKUP(B10,All_Ingredients!$A$1:$F$151,6,FALSE())</f>
        <v>1</v>
      </c>
      <c r="J10" s="119">
        <f>VLOOKUP(B10,All_Ingredients!$A$1:$J$151,10,FALSE())</f>
        <v>8.1520833333333336</v>
      </c>
      <c r="K10" s="122">
        <f t="shared" si="5"/>
        <v>11.381255899018232</v>
      </c>
      <c r="L10" s="122">
        <f t="shared" si="6"/>
        <v>92.780946526788213</v>
      </c>
      <c r="U10" s="560"/>
      <c r="V10" s="100"/>
    </row>
    <row r="11" spans="1:33" ht="14.25" customHeight="1" x14ac:dyDescent="0.3">
      <c r="A11" s="128" t="s">
        <v>196</v>
      </c>
      <c r="B11" s="22" t="s">
        <v>198</v>
      </c>
      <c r="C11" s="124" t="s">
        <v>165</v>
      </c>
      <c r="D11" s="125">
        <v>50</v>
      </c>
      <c r="E11" s="223">
        <f t="shared" si="4"/>
        <v>22.762511798036464</v>
      </c>
      <c r="F11" s="127">
        <v>1</v>
      </c>
      <c r="G11" s="121">
        <f t="shared" si="0"/>
        <v>1138.1255899018231</v>
      </c>
      <c r="H11" s="120">
        <f t="shared" si="1"/>
        <v>1138.1255899018231</v>
      </c>
      <c r="I11" s="81">
        <f>VLOOKUP(B11,All_Ingredients!$A$1:$F$151,6,FALSE())</f>
        <v>1</v>
      </c>
      <c r="J11" s="119">
        <f>VLOOKUP(B11,All_Ingredients!$A$1:$J$151,10,FALSE())</f>
        <v>58.685446009389672</v>
      </c>
      <c r="K11" s="122">
        <f t="shared" si="5"/>
        <v>1.138125589901823</v>
      </c>
      <c r="L11" s="122">
        <f t="shared" si="6"/>
        <v>66.791407858088206</v>
      </c>
      <c r="U11" s="560"/>
      <c r="V11" s="100"/>
    </row>
    <row r="12" spans="1:33" x14ac:dyDescent="0.3">
      <c r="A12" s="128" t="s">
        <v>97</v>
      </c>
      <c r="B12" s="22" t="s">
        <v>110</v>
      </c>
      <c r="C12" s="124" t="s">
        <v>14</v>
      </c>
      <c r="D12" s="125">
        <v>20</v>
      </c>
      <c r="E12" s="223">
        <f t="shared" si="4"/>
        <v>22.762511798036464</v>
      </c>
      <c r="F12" s="127">
        <v>1</v>
      </c>
      <c r="G12" s="121">
        <f t="shared" si="0"/>
        <v>455.25023596072924</v>
      </c>
      <c r="H12" s="120">
        <f t="shared" si="1"/>
        <v>455.25023596072924</v>
      </c>
      <c r="I12" s="81">
        <f>VLOOKUP(B12,All_Ingredients!$A$1:$F$151,6,FALSE())</f>
        <v>1</v>
      </c>
      <c r="J12" s="119">
        <f>VLOOKUP(B12,All_Ingredients!$A$1:$J$151,10,FALSE())</f>
        <v>8</v>
      </c>
      <c r="K12" s="122">
        <f t="shared" si="5"/>
        <v>0.45525023596072922</v>
      </c>
      <c r="L12" s="122">
        <f t="shared" si="6"/>
        <v>3.6420018876858338</v>
      </c>
      <c r="U12" s="560"/>
      <c r="V12" s="100"/>
    </row>
    <row r="13" spans="1:33" ht="15.75" customHeight="1" x14ac:dyDescent="0.3">
      <c r="A13" s="128" t="s">
        <v>97</v>
      </c>
      <c r="B13" s="22" t="s">
        <v>108</v>
      </c>
      <c r="C13" s="124" t="s">
        <v>14</v>
      </c>
      <c r="D13" s="125">
        <v>20</v>
      </c>
      <c r="E13" s="223">
        <f t="shared" si="4"/>
        <v>22.762511798036464</v>
      </c>
      <c r="F13" s="127">
        <v>1</v>
      </c>
      <c r="G13" s="121">
        <f t="shared" si="0"/>
        <v>455.25023596072924</v>
      </c>
      <c r="H13" s="120">
        <f t="shared" si="1"/>
        <v>455.25023596072924</v>
      </c>
      <c r="I13" s="81">
        <f>VLOOKUP(B13,All_Ingredients!$A$1:$F$151,6,FALSE())</f>
        <v>1</v>
      </c>
      <c r="J13" s="119">
        <f>VLOOKUP(B13,All_Ingredients!$A$1:$J$151,10,FALSE())</f>
        <v>15</v>
      </c>
      <c r="K13" s="122">
        <f t="shared" si="5"/>
        <v>0.45525023596072922</v>
      </c>
      <c r="L13" s="122">
        <f t="shared" si="6"/>
        <v>6.828753539410938</v>
      </c>
      <c r="U13" s="560"/>
      <c r="V13" s="100"/>
    </row>
    <row r="14" spans="1:33" ht="17.25" customHeight="1" x14ac:dyDescent="0.3">
      <c r="A14" s="128" t="s">
        <v>97</v>
      </c>
      <c r="B14" s="323" t="s">
        <v>102</v>
      </c>
      <c r="C14" s="124" t="s">
        <v>14</v>
      </c>
      <c r="D14" s="125">
        <v>10</v>
      </c>
      <c r="E14" s="223">
        <f t="shared" si="4"/>
        <v>22.762511798036464</v>
      </c>
      <c r="F14" s="127">
        <v>1</v>
      </c>
      <c r="G14" s="121">
        <f t="shared" si="0"/>
        <v>227.62511798036462</v>
      </c>
      <c r="H14" s="120">
        <f t="shared" si="1"/>
        <v>227.62511798036462</v>
      </c>
      <c r="I14" s="81">
        <f>VLOOKUP(B14,All_Ingredients!$A$1:$F$151,6,FALSE())</f>
        <v>1</v>
      </c>
      <c r="J14" s="119">
        <f>VLOOKUP(B14,All_Ingredients!$A$1:$J$151,10,FALSE())</f>
        <v>31</v>
      </c>
      <c r="K14" s="122">
        <f t="shared" si="5"/>
        <v>0.22762511798036461</v>
      </c>
      <c r="L14" s="122">
        <f t="shared" si="6"/>
        <v>7.0563786573913028</v>
      </c>
      <c r="U14" s="560"/>
      <c r="V14" s="100"/>
    </row>
    <row r="15" spans="1:33" ht="18.75" customHeight="1" x14ac:dyDescent="0.3">
      <c r="A15" s="128" t="s">
        <v>97</v>
      </c>
      <c r="B15" s="323" t="s">
        <v>126</v>
      </c>
      <c r="C15" s="124" t="s">
        <v>14</v>
      </c>
      <c r="D15" s="125">
        <v>5</v>
      </c>
      <c r="E15" s="223">
        <f t="shared" si="4"/>
        <v>22.762511798036464</v>
      </c>
      <c r="F15" s="127">
        <v>1</v>
      </c>
      <c r="G15" s="121">
        <f t="shared" si="0"/>
        <v>113.81255899018231</v>
      </c>
      <c r="H15" s="120">
        <f t="shared" si="1"/>
        <v>113.81255899018231</v>
      </c>
      <c r="I15" s="81">
        <f>VLOOKUP(B15,All_Ingredients!$A$1:$F$151,6,FALSE())</f>
        <v>1</v>
      </c>
      <c r="J15" s="119">
        <f>VLOOKUP(B15,All_Ingredients!$A$1:$J$151,10,FALSE())</f>
        <v>14</v>
      </c>
      <c r="K15" s="122">
        <f t="shared" si="5"/>
        <v>0.11381255899018231</v>
      </c>
      <c r="L15" s="122">
        <f t="shared" si="6"/>
        <v>1.5933758258625523</v>
      </c>
      <c r="U15" s="560"/>
      <c r="V15" s="100"/>
    </row>
    <row r="16" spans="1:33" ht="14.75" customHeight="1" x14ac:dyDescent="0.3">
      <c r="A16" s="128" t="s">
        <v>220</v>
      </c>
      <c r="B16" s="323" t="s">
        <v>221</v>
      </c>
      <c r="C16" s="124" t="s">
        <v>14</v>
      </c>
      <c r="D16" s="125">
        <v>1</v>
      </c>
      <c r="E16" s="223">
        <f t="shared" si="4"/>
        <v>22.762511798036464</v>
      </c>
      <c r="F16" s="127">
        <v>1</v>
      </c>
      <c r="G16" s="121">
        <f t="shared" si="0"/>
        <v>22.762511798036464</v>
      </c>
      <c r="H16" s="120">
        <f t="shared" si="1"/>
        <v>22.762511798036464</v>
      </c>
      <c r="I16" s="81">
        <f>VLOOKUP(B16,All_Ingredients!$A$1:$F$151,6,FALSE())</f>
        <v>1</v>
      </c>
      <c r="J16" s="119">
        <f>VLOOKUP(B16,All_Ingredients!$A$1:$J$151,10,FALSE())</f>
        <v>35</v>
      </c>
      <c r="K16" s="122">
        <f t="shared" si="5"/>
        <v>2.2762511798036462E-2</v>
      </c>
      <c r="L16" s="122">
        <f t="shared" si="6"/>
        <v>0.79668791293127617</v>
      </c>
      <c r="U16" s="560"/>
      <c r="V16" s="100"/>
    </row>
    <row r="17" spans="1:29" ht="14.25" customHeight="1" x14ac:dyDescent="0.3">
      <c r="A17" s="79" t="s">
        <v>158</v>
      </c>
      <c r="B17" s="323" t="s">
        <v>178</v>
      </c>
      <c r="C17" s="124" t="s">
        <v>14</v>
      </c>
      <c r="D17" s="115">
        <v>297</v>
      </c>
      <c r="E17" s="223">
        <f t="shared" si="4"/>
        <v>22.762511798036464</v>
      </c>
      <c r="F17" s="127">
        <v>1</v>
      </c>
      <c r="G17" s="121">
        <f t="shared" si="0"/>
        <v>6760.4660040168301</v>
      </c>
      <c r="H17" s="120">
        <f t="shared" si="1"/>
        <v>6760.4660040168301</v>
      </c>
      <c r="I17" s="81">
        <f>VLOOKUP(B17,All_Ingredients!$A$1:$F$151,6,FALSE())</f>
        <v>1</v>
      </c>
      <c r="J17" s="119">
        <f>VLOOKUP(B17,All_Ingredients!$A$1:$J$151,10,FALSE())</f>
        <v>17.934782608695652</v>
      </c>
      <c r="K17" s="122">
        <f t="shared" si="5"/>
        <v>6.7604660040168305</v>
      </c>
      <c r="L17" s="122">
        <f t="shared" si="6"/>
        <v>121.24748811551925</v>
      </c>
      <c r="Q17" s="413"/>
    </row>
    <row r="18" spans="1:29" ht="14.25" customHeight="1" x14ac:dyDescent="0.3">
      <c r="A18" s="128" t="s">
        <v>97</v>
      </c>
      <c r="B18" s="22" t="s">
        <v>96</v>
      </c>
      <c r="C18" s="124" t="s">
        <v>14</v>
      </c>
      <c r="D18" s="125">
        <v>5</v>
      </c>
      <c r="E18" s="223">
        <f t="shared" si="4"/>
        <v>22.762511798036464</v>
      </c>
      <c r="F18" s="127">
        <v>1</v>
      </c>
      <c r="G18" s="121">
        <f t="shared" si="0"/>
        <v>113.81255899018231</v>
      </c>
      <c r="H18" s="120">
        <f t="shared" si="1"/>
        <v>113.81255899018231</v>
      </c>
      <c r="I18" s="81">
        <f>VLOOKUP(B18,All_Ingredients!$A$1:$F$151,6,FALSE())</f>
        <v>1</v>
      </c>
      <c r="J18" s="119">
        <f>VLOOKUP(B18,All_Ingredients!$A$1:$J$151,10,FALSE())</f>
        <v>0.74</v>
      </c>
      <c r="K18" s="122">
        <f t="shared" si="5"/>
        <v>0.11381255899018231</v>
      </c>
      <c r="L18" s="122">
        <f t="shared" si="6"/>
        <v>8.422129365273491E-2</v>
      </c>
    </row>
    <row r="19" spans="1:29" ht="14.25" customHeight="1" x14ac:dyDescent="0.3">
      <c r="A19" s="128" t="s">
        <v>97</v>
      </c>
      <c r="B19" s="22" t="s">
        <v>191</v>
      </c>
      <c r="C19" s="124" t="s">
        <v>14</v>
      </c>
      <c r="D19" s="125">
        <v>100</v>
      </c>
      <c r="E19" s="223">
        <f t="shared" si="4"/>
        <v>22.762511798036464</v>
      </c>
      <c r="F19" s="127">
        <v>1</v>
      </c>
      <c r="G19" s="121">
        <f t="shared" si="0"/>
        <v>2276.2511798036462</v>
      </c>
      <c r="H19" s="120">
        <f t="shared" si="1"/>
        <v>2276.2511798036462</v>
      </c>
      <c r="I19" s="81">
        <f>VLOOKUP(B19,All_Ingredients!$A$1:$F$151,6,FALSE())</f>
        <v>1</v>
      </c>
      <c r="J19" s="119">
        <f>VLOOKUP(B19,All_Ingredients!$A$1:$J$151,10,FALSE())</f>
        <v>1.7</v>
      </c>
      <c r="K19" s="122">
        <f t="shared" si="5"/>
        <v>2.276251179803646</v>
      </c>
      <c r="L19" s="122">
        <f t="shared" si="6"/>
        <v>3.8696270056661981</v>
      </c>
    </row>
    <row r="21" spans="1:29" ht="14.25" customHeight="1" x14ac:dyDescent="0.3">
      <c r="L21" s="297"/>
      <c r="R21" s="563" t="s">
        <v>367</v>
      </c>
      <c r="T21" s="563" t="s">
        <v>481</v>
      </c>
    </row>
    <row r="22" spans="1:29" ht="14.25" customHeight="1" x14ac:dyDescent="0.3">
      <c r="L22" s="297"/>
      <c r="R22" s="402">
        <f>$Z$1</f>
        <v>141600</v>
      </c>
      <c r="T22" s="402">
        <f>$AB$1</f>
        <v>0</v>
      </c>
    </row>
    <row r="23" spans="1:29" ht="14.25" customHeight="1" x14ac:dyDescent="0.3">
      <c r="L23" s="297"/>
    </row>
    <row r="24" spans="1:29" ht="14.25" customHeight="1" x14ac:dyDescent="0.3">
      <c r="L24" s="297"/>
      <c r="Z24" s="1234"/>
    </row>
    <row r="25" spans="1:29" ht="14.25" customHeight="1" x14ac:dyDescent="0.3">
      <c r="L25" s="297"/>
      <c r="R25" s="1423" t="s">
        <v>482</v>
      </c>
      <c r="S25" s="1388"/>
      <c r="T25" s="1388"/>
      <c r="U25" s="1388"/>
      <c r="Z25" s="141" t="s">
        <v>264</v>
      </c>
      <c r="AA25" s="142">
        <v>79312</v>
      </c>
      <c r="AB25" s="141" t="s">
        <v>261</v>
      </c>
      <c r="AC25" s="143">
        <f>AC30*AA25</f>
        <v>414.19541526702938</v>
      </c>
    </row>
    <row r="26" spans="1:29" ht="18" customHeight="1" x14ac:dyDescent="0.3">
      <c r="L26" s="297"/>
      <c r="R26" s="1423" t="s">
        <v>373</v>
      </c>
      <c r="S26" s="1388"/>
      <c r="T26" s="1388"/>
      <c r="U26" s="1388"/>
    </row>
    <row r="27" spans="1:29" ht="23.25" customHeight="1" x14ac:dyDescent="0.3">
      <c r="L27" s="297"/>
      <c r="R27" s="145" t="s">
        <v>266</v>
      </c>
      <c r="S27" s="146" t="s">
        <v>398</v>
      </c>
      <c r="T27" s="146" t="s">
        <v>268</v>
      </c>
      <c r="U27" s="146" t="s">
        <v>269</v>
      </c>
      <c r="Z27" s="141" t="s">
        <v>270</v>
      </c>
      <c r="AA27" s="147" t="s">
        <v>271</v>
      </c>
      <c r="AB27" s="147" t="s">
        <v>272</v>
      </c>
      <c r="AC27" s="147" t="s">
        <v>274</v>
      </c>
    </row>
    <row r="28" spans="1:29" ht="14.25" customHeight="1" x14ac:dyDescent="0.3">
      <c r="L28" s="297"/>
      <c r="R28" s="148" t="s">
        <v>275</v>
      </c>
      <c r="S28" s="149">
        <f>($R$22*0.512)*$R$1</f>
        <v>56549.375999999997</v>
      </c>
      <c r="T28" s="149">
        <f>U28*U40</f>
        <v>22762.511798036463</v>
      </c>
      <c r="U28" s="149">
        <f>S28/S40</f>
        <v>79311.887798036463</v>
      </c>
      <c r="Z28" s="151"/>
      <c r="AA28" s="152">
        <f>AA25*$S$40</f>
        <v>56549.455999999998</v>
      </c>
      <c r="AB28" s="152">
        <f>AA25*$U$40</f>
        <v>22762.543999999998</v>
      </c>
      <c r="AC28" s="154">
        <f>SUM(AA28:AB28)</f>
        <v>79312</v>
      </c>
    </row>
    <row r="29" spans="1:29" ht="14.25" customHeight="1" x14ac:dyDescent="0.3">
      <c r="R29" s="148" t="s">
        <v>276</v>
      </c>
      <c r="S29" s="155"/>
      <c r="T29" s="149"/>
      <c r="U29" s="149">
        <f>T29</f>
        <v>0</v>
      </c>
      <c r="Z29" s="151"/>
      <c r="AA29" s="156">
        <f>AA28/$AC$28</f>
        <v>0.71299999999999997</v>
      </c>
      <c r="AB29" s="156">
        <f>AB28/$AC$28</f>
        <v>0.28699999999999998</v>
      </c>
      <c r="AC29" s="156">
        <f>AC28/$AC$28</f>
        <v>1</v>
      </c>
    </row>
    <row r="30" spans="1:29" ht="14.25" customHeight="1" x14ac:dyDescent="0.3">
      <c r="B30" s="100"/>
      <c r="R30" s="148" t="s">
        <v>277</v>
      </c>
      <c r="S30" s="149">
        <f>($T$22*0.512)*$R$1</f>
        <v>0</v>
      </c>
      <c r="T30" s="149">
        <f>U30-S30</f>
        <v>0</v>
      </c>
      <c r="U30" s="149">
        <f>S30/S40</f>
        <v>0</v>
      </c>
      <c r="Z30" s="141" t="s">
        <v>278</v>
      </c>
      <c r="AA30" s="157">
        <f>S35/(S32)</f>
        <v>0</v>
      </c>
      <c r="AB30" s="158">
        <f>T35/T32</f>
        <v>1.8196358687633044E-2</v>
      </c>
      <c r="AC30" s="1317">
        <f>SUMPRODUCT(AA29:AB29,AA30:AB30)</f>
        <v>5.2223549433506834E-3</v>
      </c>
    </row>
    <row r="31" spans="1:29" ht="14.25" customHeight="1" x14ac:dyDescent="0.3">
      <c r="B31" s="100"/>
      <c r="R31" s="148" t="s">
        <v>279</v>
      </c>
      <c r="S31" s="155"/>
      <c r="T31" s="149"/>
      <c r="U31" s="149"/>
      <c r="AC31" s="1327"/>
    </row>
    <row r="32" spans="1:29" ht="14.25" customHeight="1" x14ac:dyDescent="0.3">
      <c r="B32" s="100"/>
      <c r="E32" s="100"/>
      <c r="F32" s="100"/>
      <c r="R32" s="160" t="s">
        <v>269</v>
      </c>
      <c r="S32" s="149">
        <f>SUM(S28:S30)</f>
        <v>56549.375999999997</v>
      </c>
      <c r="T32" s="149">
        <f>SUM(T28:T30)</f>
        <v>22762.511798036463</v>
      </c>
      <c r="U32" s="149">
        <f>SUM(U28:U30)</f>
        <v>79311.887798036463</v>
      </c>
    </row>
    <row r="33" spans="2:24" ht="14.25" customHeight="1" x14ac:dyDescent="0.3">
      <c r="B33" s="100"/>
      <c r="E33" s="100"/>
      <c r="F33" s="100"/>
      <c r="R33" s="161" t="s">
        <v>280</v>
      </c>
      <c r="S33" s="155"/>
      <c r="T33" s="155"/>
      <c r="U33" s="149">
        <f>F82</f>
        <v>0</v>
      </c>
    </row>
    <row r="34" spans="2:24" ht="14.25" customHeight="1" x14ac:dyDescent="0.3">
      <c r="B34" s="100"/>
      <c r="E34" s="100"/>
      <c r="F34" s="100"/>
      <c r="R34" s="162" t="s">
        <v>281</v>
      </c>
      <c r="S34" s="155"/>
      <c r="T34" s="149"/>
      <c r="U34" s="149">
        <f>U33-(U28+U29)</f>
        <v>-79311.887798036463</v>
      </c>
    </row>
    <row r="35" spans="2:24" ht="14.25" customHeight="1" x14ac:dyDescent="0.3">
      <c r="B35" s="100"/>
      <c r="E35" s="100"/>
      <c r="F35" s="100"/>
      <c r="R35" s="163" t="s">
        <v>261</v>
      </c>
      <c r="S35" s="1144">
        <f>$L$5</f>
        <v>0</v>
      </c>
      <c r="T35" s="1144">
        <f>SUM(L6:L19)</f>
        <v>414.19482930855042</v>
      </c>
      <c r="U35" s="1144">
        <f>S35+T35</f>
        <v>414.19482930855042</v>
      </c>
    </row>
    <row r="36" spans="2:24" ht="14.25" customHeight="1" x14ac:dyDescent="0.3">
      <c r="B36" s="100"/>
      <c r="E36" s="100"/>
      <c r="F36" s="100"/>
    </row>
    <row r="40" spans="2:24" ht="14.25" customHeight="1" x14ac:dyDescent="0.3">
      <c r="R40" s="165" t="s">
        <v>282</v>
      </c>
      <c r="S40" s="239">
        <v>0.71299999999999997</v>
      </c>
      <c r="T40" s="165" t="s">
        <v>283</v>
      </c>
      <c r="U40" s="239">
        <v>0.28699999999999998</v>
      </c>
      <c r="V40" s="168">
        <f>S40+U40</f>
        <v>1</v>
      </c>
    </row>
    <row r="41" spans="2:24" ht="14.25" customHeight="1" x14ac:dyDescent="0.3">
      <c r="U41" s="169"/>
    </row>
    <row r="42" spans="2:24" ht="14.25" customHeight="1" x14ac:dyDescent="0.3"/>
    <row r="43" spans="2:24" ht="14" customHeight="1" x14ac:dyDescent="0.3">
      <c r="Q43" s="170" t="s">
        <v>284</v>
      </c>
      <c r="R43" s="170" t="s">
        <v>285</v>
      </c>
      <c r="S43" s="170" t="s">
        <v>286</v>
      </c>
      <c r="T43" s="170" t="s">
        <v>287</v>
      </c>
      <c r="U43" s="170" t="s">
        <v>288</v>
      </c>
      <c r="V43" s="170" t="s">
        <v>289</v>
      </c>
      <c r="W43" s="258" t="s">
        <v>290</v>
      </c>
      <c r="X43" s="321"/>
    </row>
    <row r="44" spans="2:24" ht="14" customHeight="1" x14ac:dyDescent="0.3">
      <c r="Q44" s="172">
        <v>34844</v>
      </c>
      <c r="R44" s="173">
        <f>D51</f>
        <v>10000</v>
      </c>
      <c r="S44" s="241">
        <v>1</v>
      </c>
      <c r="T44" s="241">
        <v>0</v>
      </c>
      <c r="U44" s="242">
        <f>R44*S44</f>
        <v>10000</v>
      </c>
      <c r="V44" s="176">
        <f>R44*T44</f>
        <v>0</v>
      </c>
      <c r="W44" s="260">
        <f>Q44-U44</f>
        <v>24844</v>
      </c>
      <c r="X44" s="298"/>
    </row>
    <row r="50" spans="2:10" x14ac:dyDescent="0.3">
      <c r="B50" s="276"/>
      <c r="C50" s="145" t="s">
        <v>245</v>
      </c>
      <c r="D50" s="145" t="s">
        <v>291</v>
      </c>
      <c r="G50" s="145" t="s">
        <v>292</v>
      </c>
      <c r="H50" s="145" t="s">
        <v>245</v>
      </c>
      <c r="I50" s="145" t="s">
        <v>293</v>
      </c>
      <c r="J50" s="145" t="s">
        <v>294</v>
      </c>
    </row>
    <row r="51" spans="2:10" x14ac:dyDescent="0.3">
      <c r="B51" s="180" t="s">
        <v>295</v>
      </c>
      <c r="C51" s="181">
        <f>10/$K$1</f>
        <v>10</v>
      </c>
      <c r="D51" s="182">
        <f>$C$1*10</f>
        <v>10000</v>
      </c>
      <c r="G51" s="180" t="s">
        <v>295</v>
      </c>
      <c r="H51" s="277">
        <v>10</v>
      </c>
      <c r="I51" s="181">
        <f t="shared" ref="I51:I57" si="7">J51/$R$1</f>
        <v>31851.282051282051</v>
      </c>
      <c r="J51" s="181">
        <f>$W$44</f>
        <v>24844</v>
      </c>
    </row>
    <row r="52" spans="2:10" x14ac:dyDescent="0.3">
      <c r="B52" s="231" t="s">
        <v>274</v>
      </c>
      <c r="C52" s="232">
        <f>$I$1</f>
        <v>22.762511798036464</v>
      </c>
      <c r="D52" s="233">
        <f>$T$32</f>
        <v>22762.511798036463</v>
      </c>
      <c r="G52" s="148" t="s">
        <v>274</v>
      </c>
      <c r="H52" s="210">
        <f>I52/$D$5</f>
        <v>22.761783931734019</v>
      </c>
      <c r="I52" s="176">
        <f t="shared" si="7"/>
        <v>72499.199999999997</v>
      </c>
      <c r="J52" s="184">
        <f>$S$32</f>
        <v>56549.375999999997</v>
      </c>
    </row>
    <row r="53" spans="2:10" x14ac:dyDescent="0.3">
      <c r="B53" s="231" t="s">
        <v>296</v>
      </c>
      <c r="C53" s="234">
        <f>MIN(C52, C51)</f>
        <v>10</v>
      </c>
      <c r="D53" s="233">
        <f>(C53*$K$1)*$C$1</f>
        <v>10000</v>
      </c>
      <c r="G53" s="148" t="s">
        <v>296</v>
      </c>
      <c r="H53" s="187">
        <f>MIN(H52,H51)</f>
        <v>10</v>
      </c>
      <c r="I53" s="176">
        <f t="shared" si="7"/>
        <v>31851.282051282051</v>
      </c>
      <c r="J53" s="176">
        <f>MIN(J52,J51)</f>
        <v>24844</v>
      </c>
    </row>
    <row r="54" spans="2:10" x14ac:dyDescent="0.3">
      <c r="B54" s="231" t="s">
        <v>297</v>
      </c>
      <c r="C54" s="234">
        <f>MIN(MAX(C52-C53,0),C51)</f>
        <v>10</v>
      </c>
      <c r="D54" s="233">
        <f>(C54*$K$1)*$C$1</f>
        <v>10000</v>
      </c>
      <c r="G54" s="148" t="s">
        <v>297</v>
      </c>
      <c r="H54" s="564">
        <f>MIN(MAX(H52-H53),H51)</f>
        <v>10</v>
      </c>
      <c r="I54" s="176">
        <f t="shared" si="7"/>
        <v>31851.282051282051</v>
      </c>
      <c r="J54" s="176">
        <f>MIN(MAX(J52-J53,0),J51)</f>
        <v>24844</v>
      </c>
    </row>
    <row r="55" spans="2:10" x14ac:dyDescent="0.3">
      <c r="B55" s="231" t="s">
        <v>298</v>
      </c>
      <c r="C55" s="234">
        <f>MIN(MAX(C52-C53-C54,0),C51)</f>
        <v>2.7625117980364635</v>
      </c>
      <c r="D55" s="233">
        <f>(C55*$K$1)*$C$1</f>
        <v>2762.5117980364635</v>
      </c>
      <c r="G55" s="145" t="s">
        <v>298</v>
      </c>
      <c r="H55" s="187">
        <f>MIN(MAX(H52-H53-H54),H51)</f>
        <v>2.7617839317340191</v>
      </c>
      <c r="I55" s="176">
        <f t="shared" si="7"/>
        <v>8796.6358974358936</v>
      </c>
      <c r="J55" s="176">
        <f>MIN(MAX(J52-J53-J54,0),J51)</f>
        <v>6861.3759999999966</v>
      </c>
    </row>
    <row r="56" spans="2:10" x14ac:dyDescent="0.3">
      <c r="B56" s="231" t="s">
        <v>305</v>
      </c>
      <c r="C56" s="234">
        <f>MIN(MAX(C52-C53-C54-C55,0),C51)</f>
        <v>0</v>
      </c>
      <c r="D56" s="235">
        <f>C56*$K$1</f>
        <v>0</v>
      </c>
      <c r="G56" s="145" t="s">
        <v>305</v>
      </c>
      <c r="H56" s="187">
        <f>MIN(MAX(H52-H53-H54-H55,0),H51)</f>
        <v>0</v>
      </c>
      <c r="I56" s="176">
        <f t="shared" si="7"/>
        <v>0</v>
      </c>
      <c r="J56" s="176">
        <f>MIN(MAX(J52-J53-J54-J55,0),J51)</f>
        <v>0</v>
      </c>
    </row>
    <row r="57" spans="2:10" x14ac:dyDescent="0.3">
      <c r="B57" s="100"/>
      <c r="G57" s="145" t="s">
        <v>356</v>
      </c>
      <c r="H57" s="187">
        <f>MIN(MAX(H52-H53-H54-H55-H56,0),H51)</f>
        <v>0</v>
      </c>
      <c r="I57" s="176">
        <f t="shared" si="7"/>
        <v>0</v>
      </c>
      <c r="J57" s="210">
        <f>MIN(MAX(J52-J53-J54-J55-J56,0),J51)</f>
        <v>0</v>
      </c>
    </row>
    <row r="60" spans="2:10" ht="14.25" customHeight="1" x14ac:dyDescent="0.3"/>
    <row r="61" spans="2:10" ht="14.25" customHeight="1" x14ac:dyDescent="0.3"/>
    <row r="64" spans="2:10" ht="17.75" customHeight="1" x14ac:dyDescent="0.3">
      <c r="B64" s="1428"/>
      <c r="C64" s="1422"/>
      <c r="D64" s="1422"/>
      <c r="E64" s="1422"/>
      <c r="F64" s="1422"/>
      <c r="G64" s="1422"/>
      <c r="H64" s="1422"/>
    </row>
    <row r="65" spans="1:8" ht="17.75" customHeight="1" x14ac:dyDescent="0.3">
      <c r="B65" s="1428"/>
      <c r="C65" s="1422"/>
      <c r="D65" s="1422"/>
      <c r="E65" s="1422"/>
      <c r="F65" s="1422"/>
      <c r="G65" s="1422"/>
      <c r="H65" s="1422"/>
    </row>
    <row r="66" spans="1:8" ht="25.5" customHeight="1" x14ac:dyDescent="0.25">
      <c r="A66" s="371"/>
      <c r="B66" s="371"/>
      <c r="C66" s="348"/>
      <c r="D66" s="371"/>
      <c r="E66" s="347"/>
      <c r="F66" s="371"/>
      <c r="G66" s="371"/>
      <c r="H66" s="347"/>
    </row>
    <row r="67" spans="1:8" ht="14.25" customHeight="1" x14ac:dyDescent="0.25">
      <c r="A67" s="371"/>
      <c r="B67" s="349"/>
      <c r="C67" s="133"/>
      <c r="D67" s="225"/>
      <c r="E67" s="135"/>
      <c r="F67" s="136"/>
      <c r="G67" s="137"/>
      <c r="H67" s="138"/>
    </row>
    <row r="68" spans="1:8" ht="14.25" customHeight="1" x14ac:dyDescent="0.3">
      <c r="B68" s="349"/>
      <c r="C68" s="133"/>
      <c r="D68" s="254"/>
      <c r="E68" s="135"/>
      <c r="F68" s="136"/>
      <c r="G68" s="137"/>
      <c r="H68" s="138"/>
    </row>
    <row r="69" spans="1:8" ht="14.25" customHeight="1" x14ac:dyDescent="0.3">
      <c r="B69" s="349"/>
      <c r="C69" s="133"/>
      <c r="D69" s="254"/>
      <c r="E69" s="135"/>
      <c r="F69" s="136"/>
      <c r="G69" s="137"/>
      <c r="H69" s="138"/>
    </row>
    <row r="70" spans="1:8" ht="14.25" customHeight="1" x14ac:dyDescent="0.3">
      <c r="B70" s="349"/>
      <c r="C70" s="133"/>
      <c r="D70" s="254"/>
      <c r="E70" s="135"/>
      <c r="F70" s="136"/>
      <c r="G70" s="137"/>
      <c r="H70" s="138"/>
    </row>
    <row r="71" spans="1:8" ht="14.25" customHeight="1" x14ac:dyDescent="0.3">
      <c r="B71" s="349"/>
      <c r="C71" s="133"/>
      <c r="D71" s="254"/>
      <c r="E71" s="135"/>
      <c r="F71" s="136"/>
      <c r="G71" s="137"/>
      <c r="H71" s="138"/>
    </row>
    <row r="72" spans="1:8" ht="14.25" customHeight="1" x14ac:dyDescent="0.3">
      <c r="B72" s="349"/>
      <c r="C72" s="133"/>
      <c r="D72" s="254"/>
      <c r="E72" s="135"/>
      <c r="F72" s="136"/>
      <c r="G72" s="137"/>
      <c r="H72" s="138"/>
    </row>
    <row r="73" spans="1:8" ht="14.25" customHeight="1" x14ac:dyDescent="0.3">
      <c r="B73" s="349"/>
      <c r="C73" s="133"/>
      <c r="D73" s="254"/>
      <c r="E73" s="135"/>
      <c r="F73" s="136"/>
      <c r="G73" s="137"/>
      <c r="H73" s="138"/>
    </row>
    <row r="74" spans="1:8" ht="14.25" customHeight="1" x14ac:dyDescent="0.3">
      <c r="B74" s="349"/>
      <c r="C74" s="133"/>
      <c r="D74" s="254"/>
      <c r="E74" s="135"/>
      <c r="F74" s="136"/>
      <c r="G74" s="137"/>
      <c r="H74" s="138"/>
    </row>
    <row r="75" spans="1:8" ht="14.25" customHeight="1" x14ac:dyDescent="0.3">
      <c r="B75" s="349"/>
      <c r="C75" s="133"/>
      <c r="D75" s="254"/>
      <c r="E75" s="135"/>
      <c r="F75" s="136"/>
      <c r="G75" s="137"/>
      <c r="H75" s="138"/>
    </row>
    <row r="76" spans="1:8" ht="14.25" customHeight="1" x14ac:dyDescent="0.3">
      <c r="B76" s="349"/>
      <c r="C76" s="133"/>
      <c r="D76" s="254"/>
      <c r="E76" s="135"/>
      <c r="F76" s="136"/>
      <c r="G76" s="137"/>
      <c r="H76" s="138"/>
    </row>
    <row r="77" spans="1:8" ht="14.25" customHeight="1" x14ac:dyDescent="0.3">
      <c r="B77" s="349"/>
      <c r="C77" s="133"/>
      <c r="D77" s="254"/>
      <c r="E77" s="135"/>
      <c r="F77" s="136"/>
      <c r="G77" s="137"/>
      <c r="H77" s="138"/>
    </row>
    <row r="78" spans="1:8" ht="14.25" customHeight="1" x14ac:dyDescent="0.3">
      <c r="B78" s="349"/>
      <c r="C78" s="133"/>
      <c r="D78" s="254"/>
      <c r="E78" s="135"/>
      <c r="F78" s="136"/>
      <c r="G78" s="137"/>
      <c r="H78" s="138"/>
    </row>
    <row r="79" spans="1:8" ht="14.25" customHeight="1" x14ac:dyDescent="0.3">
      <c r="B79" s="349"/>
      <c r="C79" s="133"/>
      <c r="D79" s="254"/>
      <c r="E79" s="135"/>
      <c r="F79" s="136"/>
      <c r="G79" s="137"/>
      <c r="H79" s="138"/>
    </row>
    <row r="80" spans="1:8" ht="14.25" customHeight="1" x14ac:dyDescent="0.3">
      <c r="B80" s="349"/>
      <c r="C80" s="133"/>
      <c r="D80" s="254"/>
      <c r="E80" s="135"/>
      <c r="F80" s="136"/>
      <c r="G80" s="137"/>
      <c r="H80" s="138"/>
    </row>
    <row r="81" spans="1:8" ht="20.25" customHeight="1" x14ac:dyDescent="0.4">
      <c r="B81" s="204"/>
      <c r="C81" s="484"/>
      <c r="D81" s="485"/>
      <c r="E81" s="486"/>
      <c r="F81" s="485"/>
      <c r="G81" s="487"/>
      <c r="H81" s="203"/>
    </row>
    <row r="82" spans="1:8" ht="14.25" customHeight="1" x14ac:dyDescent="0.3">
      <c r="B82" s="100"/>
      <c r="C82" s="208"/>
      <c r="D82" s="209"/>
      <c r="E82" s="100"/>
      <c r="F82" s="100"/>
    </row>
    <row r="85" spans="1:8" ht="17.75" customHeight="1" x14ac:dyDescent="0.3">
      <c r="B85" s="1428"/>
      <c r="C85" s="1422"/>
      <c r="D85" s="1422"/>
      <c r="E85" s="1422"/>
      <c r="F85" s="1422"/>
      <c r="G85" s="1422"/>
      <c r="H85" s="1422"/>
    </row>
    <row r="86" spans="1:8" ht="17.75" customHeight="1" x14ac:dyDescent="0.3">
      <c r="B86" s="1428"/>
      <c r="C86" s="1422"/>
      <c r="D86" s="1422"/>
      <c r="E86" s="1422"/>
      <c r="F86" s="1422"/>
      <c r="G86" s="1422"/>
      <c r="H86" s="1422"/>
    </row>
    <row r="87" spans="1:8" ht="25.5" customHeight="1" x14ac:dyDescent="0.25">
      <c r="A87" s="371"/>
      <c r="B87" s="371"/>
      <c r="C87" s="348"/>
      <c r="D87" s="371"/>
      <c r="E87" s="347"/>
      <c r="F87" s="371"/>
      <c r="G87" s="371"/>
      <c r="H87" s="347"/>
    </row>
    <row r="88" spans="1:8" ht="14.25" customHeight="1" x14ac:dyDescent="0.25">
      <c r="A88" s="371"/>
      <c r="B88" s="349"/>
      <c r="C88" s="349"/>
      <c r="D88" s="910"/>
      <c r="E88" s="135"/>
      <c r="F88" s="136"/>
      <c r="G88" s="137"/>
      <c r="H88" s="138"/>
    </row>
    <row r="89" spans="1:8" ht="14.25" customHeight="1" x14ac:dyDescent="0.3">
      <c r="B89" s="349"/>
      <c r="C89" s="349"/>
      <c r="D89" s="349"/>
      <c r="E89" s="135"/>
      <c r="F89" s="136"/>
      <c r="G89" s="137"/>
      <c r="H89" s="138"/>
    </row>
    <row r="90" spans="1:8" ht="14.25" customHeight="1" x14ac:dyDescent="0.3">
      <c r="B90" s="349"/>
      <c r="C90" s="349"/>
      <c r="D90" s="349"/>
      <c r="E90" s="135"/>
      <c r="F90" s="136"/>
      <c r="G90" s="137"/>
      <c r="H90" s="138"/>
    </row>
    <row r="91" spans="1:8" ht="14.25" customHeight="1" x14ac:dyDescent="0.3">
      <c r="B91" s="349"/>
      <c r="C91" s="349"/>
      <c r="D91" s="349"/>
      <c r="E91" s="135"/>
      <c r="F91" s="136"/>
      <c r="G91" s="137"/>
      <c r="H91" s="138"/>
    </row>
    <row r="92" spans="1:8" ht="14.25" customHeight="1" x14ac:dyDescent="0.3">
      <c r="B92" s="349"/>
      <c r="C92" s="349"/>
      <c r="D92" s="349"/>
      <c r="E92" s="135"/>
      <c r="F92" s="136"/>
      <c r="G92" s="137"/>
      <c r="H92" s="138"/>
    </row>
    <row r="93" spans="1:8" ht="14.25" customHeight="1" x14ac:dyDescent="0.3">
      <c r="B93" s="349"/>
      <c r="C93" s="349"/>
      <c r="D93" s="349"/>
      <c r="E93" s="135"/>
      <c r="F93" s="136"/>
      <c r="G93" s="137"/>
      <c r="H93" s="138"/>
    </row>
    <row r="94" spans="1:8" ht="14.25" customHeight="1" x14ac:dyDescent="0.3">
      <c r="B94" s="349"/>
      <c r="C94" s="349"/>
      <c r="D94" s="349"/>
      <c r="E94" s="135"/>
      <c r="F94" s="136"/>
      <c r="G94" s="137"/>
      <c r="H94" s="138"/>
    </row>
    <row r="95" spans="1:8" ht="14.25" customHeight="1" x14ac:dyDescent="0.3">
      <c r="B95" s="349"/>
      <c r="C95" s="349"/>
      <c r="D95" s="349"/>
      <c r="E95" s="135"/>
      <c r="F95" s="136"/>
      <c r="G95" s="137"/>
      <c r="H95" s="138"/>
    </row>
    <row r="96" spans="1:8" ht="14.25" customHeight="1" x14ac:dyDescent="0.3">
      <c r="B96" s="349"/>
      <c r="C96" s="349"/>
      <c r="D96" s="349"/>
      <c r="E96" s="135"/>
      <c r="F96" s="136"/>
      <c r="G96" s="137"/>
      <c r="H96" s="138"/>
    </row>
    <row r="97" spans="1:8" ht="14.25" customHeight="1" x14ac:dyDescent="0.3">
      <c r="B97" s="349"/>
      <c r="C97" s="349"/>
      <c r="D97" s="349"/>
      <c r="E97" s="135"/>
      <c r="F97" s="136"/>
      <c r="G97" s="137"/>
      <c r="H97" s="138"/>
    </row>
    <row r="98" spans="1:8" ht="14.25" customHeight="1" x14ac:dyDescent="0.3">
      <c r="B98" s="349"/>
      <c r="C98" s="349"/>
      <c r="D98" s="349"/>
      <c r="E98" s="135"/>
      <c r="F98" s="136"/>
      <c r="G98" s="137"/>
      <c r="H98" s="138"/>
    </row>
    <row r="99" spans="1:8" ht="14.25" customHeight="1" x14ac:dyDescent="0.3">
      <c r="B99" s="349"/>
      <c r="C99" s="349"/>
      <c r="D99" s="349"/>
      <c r="E99" s="135"/>
      <c r="F99" s="136"/>
      <c r="G99" s="137"/>
      <c r="H99" s="138"/>
    </row>
    <row r="100" spans="1:8" ht="14.25" customHeight="1" x14ac:dyDescent="0.3">
      <c r="B100" s="349"/>
      <c r="C100" s="349"/>
      <c r="D100" s="349"/>
      <c r="E100" s="135"/>
      <c r="F100" s="136"/>
      <c r="G100" s="137"/>
      <c r="H100" s="138"/>
    </row>
    <row r="101" spans="1:8" ht="14.25" customHeight="1" x14ac:dyDescent="0.3">
      <c r="B101" s="349"/>
      <c r="C101" s="349"/>
      <c r="D101" s="349"/>
      <c r="E101" s="135"/>
      <c r="F101" s="136"/>
      <c r="G101" s="137"/>
      <c r="H101" s="138"/>
    </row>
    <row r="102" spans="1:8" ht="20.25" customHeight="1" x14ac:dyDescent="0.4">
      <c r="B102" s="204"/>
      <c r="C102" s="484"/>
      <c r="D102" s="485"/>
      <c r="E102" s="486"/>
      <c r="F102" s="485"/>
      <c r="G102" s="487"/>
      <c r="H102" s="203"/>
    </row>
    <row r="106" spans="1:8" ht="17.75" customHeight="1" x14ac:dyDescent="0.3">
      <c r="B106" s="1428"/>
      <c r="C106" s="1422"/>
      <c r="D106" s="1422"/>
      <c r="E106" s="1422"/>
      <c r="F106" s="1422"/>
      <c r="G106" s="1422"/>
      <c r="H106" s="1422"/>
    </row>
    <row r="107" spans="1:8" ht="17.75" customHeight="1" x14ac:dyDescent="0.3">
      <c r="B107" s="1428"/>
      <c r="C107" s="1422"/>
      <c r="D107" s="1422"/>
      <c r="E107" s="1422"/>
      <c r="F107" s="1422"/>
      <c r="G107" s="1422"/>
      <c r="H107" s="1422"/>
    </row>
    <row r="108" spans="1:8" ht="25.5" customHeight="1" x14ac:dyDescent="0.25">
      <c r="A108" s="371"/>
      <c r="B108" s="371"/>
      <c r="C108" s="348"/>
      <c r="D108" s="371"/>
      <c r="E108" s="347"/>
      <c r="F108" s="371"/>
      <c r="G108" s="371"/>
      <c r="H108" s="347"/>
    </row>
    <row r="109" spans="1:8" ht="14.25" customHeight="1" x14ac:dyDescent="0.25">
      <c r="A109" s="371"/>
      <c r="B109" s="349"/>
      <c r="C109" s="349"/>
      <c r="D109" s="349"/>
      <c r="E109" s="135"/>
      <c r="F109" s="136"/>
      <c r="G109" s="252"/>
      <c r="H109" s="911"/>
    </row>
    <row r="110" spans="1:8" ht="14.25" customHeight="1" x14ac:dyDescent="0.3">
      <c r="B110" s="349"/>
      <c r="C110" s="349"/>
      <c r="D110" s="349"/>
      <c r="E110" s="135"/>
      <c r="F110" s="136"/>
      <c r="G110" s="137"/>
      <c r="H110" s="138"/>
    </row>
    <row r="111" spans="1:8" ht="14.25" customHeight="1" x14ac:dyDescent="0.3">
      <c r="B111" s="349"/>
      <c r="C111" s="349"/>
      <c r="D111" s="349"/>
      <c r="E111" s="135"/>
      <c r="F111" s="136"/>
      <c r="G111" s="137"/>
      <c r="H111" s="138"/>
    </row>
    <row r="112" spans="1:8" ht="14.25" customHeight="1" x14ac:dyDescent="0.3">
      <c r="B112" s="349"/>
      <c r="C112" s="349"/>
      <c r="D112" s="349"/>
      <c r="E112" s="135"/>
      <c r="F112" s="136"/>
      <c r="G112" s="137"/>
      <c r="H112" s="138"/>
    </row>
    <row r="113" spans="2:8" ht="14.25" customHeight="1" x14ac:dyDescent="0.3">
      <c r="B113" s="349"/>
      <c r="C113" s="349"/>
      <c r="D113" s="349"/>
      <c r="E113" s="135"/>
      <c r="F113" s="136"/>
      <c r="G113" s="137"/>
      <c r="H113" s="138"/>
    </row>
    <row r="114" spans="2:8" ht="14.25" customHeight="1" x14ac:dyDescent="0.3">
      <c r="B114" s="349"/>
      <c r="C114" s="349"/>
      <c r="D114" s="349"/>
      <c r="E114" s="135"/>
      <c r="F114" s="136"/>
      <c r="G114" s="137"/>
      <c r="H114" s="138"/>
    </row>
    <row r="115" spans="2:8" ht="14.25" customHeight="1" x14ac:dyDescent="0.3">
      <c r="B115" s="349"/>
      <c r="C115" s="349"/>
      <c r="D115" s="349"/>
      <c r="E115" s="135"/>
      <c r="F115" s="136"/>
      <c r="G115" s="137"/>
      <c r="H115" s="138"/>
    </row>
    <row r="116" spans="2:8" ht="14.25" customHeight="1" x14ac:dyDescent="0.3">
      <c r="B116" s="349"/>
      <c r="C116" s="349"/>
      <c r="D116" s="349"/>
      <c r="E116" s="135"/>
      <c r="F116" s="136"/>
      <c r="G116" s="137"/>
      <c r="H116" s="138"/>
    </row>
    <row r="117" spans="2:8" ht="14.25" customHeight="1" x14ac:dyDescent="0.3">
      <c r="B117" s="349"/>
      <c r="C117" s="349"/>
      <c r="D117" s="349"/>
      <c r="E117" s="135"/>
      <c r="F117" s="136"/>
      <c r="G117" s="137"/>
      <c r="H117" s="138"/>
    </row>
    <row r="118" spans="2:8" ht="14.25" customHeight="1" x14ac:dyDescent="0.3">
      <c r="B118" s="349"/>
      <c r="C118" s="349"/>
      <c r="D118" s="349"/>
      <c r="E118" s="135"/>
      <c r="F118" s="136"/>
      <c r="G118" s="137"/>
      <c r="H118" s="138"/>
    </row>
    <row r="119" spans="2:8" ht="14.25" customHeight="1" x14ac:dyDescent="0.3">
      <c r="B119" s="349"/>
      <c r="C119" s="349"/>
      <c r="D119" s="349"/>
      <c r="E119" s="135"/>
      <c r="F119" s="136"/>
      <c r="G119" s="137"/>
      <c r="H119" s="138"/>
    </row>
    <row r="120" spans="2:8" ht="14.25" customHeight="1" x14ac:dyDescent="0.3">
      <c r="B120" s="349"/>
      <c r="C120" s="349"/>
      <c r="D120" s="349"/>
      <c r="E120" s="135"/>
      <c r="F120" s="136"/>
      <c r="G120" s="137"/>
      <c r="H120" s="138"/>
    </row>
    <row r="121" spans="2:8" ht="14.25" customHeight="1" x14ac:dyDescent="0.3">
      <c r="B121" s="349"/>
      <c r="C121" s="349"/>
      <c r="D121" s="349"/>
      <c r="E121" s="135"/>
      <c r="F121" s="136"/>
      <c r="G121" s="137"/>
      <c r="H121" s="138"/>
    </row>
    <row r="122" spans="2:8" ht="14.25" customHeight="1" x14ac:dyDescent="0.3">
      <c r="B122" s="349"/>
      <c r="C122" s="349"/>
      <c r="D122" s="349"/>
      <c r="E122" s="135"/>
      <c r="F122" s="136"/>
      <c r="G122" s="137"/>
      <c r="H122" s="138"/>
    </row>
    <row r="123" spans="2:8" ht="20.25" customHeight="1" x14ac:dyDescent="0.4">
      <c r="B123" s="204"/>
      <c r="C123" s="484"/>
      <c r="D123" s="485"/>
      <c r="E123" s="486"/>
      <c r="F123" s="485"/>
      <c r="G123" s="487"/>
      <c r="H123" s="203"/>
    </row>
    <row r="127" spans="2:8" ht="17.75" customHeight="1" x14ac:dyDescent="0.3">
      <c r="B127" s="1428"/>
      <c r="C127" s="1422"/>
      <c r="D127" s="1422"/>
      <c r="E127" s="1422"/>
      <c r="F127" s="1422"/>
      <c r="G127" s="1422"/>
      <c r="H127" s="1422"/>
    </row>
    <row r="128" spans="2:8" ht="17.75" customHeight="1" x14ac:dyDescent="0.3">
      <c r="B128" s="1428"/>
      <c r="C128" s="1422"/>
      <c r="D128" s="1422"/>
      <c r="E128" s="1422"/>
      <c r="F128" s="1422"/>
      <c r="G128" s="1422"/>
      <c r="H128" s="1422"/>
    </row>
    <row r="129" spans="1:8" ht="25.5" customHeight="1" x14ac:dyDescent="0.25">
      <c r="A129" s="371"/>
      <c r="B129" s="371"/>
      <c r="C129" s="348"/>
      <c r="D129" s="371"/>
      <c r="E129" s="347"/>
      <c r="F129" s="371"/>
      <c r="G129" s="371"/>
      <c r="H129" s="347"/>
    </row>
    <row r="130" spans="1:8" ht="14.25" customHeight="1" x14ac:dyDescent="0.25">
      <c r="A130" s="371"/>
      <c r="B130" s="349"/>
      <c r="C130" s="349"/>
      <c r="D130" s="349"/>
      <c r="E130" s="135"/>
      <c r="F130" s="136"/>
      <c r="G130" s="252"/>
      <c r="H130" s="911"/>
    </row>
    <row r="131" spans="1:8" ht="14.25" customHeight="1" x14ac:dyDescent="0.3">
      <c r="B131" s="349"/>
      <c r="C131" s="349"/>
      <c r="D131" s="349"/>
      <c r="E131" s="135"/>
      <c r="F131" s="136"/>
      <c r="G131" s="137"/>
      <c r="H131" s="138"/>
    </row>
    <row r="132" spans="1:8" ht="14.25" customHeight="1" x14ac:dyDescent="0.3">
      <c r="B132" s="349"/>
      <c r="C132" s="349"/>
      <c r="D132" s="349"/>
      <c r="E132" s="135"/>
      <c r="F132" s="136"/>
      <c r="G132" s="137"/>
      <c r="H132" s="138"/>
    </row>
    <row r="133" spans="1:8" ht="14.25" customHeight="1" x14ac:dyDescent="0.3">
      <c r="B133" s="349"/>
      <c r="C133" s="349"/>
      <c r="D133" s="349"/>
      <c r="E133" s="135"/>
      <c r="F133" s="136"/>
      <c r="G133" s="137"/>
      <c r="H133" s="138"/>
    </row>
    <row r="134" spans="1:8" ht="14.25" customHeight="1" x14ac:dyDescent="0.3">
      <c r="B134" s="349"/>
      <c r="C134" s="349"/>
      <c r="D134" s="349"/>
      <c r="E134" s="135"/>
      <c r="F134" s="136"/>
      <c r="G134" s="137"/>
      <c r="H134" s="138"/>
    </row>
    <row r="135" spans="1:8" ht="14.25" customHeight="1" x14ac:dyDescent="0.3">
      <c r="B135" s="349"/>
      <c r="C135" s="349"/>
      <c r="D135" s="349"/>
      <c r="E135" s="135"/>
      <c r="F135" s="136"/>
      <c r="G135" s="137"/>
      <c r="H135" s="138"/>
    </row>
    <row r="136" spans="1:8" ht="14.25" customHeight="1" x14ac:dyDescent="0.3">
      <c r="B136" s="349"/>
      <c r="C136" s="349"/>
      <c r="D136" s="349"/>
      <c r="E136" s="135"/>
      <c r="F136" s="136"/>
      <c r="G136" s="137"/>
      <c r="H136" s="138"/>
    </row>
    <row r="137" spans="1:8" ht="14.25" customHeight="1" x14ac:dyDescent="0.3">
      <c r="B137" s="349"/>
      <c r="C137" s="349"/>
      <c r="D137" s="349"/>
      <c r="E137" s="135"/>
      <c r="F137" s="136"/>
      <c r="G137" s="137"/>
      <c r="H137" s="138"/>
    </row>
    <row r="138" spans="1:8" ht="14.25" customHeight="1" x14ac:dyDescent="0.3">
      <c r="B138" s="349"/>
      <c r="C138" s="349"/>
      <c r="D138" s="349"/>
      <c r="E138" s="135"/>
      <c r="F138" s="136"/>
      <c r="G138" s="137"/>
      <c r="H138" s="138"/>
    </row>
    <row r="139" spans="1:8" ht="14.25" customHeight="1" x14ac:dyDescent="0.3">
      <c r="B139" s="349"/>
      <c r="C139" s="349"/>
      <c r="D139" s="349"/>
      <c r="E139" s="135"/>
      <c r="F139" s="136"/>
      <c r="G139" s="137"/>
      <c r="H139" s="138"/>
    </row>
    <row r="140" spans="1:8" ht="14.25" customHeight="1" x14ac:dyDescent="0.3">
      <c r="B140" s="349"/>
      <c r="C140" s="349"/>
      <c r="D140" s="349"/>
      <c r="E140" s="135"/>
      <c r="F140" s="136"/>
      <c r="G140" s="137"/>
      <c r="H140" s="138"/>
    </row>
    <row r="141" spans="1:8" ht="14.25" customHeight="1" x14ac:dyDescent="0.3">
      <c r="B141" s="349"/>
      <c r="C141" s="349"/>
      <c r="D141" s="349"/>
      <c r="E141" s="135"/>
      <c r="F141" s="136"/>
      <c r="G141" s="137"/>
      <c r="H141" s="138"/>
    </row>
    <row r="142" spans="1:8" ht="14.25" customHeight="1" x14ac:dyDescent="0.3">
      <c r="B142" s="349"/>
      <c r="C142" s="349"/>
      <c r="D142" s="349"/>
      <c r="E142" s="135"/>
      <c r="F142" s="136"/>
      <c r="G142" s="137"/>
      <c r="H142" s="138"/>
    </row>
    <row r="143" spans="1:8" ht="14.25" customHeight="1" x14ac:dyDescent="0.3">
      <c r="B143" s="349"/>
      <c r="C143" s="349"/>
      <c r="D143" s="349"/>
      <c r="E143" s="135"/>
      <c r="F143" s="136"/>
      <c r="G143" s="137"/>
      <c r="H143" s="138"/>
    </row>
    <row r="144" spans="1:8" ht="20.25" customHeight="1" x14ac:dyDescent="0.4">
      <c r="B144" s="204"/>
      <c r="C144" s="484"/>
      <c r="D144" s="485"/>
      <c r="E144" s="486"/>
      <c r="F144" s="485"/>
      <c r="G144" s="487"/>
      <c r="H144" s="203"/>
    </row>
  </sheetData>
  <mergeCells count="12">
    <mergeCell ref="B128:H128"/>
    <mergeCell ref="B107:H107"/>
    <mergeCell ref="B85:H85"/>
    <mergeCell ref="AE2:AG3"/>
    <mergeCell ref="B127:H127"/>
    <mergeCell ref="B65:H65"/>
    <mergeCell ref="B106:H106"/>
    <mergeCell ref="R26:U26"/>
    <mergeCell ref="R25:U25"/>
    <mergeCell ref="B64:H64"/>
    <mergeCell ref="B86:H86"/>
    <mergeCell ref="B2:H3"/>
  </mergeCells>
  <printOptions horizontalCentered="1"/>
  <pageMargins left="0.4" right="0.4" top="1" bottom="0.5" header="0.3" footer="0.511811023622047"/>
  <pageSetup paperSize="9" scale="39" orientation="landscape" r:id="rId1"/>
  <legacyDrawing r:id="rId2"/>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6">
    <tabColor rgb="FFC55A11"/>
    <pageSetUpPr fitToPage="1"/>
  </sheetPr>
  <dimension ref="A1:AG159"/>
  <sheetViews>
    <sheetView topLeftCell="R2" zoomScale="70" zoomScaleNormal="70" workbookViewId="0">
      <selection activeCell="AC25" sqref="AC25"/>
    </sheetView>
  </sheetViews>
  <sheetFormatPr defaultColWidth="12.5" defaultRowHeight="14" x14ac:dyDescent="0.3"/>
  <cols>
    <col min="1" max="1" width="16.33203125" style="1" customWidth="1"/>
    <col min="2" max="2" width="38.25" customWidth="1"/>
    <col min="3" max="3" width="16.9140625" customWidth="1"/>
    <col min="4" max="4" width="19" customWidth="1"/>
    <col min="5" max="5" width="16.1640625" customWidth="1"/>
    <col min="6" max="6" width="23.08203125" customWidth="1"/>
    <col min="7" max="7" width="25.1640625" customWidth="1"/>
    <col min="8" max="8" width="19.83203125" customWidth="1"/>
    <col min="9" max="9" width="18" customWidth="1"/>
    <col min="12" max="12" width="8.33203125" customWidth="1"/>
    <col min="13" max="17" width="7.1640625" customWidth="1"/>
    <col min="18" max="18" width="32.58203125" bestFit="1" customWidth="1"/>
    <col min="23" max="23" width="29.4140625" customWidth="1"/>
    <col min="24" max="24" width="31.6640625" customWidth="1"/>
  </cols>
  <sheetData>
    <row r="1" spans="1:33" ht="24" customHeight="1" x14ac:dyDescent="0.3">
      <c r="A1" s="80" t="s">
        <v>243</v>
      </c>
      <c r="B1" s="81">
        <v>1000</v>
      </c>
      <c r="C1" s="89" t="s">
        <v>325</v>
      </c>
      <c r="D1" s="90">
        <f>$S$30/J1</f>
        <v>42937.5</v>
      </c>
      <c r="E1" s="91" t="s">
        <v>248</v>
      </c>
      <c r="F1" s="92" t="s">
        <v>483</v>
      </c>
      <c r="G1" s="91" t="s">
        <v>327</v>
      </c>
      <c r="H1" s="305">
        <f>H52</f>
        <v>27.48</v>
      </c>
      <c r="I1" s="93" t="s">
        <v>250</v>
      </c>
      <c r="J1" s="306">
        <v>0.64</v>
      </c>
      <c r="K1" s="100"/>
      <c r="Y1" s="91" t="s">
        <v>479</v>
      </c>
      <c r="Z1" s="847">
        <v>27480</v>
      </c>
      <c r="AA1" s="91" t="s">
        <v>600</v>
      </c>
      <c r="AB1" s="847">
        <v>0</v>
      </c>
      <c r="AC1" s="91" t="s">
        <v>587</v>
      </c>
      <c r="AD1" s="847">
        <v>183</v>
      </c>
    </row>
    <row r="2" spans="1:33" ht="12.75" customHeight="1" x14ac:dyDescent="0.3">
      <c r="A2" s="265"/>
      <c r="B2" s="1387" t="s">
        <v>484</v>
      </c>
      <c r="C2" s="1422"/>
      <c r="D2" s="1422"/>
      <c r="E2" s="1422"/>
      <c r="F2" s="1422"/>
      <c r="G2" s="1422"/>
      <c r="H2" s="1422"/>
      <c r="I2" s="1422"/>
      <c r="J2" s="1422"/>
      <c r="K2" s="1422"/>
      <c r="L2" s="293"/>
      <c r="M2" s="100"/>
      <c r="N2" s="100"/>
      <c r="AE2" s="1396"/>
      <c r="AF2" s="1422"/>
      <c r="AG2" s="1422"/>
    </row>
    <row r="3" spans="1:33" ht="12.75" customHeight="1" x14ac:dyDescent="0.3">
      <c r="A3" s="265"/>
      <c r="B3" s="1388"/>
      <c r="C3" s="1388"/>
      <c r="D3" s="1388"/>
      <c r="E3" s="1388"/>
      <c r="F3" s="1388"/>
      <c r="G3" s="1388"/>
      <c r="H3" s="1388"/>
      <c r="I3" s="1388"/>
      <c r="J3" s="1388"/>
      <c r="K3" s="1388"/>
      <c r="L3" s="293"/>
      <c r="M3" s="100"/>
      <c r="N3" s="100"/>
      <c r="AE3" s="1422"/>
      <c r="AF3" s="1422"/>
      <c r="AG3" s="1422"/>
    </row>
    <row r="4" spans="1:33" ht="46.5" customHeight="1" x14ac:dyDescent="0.3">
      <c r="A4" s="91" t="s">
        <v>1</v>
      </c>
      <c r="B4" s="91" t="s">
        <v>253</v>
      </c>
      <c r="C4" s="307" t="s">
        <v>329</v>
      </c>
      <c r="D4" s="91" t="s">
        <v>330</v>
      </c>
      <c r="E4" s="108" t="s">
        <v>331</v>
      </c>
      <c r="F4" s="108" t="s">
        <v>332</v>
      </c>
      <c r="G4" s="308" t="s">
        <v>333</v>
      </c>
      <c r="H4" s="109" t="s">
        <v>334</v>
      </c>
      <c r="I4" s="91" t="s">
        <v>258</v>
      </c>
      <c r="J4" s="91" t="s">
        <v>259</v>
      </c>
      <c r="K4" s="91" t="s">
        <v>260</v>
      </c>
      <c r="L4" s="91" t="s">
        <v>261</v>
      </c>
    </row>
    <row r="5" spans="1:33" ht="14.25" customHeight="1" x14ac:dyDescent="0.3">
      <c r="A5" s="266" t="s">
        <v>230</v>
      </c>
      <c r="B5" s="22" t="s">
        <v>232</v>
      </c>
      <c r="C5" s="124" t="s">
        <v>14</v>
      </c>
      <c r="D5" s="268">
        <f>I51/H51</f>
        <v>1562.5</v>
      </c>
      <c r="E5" s="119">
        <f>I52/D5</f>
        <v>27.48</v>
      </c>
      <c r="F5" s="127">
        <v>1</v>
      </c>
      <c r="G5" s="117">
        <f>D1</f>
        <v>42937.5</v>
      </c>
      <c r="H5" s="406">
        <f>D1</f>
        <v>42937.5</v>
      </c>
      <c r="I5" s="81">
        <f>VLOOKUP(B5,All_Ingredients!$A$1:$F$151,6,FALSE())</f>
        <v>0.55000000000000004</v>
      </c>
      <c r="J5" s="119">
        <f>VLOOKUP(B5,All_Ingredients!$A$1:$J$151,10,FALSE())</f>
        <v>26.666666666666668</v>
      </c>
      <c r="K5" s="122">
        <f t="shared" ref="K5" si="0">(H5/I5)/1000</f>
        <v>78.068181818181813</v>
      </c>
      <c r="L5" s="122">
        <f t="shared" ref="L5" si="1">K5*J5</f>
        <v>2081.818181818182</v>
      </c>
    </row>
    <row r="6" spans="1:33" ht="14.25" customHeight="1" x14ac:dyDescent="0.3">
      <c r="A6" s="270" t="s">
        <v>97</v>
      </c>
      <c r="B6" s="22" t="s">
        <v>108</v>
      </c>
      <c r="C6" s="124" t="s">
        <v>14</v>
      </c>
      <c r="D6" s="125">
        <f>15*1.2</f>
        <v>18</v>
      </c>
      <c r="E6" s="197">
        <f t="shared" ref="E6:E13" si="2">$H$52</f>
        <v>27.48</v>
      </c>
      <c r="F6" s="127">
        <v>0.7</v>
      </c>
      <c r="G6" s="119">
        <f t="shared" ref="G6:G13" si="3">D6*E6</f>
        <v>494.64</v>
      </c>
      <c r="H6" s="120">
        <f t="shared" ref="H6:H13" si="4">G6*F6</f>
        <v>346.24799999999999</v>
      </c>
      <c r="I6" s="81">
        <f>VLOOKUP(B6,All_Ingredients!$A$1:$F$151,6,FALSE())</f>
        <v>1</v>
      </c>
      <c r="J6" s="119">
        <f>VLOOKUP(B6,All_Ingredients!$A$1:$J$151,10,FALSE())</f>
        <v>15</v>
      </c>
      <c r="K6" s="122">
        <f t="shared" ref="K6:K13" si="5">(H6/I6)/1000</f>
        <v>0.346248</v>
      </c>
      <c r="L6" s="122">
        <f t="shared" ref="L6:L13" si="6">K6*J6</f>
        <v>5.1937199999999999</v>
      </c>
    </row>
    <row r="7" spans="1:33" ht="14.25" customHeight="1" x14ac:dyDescent="0.3">
      <c r="A7" s="270" t="s">
        <v>210</v>
      </c>
      <c r="B7" s="323" t="s">
        <v>209</v>
      </c>
      <c r="C7" s="124" t="s">
        <v>14</v>
      </c>
      <c r="D7" s="125">
        <f>600*1.2</f>
        <v>720</v>
      </c>
      <c r="E7" s="197">
        <f t="shared" si="2"/>
        <v>27.48</v>
      </c>
      <c r="F7" s="127">
        <v>1</v>
      </c>
      <c r="G7" s="119">
        <f t="shared" si="3"/>
        <v>19785.599999999999</v>
      </c>
      <c r="H7" s="120">
        <f t="shared" si="4"/>
        <v>19785.599999999999</v>
      </c>
      <c r="I7" s="81">
        <f>VLOOKUP(B7,All_Ingredients!$A$1:$F$151,6,FALSE())</f>
        <v>1</v>
      </c>
      <c r="J7" s="119">
        <f>VLOOKUP(B7,All_Ingredients!$A$1:$J$151,10,FALSE())</f>
        <v>0</v>
      </c>
      <c r="K7" s="122">
        <f t="shared" si="5"/>
        <v>19.785599999999999</v>
      </c>
      <c r="L7" s="122">
        <f t="shared" si="6"/>
        <v>0</v>
      </c>
    </row>
    <row r="8" spans="1:33" ht="14.25" customHeight="1" x14ac:dyDescent="0.3">
      <c r="A8" s="270" t="s">
        <v>97</v>
      </c>
      <c r="B8" s="294" t="s">
        <v>130</v>
      </c>
      <c r="C8" s="124" t="s">
        <v>14</v>
      </c>
      <c r="D8" s="125">
        <f>10*1.2</f>
        <v>12</v>
      </c>
      <c r="E8" s="197">
        <f t="shared" si="2"/>
        <v>27.48</v>
      </c>
      <c r="F8" s="127">
        <v>0.25</v>
      </c>
      <c r="G8" s="119">
        <f t="shared" si="3"/>
        <v>329.76</v>
      </c>
      <c r="H8" s="120">
        <f t="shared" si="4"/>
        <v>82.44</v>
      </c>
      <c r="I8" s="81">
        <f>VLOOKUP(B8,All_Ingredients!$A$1:$F$151,6,FALSE())</f>
        <v>1</v>
      </c>
      <c r="J8" s="119">
        <f>VLOOKUP(B8,All_Ingredients!$A$1:$J$151,10,FALSE())</f>
        <v>125</v>
      </c>
      <c r="K8" s="122">
        <f t="shared" si="5"/>
        <v>8.2439999999999999E-2</v>
      </c>
      <c r="L8" s="122">
        <f t="shared" si="6"/>
        <v>10.305</v>
      </c>
    </row>
    <row r="9" spans="1:33" ht="14.25" customHeight="1" x14ac:dyDescent="0.3">
      <c r="A9" s="270" t="s">
        <v>196</v>
      </c>
      <c r="B9" s="294" t="s">
        <v>761</v>
      </c>
      <c r="C9" s="124" t="s">
        <v>14</v>
      </c>
      <c r="D9" s="125">
        <f>50*1.2</f>
        <v>60</v>
      </c>
      <c r="E9" s="197">
        <f t="shared" si="2"/>
        <v>27.48</v>
      </c>
      <c r="F9" s="127">
        <v>0.75</v>
      </c>
      <c r="G9" s="119">
        <f t="shared" si="3"/>
        <v>1648.8</v>
      </c>
      <c r="H9" s="120">
        <f t="shared" si="4"/>
        <v>1236.5999999999999</v>
      </c>
      <c r="I9" s="81">
        <f>VLOOKUP(B9,All_Ingredients!$A$1:$F$151,6,FALSE())</f>
        <v>1</v>
      </c>
      <c r="J9" s="119">
        <f>VLOOKUP(B9,All_Ingredients!$A$1:$J$151,10,FALSE())</f>
        <v>8.1520833333333336</v>
      </c>
      <c r="K9" s="122">
        <f t="shared" si="5"/>
        <v>1.2365999999999999</v>
      </c>
      <c r="L9" s="122">
        <f t="shared" si="6"/>
        <v>10.08086625</v>
      </c>
    </row>
    <row r="10" spans="1:33" ht="14.25" customHeight="1" x14ac:dyDescent="0.3">
      <c r="A10" s="270" t="s">
        <v>13</v>
      </c>
      <c r="B10" s="323" t="s">
        <v>32</v>
      </c>
      <c r="C10" s="124" t="s">
        <v>14</v>
      </c>
      <c r="D10" s="565">
        <f>17*1.2</f>
        <v>20.399999999999999</v>
      </c>
      <c r="E10" s="197">
        <f t="shared" si="2"/>
        <v>27.48</v>
      </c>
      <c r="F10" s="127">
        <v>0.75</v>
      </c>
      <c r="G10" s="119">
        <f t="shared" si="3"/>
        <v>560.59199999999998</v>
      </c>
      <c r="H10" s="120">
        <f t="shared" si="4"/>
        <v>420.44399999999996</v>
      </c>
      <c r="I10" s="81">
        <f>VLOOKUP(B10,All_Ingredients!$A$1:$F$151,6,FALSE())</f>
        <v>0.96</v>
      </c>
      <c r="J10" s="119">
        <f>VLOOKUP(B10,All_Ingredients!$A$1:$J$151,10,FALSE())</f>
        <v>4</v>
      </c>
      <c r="K10" s="122">
        <f t="shared" si="5"/>
        <v>0.43796249999999998</v>
      </c>
      <c r="L10" s="122">
        <f t="shared" si="6"/>
        <v>1.7518499999999999</v>
      </c>
    </row>
    <row r="11" spans="1:33" ht="14.25" customHeight="1" x14ac:dyDescent="0.3">
      <c r="A11" s="270" t="s">
        <v>97</v>
      </c>
      <c r="B11" s="22" t="s">
        <v>141</v>
      </c>
      <c r="C11" s="124" t="s">
        <v>14</v>
      </c>
      <c r="D11" s="125">
        <f>20*1.2</f>
        <v>24</v>
      </c>
      <c r="E11" s="197">
        <f t="shared" si="2"/>
        <v>27.48</v>
      </c>
      <c r="F11" s="127">
        <v>0.5</v>
      </c>
      <c r="G11" s="119">
        <f t="shared" si="3"/>
        <v>659.52</v>
      </c>
      <c r="H11" s="120">
        <f t="shared" si="4"/>
        <v>329.76</v>
      </c>
      <c r="I11" s="81">
        <f>VLOOKUP(B11,All_Ingredients!$A$1:$F$151,6,FALSE())</f>
        <v>1</v>
      </c>
      <c r="J11" s="119">
        <f>VLOOKUP(B11,All_Ingredients!$A$1:$J$151,10,FALSE())</f>
        <v>43.75</v>
      </c>
      <c r="K11" s="122">
        <f t="shared" si="5"/>
        <v>0.32976</v>
      </c>
      <c r="L11" s="122">
        <f t="shared" si="6"/>
        <v>14.427</v>
      </c>
    </row>
    <row r="12" spans="1:33" ht="14.25" customHeight="1" x14ac:dyDescent="0.3">
      <c r="A12" s="270" t="s">
        <v>97</v>
      </c>
      <c r="B12" s="22" t="s">
        <v>110</v>
      </c>
      <c r="C12" s="124" t="s">
        <v>14</v>
      </c>
      <c r="D12" s="125">
        <f>15*1.2</f>
        <v>18</v>
      </c>
      <c r="E12" s="197">
        <f t="shared" si="2"/>
        <v>27.48</v>
      </c>
      <c r="F12" s="127">
        <v>0.7</v>
      </c>
      <c r="G12" s="119">
        <f t="shared" si="3"/>
        <v>494.64</v>
      </c>
      <c r="H12" s="120">
        <f t="shared" si="4"/>
        <v>346.24799999999999</v>
      </c>
      <c r="I12" s="81">
        <f>VLOOKUP(B12,All_Ingredients!$A$1:$F$151,6,FALSE())</f>
        <v>1</v>
      </c>
      <c r="J12" s="119">
        <f>VLOOKUP(B12,All_Ingredients!$A$1:$J$151,10,FALSE())</f>
        <v>8</v>
      </c>
      <c r="K12" s="122">
        <f t="shared" si="5"/>
        <v>0.346248</v>
      </c>
      <c r="L12" s="122">
        <f t="shared" si="6"/>
        <v>2.769984</v>
      </c>
    </row>
    <row r="13" spans="1:33" ht="14.25" customHeight="1" x14ac:dyDescent="0.3">
      <c r="A13" s="270" t="s">
        <v>97</v>
      </c>
      <c r="B13" s="22" t="s">
        <v>96</v>
      </c>
      <c r="C13" s="124" t="s">
        <v>14</v>
      </c>
      <c r="D13" s="125">
        <f>15*1.2</f>
        <v>18</v>
      </c>
      <c r="E13" s="197">
        <f t="shared" si="2"/>
        <v>27.48</v>
      </c>
      <c r="F13" s="127">
        <v>0.75</v>
      </c>
      <c r="G13" s="119">
        <f t="shared" si="3"/>
        <v>494.64</v>
      </c>
      <c r="H13" s="120">
        <f t="shared" si="4"/>
        <v>370.98</v>
      </c>
      <c r="I13" s="81">
        <f>VLOOKUP(B13,All_Ingredients!$A$1:$F$151,6,FALSE())</f>
        <v>1</v>
      </c>
      <c r="J13" s="119">
        <f>VLOOKUP(B13,All_Ingredients!$A$1:$J$151,10,FALSE())</f>
        <v>0.74</v>
      </c>
      <c r="K13" s="122">
        <f t="shared" si="5"/>
        <v>0.37098000000000003</v>
      </c>
      <c r="L13" s="122">
        <f t="shared" si="6"/>
        <v>0.27452520000000002</v>
      </c>
    </row>
    <row r="24" spans="18:29" x14ac:dyDescent="0.3">
      <c r="Z24" s="1294"/>
    </row>
    <row r="25" spans="18:29" ht="15.75" customHeight="1" x14ac:dyDescent="0.35">
      <c r="R25" s="1487" t="str">
        <f>B2</f>
        <v>Beef Boukhary - بخاري لحم</v>
      </c>
      <c r="S25" s="1489"/>
      <c r="T25" s="1489"/>
      <c r="U25" s="1328"/>
      <c r="Z25" s="141" t="s">
        <v>264</v>
      </c>
      <c r="AA25" s="142">
        <v>27480</v>
      </c>
      <c r="AB25" s="141" t="s">
        <v>261</v>
      </c>
      <c r="AC25" s="143">
        <f>AC30*AA25</f>
        <v>2129.8632772681822</v>
      </c>
    </row>
    <row r="26" spans="18:29" ht="14.25" customHeight="1" x14ac:dyDescent="0.3">
      <c r="R26" s="1409" t="s">
        <v>336</v>
      </c>
      <c r="S26" s="1488"/>
      <c r="T26" s="1488"/>
      <c r="U26" s="1328"/>
      <c r="AB26" s="14"/>
      <c r="AC26" s="14"/>
    </row>
    <row r="27" spans="18:29" ht="14.25" customHeight="1" thickBot="1" x14ac:dyDescent="0.35">
      <c r="R27" s="231" t="s">
        <v>266</v>
      </c>
      <c r="S27" s="456" t="s">
        <v>398</v>
      </c>
      <c r="T27" s="456" t="s">
        <v>269</v>
      </c>
      <c r="U27" s="456" t="s">
        <v>848</v>
      </c>
      <c r="Z27" s="141" t="s">
        <v>270</v>
      </c>
      <c r="AA27" s="147" t="s">
        <v>271</v>
      </c>
      <c r="AB27" s="1186" t="s">
        <v>848</v>
      </c>
      <c r="AC27" s="147" t="s">
        <v>274</v>
      </c>
    </row>
    <row r="28" spans="18:29" ht="14.25" customHeight="1" thickBot="1" x14ac:dyDescent="0.35">
      <c r="R28" s="144" t="s">
        <v>337</v>
      </c>
      <c r="S28" s="1290">
        <f>$Z$1</f>
        <v>27480</v>
      </c>
      <c r="T28" s="228">
        <f>S28</f>
        <v>27480</v>
      </c>
      <c r="U28" s="228">
        <f>SUM(H37:H38)</f>
        <v>195.81</v>
      </c>
      <c r="Z28" s="151"/>
      <c r="AA28" s="152">
        <f>AA25</f>
        <v>27480</v>
      </c>
      <c r="AB28" s="1188"/>
      <c r="AC28" s="154">
        <f>SUM(AA28:AB28)</f>
        <v>27480</v>
      </c>
    </row>
    <row r="29" spans="18:29" ht="14.25" customHeight="1" thickBot="1" x14ac:dyDescent="0.35">
      <c r="R29" s="144" t="s">
        <v>338</v>
      </c>
      <c r="S29" s="230">
        <f>$AB$1</f>
        <v>0</v>
      </c>
      <c r="T29" s="230">
        <f>S29</f>
        <v>0</v>
      </c>
      <c r="U29" s="230"/>
      <c r="Z29" s="151"/>
      <c r="AA29" s="156">
        <v>1</v>
      </c>
      <c r="AB29" s="1192"/>
      <c r="AC29" s="156">
        <f>AC28/$AC$28</f>
        <v>1</v>
      </c>
    </row>
    <row r="30" spans="18:29" ht="14.25" customHeight="1" thickBot="1" x14ac:dyDescent="0.35">
      <c r="R30" s="236" t="s">
        <v>339</v>
      </c>
      <c r="S30" s="228">
        <f>S28+S29</f>
        <v>27480</v>
      </c>
      <c r="T30" s="228">
        <f>T28+T29</f>
        <v>27480</v>
      </c>
      <c r="U30" s="228">
        <f>U28+U29</f>
        <v>195.81</v>
      </c>
      <c r="Z30" s="141" t="s">
        <v>278</v>
      </c>
      <c r="AA30" s="157">
        <f>S33/(S28)</f>
        <v>7.7387959507575765E-2</v>
      </c>
      <c r="AB30" s="1199">
        <f>U33/T30</f>
        <v>1.1798216885007278E-4</v>
      </c>
      <c r="AC30" s="1201">
        <f>SUMPRODUCT(AA30,AA29)+AB30</f>
        <v>7.7505941676425841E-2</v>
      </c>
    </row>
    <row r="31" spans="18:29" ht="14.25" customHeight="1" thickBot="1" x14ac:dyDescent="0.35">
      <c r="R31" s="237" t="s">
        <v>280</v>
      </c>
      <c r="S31" s="230"/>
      <c r="T31" s="230"/>
      <c r="U31" s="230"/>
    </row>
    <row r="32" spans="18:29" ht="14.25" customHeight="1" thickBot="1" x14ac:dyDescent="0.35">
      <c r="R32" s="238" t="s">
        <v>281</v>
      </c>
      <c r="S32" s="230"/>
      <c r="T32" s="230"/>
      <c r="U32" s="230"/>
    </row>
    <row r="33" spans="2:23" ht="18.75" customHeight="1" thickBot="1" x14ac:dyDescent="0.35">
      <c r="R33" s="1329" t="s">
        <v>261</v>
      </c>
      <c r="S33" s="1144">
        <f>SUM(L5:L13)</f>
        <v>2126.6211272681821</v>
      </c>
      <c r="T33" s="1292">
        <f>S33+U33</f>
        <v>2129.8632772681822</v>
      </c>
      <c r="U33" s="1292">
        <f>SUM(L37:L38)</f>
        <v>3.2421500000000001</v>
      </c>
    </row>
    <row r="35" spans="2:23" ht="15.5" x14ac:dyDescent="0.3">
      <c r="B35" s="1394" t="s">
        <v>725</v>
      </c>
      <c r="C35" s="1394"/>
      <c r="D35" s="1394"/>
      <c r="E35" s="1394"/>
      <c r="F35" s="1394"/>
      <c r="G35" s="882"/>
      <c r="H35" s="882"/>
      <c r="I35" s="889"/>
      <c r="J35" s="889"/>
      <c r="K35" s="889"/>
      <c r="L35" s="889"/>
    </row>
    <row r="36" spans="2:23" ht="46.5" x14ac:dyDescent="0.3">
      <c r="B36" s="860" t="s">
        <v>253</v>
      </c>
      <c r="C36" s="860" t="s">
        <v>329</v>
      </c>
      <c r="D36" s="862" t="s">
        <v>671</v>
      </c>
      <c r="E36" s="859" t="s">
        <v>672</v>
      </c>
      <c r="F36" s="862" t="s">
        <v>673</v>
      </c>
      <c r="G36" s="882"/>
      <c r="H36" s="862" t="s">
        <v>673</v>
      </c>
      <c r="I36" s="862" t="s">
        <v>258</v>
      </c>
      <c r="J36" s="862" t="s">
        <v>259</v>
      </c>
      <c r="K36" s="862" t="s">
        <v>260</v>
      </c>
      <c r="L36" s="862" t="s">
        <v>261</v>
      </c>
    </row>
    <row r="37" spans="2:23" x14ac:dyDescent="0.3">
      <c r="B37" s="855" t="s">
        <v>190</v>
      </c>
      <c r="C37" s="856" t="s">
        <v>14</v>
      </c>
      <c r="D37" s="857">
        <v>1</v>
      </c>
      <c r="E37" s="855">
        <f>$AD$1</f>
        <v>183</v>
      </c>
      <c r="F37" s="855">
        <f>D37*E37</f>
        <v>183</v>
      </c>
      <c r="G37" s="881"/>
      <c r="H37" s="855">
        <f>F37</f>
        <v>183</v>
      </c>
      <c r="I37" s="855">
        <f>VLOOKUP(B37,All_Ingredients!$A$1:$F$151,6,FALSE())</f>
        <v>1</v>
      </c>
      <c r="J37" s="855">
        <f>VLOOKUP(B37,All_Ingredients!$A$1:$J$151,10,FALSE())</f>
        <v>17.5</v>
      </c>
      <c r="K37" s="855">
        <f>(H37/I37)/1000</f>
        <v>0.183</v>
      </c>
      <c r="L37" s="855">
        <f>K37*J37</f>
        <v>3.2025000000000001</v>
      </c>
    </row>
    <row r="38" spans="2:23" x14ac:dyDescent="0.3">
      <c r="B38" s="855" t="s">
        <v>19</v>
      </c>
      <c r="C38" s="856" t="s">
        <v>14</v>
      </c>
      <c r="D38" s="857">
        <v>7.0000000000000007E-2</v>
      </c>
      <c r="E38" s="855">
        <f>$AD$1</f>
        <v>183</v>
      </c>
      <c r="F38" s="855">
        <f>D38*E38</f>
        <v>12.81</v>
      </c>
      <c r="G38" s="881"/>
      <c r="H38" s="855">
        <f>F38</f>
        <v>12.81</v>
      </c>
      <c r="I38" s="855">
        <f>VLOOKUP(B38,All_Ingredients!$A$1:$F$151,6,FALSE())</f>
        <v>0.84</v>
      </c>
      <c r="J38" s="855">
        <f>VLOOKUP(B38,All_Ingredients!$A$1:$J$151,10,FALSE())</f>
        <v>2.6</v>
      </c>
      <c r="K38" s="855">
        <f>(H38/I38)/1000</f>
        <v>1.5250000000000001E-2</v>
      </c>
      <c r="L38" s="855">
        <f>K38*J38</f>
        <v>3.9650000000000005E-2</v>
      </c>
    </row>
    <row r="39" spans="2:23" x14ac:dyDescent="0.3">
      <c r="B39" s="4"/>
    </row>
    <row r="40" spans="2:23" ht="14.25" customHeight="1" x14ac:dyDescent="0.3">
      <c r="Q40" s="14"/>
      <c r="R40" s="165" t="s">
        <v>340</v>
      </c>
      <c r="S40" s="239">
        <f>S28/T28</f>
        <v>1</v>
      </c>
    </row>
    <row r="41" spans="2:23" ht="14.25" customHeight="1" x14ac:dyDescent="0.3">
      <c r="Q41" s="14"/>
      <c r="R41" s="14"/>
      <c r="S41" s="14"/>
      <c r="T41" s="14"/>
      <c r="U41" s="169"/>
      <c r="V41" s="14"/>
      <c r="W41" s="14"/>
    </row>
    <row r="42" spans="2:23" ht="14.25" customHeight="1" x14ac:dyDescent="0.3">
      <c r="Q42" s="14"/>
      <c r="R42" s="14"/>
      <c r="S42" s="14"/>
      <c r="T42" s="14"/>
      <c r="U42" s="14"/>
      <c r="V42" s="14"/>
      <c r="W42" s="14"/>
    </row>
    <row r="43" spans="2:23" ht="14.25" customHeight="1" x14ac:dyDescent="0.3">
      <c r="Q43" s="170" t="s">
        <v>284</v>
      </c>
      <c r="R43" s="170" t="s">
        <v>285</v>
      </c>
      <c r="S43" s="170" t="s">
        <v>286</v>
      </c>
      <c r="T43" s="170" t="s">
        <v>287</v>
      </c>
      <c r="U43" s="170" t="s">
        <v>288</v>
      </c>
      <c r="V43" s="170" t="s">
        <v>289</v>
      </c>
      <c r="W43" s="258" t="s">
        <v>341</v>
      </c>
    </row>
    <row r="44" spans="2:23" ht="14.25" customHeight="1" x14ac:dyDescent="0.3">
      <c r="Q44" s="172">
        <v>10000</v>
      </c>
      <c r="R44" s="173">
        <v>0</v>
      </c>
      <c r="S44" s="241">
        <v>0</v>
      </c>
      <c r="T44" s="241">
        <v>0</v>
      </c>
      <c r="U44" s="242">
        <f>R44*S44</f>
        <v>0</v>
      </c>
      <c r="V44" s="176">
        <f>R44*T44</f>
        <v>0</v>
      </c>
      <c r="W44" s="260">
        <f>Q44-U44</f>
        <v>10000</v>
      </c>
    </row>
    <row r="50" spans="1:12" ht="14.5" thickBot="1" x14ac:dyDescent="0.35">
      <c r="G50" s="146" t="s">
        <v>292</v>
      </c>
      <c r="H50" s="146" t="s">
        <v>245</v>
      </c>
      <c r="I50" s="146" t="s">
        <v>293</v>
      </c>
      <c r="J50" s="146" t="s">
        <v>294</v>
      </c>
    </row>
    <row r="51" spans="1:12" ht="14.5" thickBot="1" x14ac:dyDescent="0.35">
      <c r="G51" s="310" t="s">
        <v>485</v>
      </c>
      <c r="H51" s="311">
        <v>10</v>
      </c>
      <c r="I51" s="311">
        <f t="shared" ref="I51:I58" si="7">J51/$J$1</f>
        <v>15625</v>
      </c>
      <c r="J51" s="312">
        <f>$W$44</f>
        <v>10000</v>
      </c>
    </row>
    <row r="52" spans="1:12" x14ac:dyDescent="0.3">
      <c r="G52" s="162" t="s">
        <v>274</v>
      </c>
      <c r="H52" s="313">
        <f>$E$5</f>
        <v>27.48</v>
      </c>
      <c r="I52" s="314">
        <f t="shared" si="7"/>
        <v>42937.5</v>
      </c>
      <c r="J52" s="315">
        <f>$S$30</f>
        <v>27480</v>
      </c>
    </row>
    <row r="53" spans="1:12" x14ac:dyDescent="0.3">
      <c r="D53" s="492"/>
      <c r="G53" s="148" t="s">
        <v>296</v>
      </c>
      <c r="H53" s="316">
        <f>MIN($H$52, $H$51)</f>
        <v>10</v>
      </c>
      <c r="I53" s="176">
        <f t="shared" si="7"/>
        <v>15625</v>
      </c>
      <c r="J53" s="317">
        <f>MIN(MAX($J$52,0),$J$51)</f>
        <v>10000</v>
      </c>
    </row>
    <row r="54" spans="1:12" x14ac:dyDescent="0.3">
      <c r="D54" s="492"/>
      <c r="G54" s="148" t="s">
        <v>297</v>
      </c>
      <c r="H54" s="316">
        <f>MIN(MAX($H$52-H53,0),$H$51)</f>
        <v>10</v>
      </c>
      <c r="I54" s="176">
        <f t="shared" si="7"/>
        <v>15625</v>
      </c>
      <c r="J54" s="184">
        <f>MIN(MAX($J$52-J53,0),$J$51)</f>
        <v>10000</v>
      </c>
    </row>
    <row r="55" spans="1:12" x14ac:dyDescent="0.3">
      <c r="D55" s="492"/>
      <c r="G55" s="145" t="s">
        <v>298</v>
      </c>
      <c r="H55" s="316">
        <f>MIN(MAX($H$52-H53-H54,0),$H$51)</f>
        <v>7.48</v>
      </c>
      <c r="I55" s="176">
        <f t="shared" si="7"/>
        <v>11687.5</v>
      </c>
      <c r="J55" s="317">
        <f>MIN(MAX($J$52-J53-J54,0),$J$51)</f>
        <v>7480</v>
      </c>
    </row>
    <row r="56" spans="1:12" x14ac:dyDescent="0.3">
      <c r="G56" s="145" t="s">
        <v>305</v>
      </c>
      <c r="H56" s="316">
        <f>MIN(MAX($H$52-H53-H54-H55,0),$H$51)</f>
        <v>0</v>
      </c>
      <c r="I56" s="176">
        <f t="shared" si="7"/>
        <v>0</v>
      </c>
      <c r="J56" s="317">
        <f>MIN(MAX($J$52-J53-J54-J55,0),$J$51)</f>
        <v>0</v>
      </c>
    </row>
    <row r="57" spans="1:12" ht="14.25" customHeight="1" x14ac:dyDescent="0.3">
      <c r="A57" s="100"/>
      <c r="F57" s="100"/>
      <c r="G57" s="145" t="s">
        <v>356</v>
      </c>
      <c r="H57" s="316">
        <f>MIN(MAX($H$52-H53-H54-H55-H56,0),$H$51)</f>
        <v>0</v>
      </c>
      <c r="I57" s="176">
        <f t="shared" si="7"/>
        <v>0</v>
      </c>
      <c r="J57" s="317">
        <f>MIN(MAX($J$52-J53-J54-J55-J56,0),$J$51)</f>
        <v>0</v>
      </c>
      <c r="L57" s="209"/>
    </row>
    <row r="58" spans="1:12" ht="14.25" customHeight="1" x14ac:dyDescent="0.3">
      <c r="A58" s="100"/>
      <c r="F58" s="100"/>
      <c r="G58" s="145" t="s">
        <v>477</v>
      </c>
      <c r="H58" s="316">
        <f>MIN(MAX($H$52-H53-H54-H55-H56-H57,0),$H$51)</f>
        <v>0</v>
      </c>
      <c r="I58" s="176">
        <f t="shared" si="7"/>
        <v>0</v>
      </c>
      <c r="J58" s="317">
        <f>MIN(MAX($J$52-J53-J54-J55-J56-J57,0),$J$51)</f>
        <v>0</v>
      </c>
      <c r="L58" s="209"/>
    </row>
    <row r="59" spans="1:12" ht="14.25" customHeight="1" x14ac:dyDescent="0.3">
      <c r="A59" s="100"/>
      <c r="F59" s="100"/>
    </row>
    <row r="60" spans="1:12" ht="14.25" customHeight="1" x14ac:dyDescent="0.3">
      <c r="A60" s="100"/>
      <c r="F60" s="100"/>
    </row>
    <row r="61" spans="1:12" ht="14.25" customHeight="1" x14ac:dyDescent="0.3">
      <c r="A61" s="100"/>
      <c r="F61" s="100"/>
    </row>
    <row r="62" spans="1:12" ht="14.25" customHeight="1" x14ac:dyDescent="0.3">
      <c r="A62" s="322"/>
      <c r="B62" s="1382" t="str">
        <f>"بخاري لحم  1 / " &amp; COUNTIF($H$53:$H$58, "&gt;0")</f>
        <v>بخاري لحم  1 / 3</v>
      </c>
      <c r="C62" s="1383"/>
      <c r="D62" s="1383"/>
      <c r="E62" s="1383"/>
      <c r="F62" s="1383"/>
      <c r="G62" s="1383"/>
      <c r="H62" s="1383"/>
    </row>
    <row r="63" spans="1:12" ht="14.25" customHeight="1" x14ac:dyDescent="0.3">
      <c r="A63" s="407"/>
      <c r="B63" s="1384" t="str">
        <f>"Beef Boukhary 1 / " &amp; COUNTIF($H$53:$H$58, "&gt;0")</f>
        <v>Beef Boukhary 1 / 3</v>
      </c>
      <c r="C63" s="1385"/>
      <c r="D63" s="1385"/>
      <c r="E63" s="1385"/>
      <c r="F63" s="1385"/>
      <c r="G63" s="1385"/>
      <c r="H63" s="1385"/>
    </row>
    <row r="64" spans="1:12" ht="56" customHeight="1" x14ac:dyDescent="0.3">
      <c r="A64" s="91"/>
      <c r="B64" s="91" t="s">
        <v>253</v>
      </c>
      <c r="C64" s="307" t="s">
        <v>329</v>
      </c>
      <c r="D64" s="91" t="s">
        <v>330</v>
      </c>
      <c r="E64" s="108" t="s">
        <v>331</v>
      </c>
      <c r="F64" s="108" t="s">
        <v>332</v>
      </c>
      <c r="G64" s="308" t="s">
        <v>333</v>
      </c>
      <c r="H64" s="109" t="s">
        <v>334</v>
      </c>
    </row>
    <row r="65" spans="1:8" ht="14.25" customHeight="1" x14ac:dyDescent="0.3">
      <c r="A65" s="219" t="s">
        <v>230</v>
      </c>
      <c r="B65" s="323" t="str">
        <f t="shared" ref="B65:D73" si="8">B5</f>
        <v>Indian Meat Alana  - لحم هندى ألانا</v>
      </c>
      <c r="C65" s="323" t="str">
        <f t="shared" si="8"/>
        <v>gm</v>
      </c>
      <c r="D65" s="324">
        <f t="shared" si="8"/>
        <v>1562.5</v>
      </c>
      <c r="E65" s="197">
        <f t="shared" ref="E65:E73" si="9">$H$53</f>
        <v>10</v>
      </c>
      <c r="F65" s="127">
        <f t="shared" ref="F65:F73" si="10">F5</f>
        <v>1</v>
      </c>
      <c r="G65" s="119">
        <f t="shared" ref="G65:G73" si="11">D65*E65</f>
        <v>15625</v>
      </c>
      <c r="H65" s="120">
        <f t="shared" ref="H65:H73" si="12">G65*F65</f>
        <v>15625</v>
      </c>
    </row>
    <row r="66" spans="1:8" ht="14.25" customHeight="1" x14ac:dyDescent="0.3">
      <c r="A66" s="270" t="s">
        <v>97</v>
      </c>
      <c r="B66" s="323" t="str">
        <f t="shared" si="8"/>
        <v>Cumin Powder - كمون مطحون</v>
      </c>
      <c r="C66" s="323" t="str">
        <f t="shared" si="8"/>
        <v>gm</v>
      </c>
      <c r="D66" s="323">
        <f t="shared" si="8"/>
        <v>18</v>
      </c>
      <c r="E66" s="197">
        <f t="shared" si="9"/>
        <v>10</v>
      </c>
      <c r="F66" s="127">
        <f t="shared" si="10"/>
        <v>0.7</v>
      </c>
      <c r="G66" s="81">
        <f t="shared" si="11"/>
        <v>180</v>
      </c>
      <c r="H66" s="120">
        <f t="shared" si="12"/>
        <v>125.99999999999999</v>
      </c>
    </row>
    <row r="67" spans="1:8" ht="17.75" customHeight="1" x14ac:dyDescent="0.3">
      <c r="A67" s="270" t="s">
        <v>210</v>
      </c>
      <c r="B67" s="323" t="str">
        <f t="shared" si="8"/>
        <v>Water - ماء</v>
      </c>
      <c r="C67" s="323" t="str">
        <f t="shared" si="8"/>
        <v>gm</v>
      </c>
      <c r="D67" s="323">
        <f t="shared" si="8"/>
        <v>720</v>
      </c>
      <c r="E67" s="197">
        <f t="shared" si="9"/>
        <v>10</v>
      </c>
      <c r="F67" s="127">
        <f t="shared" si="10"/>
        <v>1</v>
      </c>
      <c r="G67" s="81">
        <f t="shared" si="11"/>
        <v>7200</v>
      </c>
      <c r="H67" s="120">
        <f t="shared" si="12"/>
        <v>7200</v>
      </c>
    </row>
    <row r="68" spans="1:8" ht="17.75" customHeight="1" x14ac:dyDescent="0.3">
      <c r="A68" s="270" t="s">
        <v>97</v>
      </c>
      <c r="B68" s="323" t="str">
        <f t="shared" si="8"/>
        <v>Cardamom Whole - هيل حب</v>
      </c>
      <c r="C68" s="323" t="str">
        <f t="shared" si="8"/>
        <v>gm</v>
      </c>
      <c r="D68" s="323">
        <f t="shared" si="8"/>
        <v>12</v>
      </c>
      <c r="E68" s="197">
        <f t="shared" si="9"/>
        <v>10</v>
      </c>
      <c r="F68" s="127">
        <f t="shared" si="10"/>
        <v>0.25</v>
      </c>
      <c r="G68" s="81">
        <f t="shared" si="11"/>
        <v>120</v>
      </c>
      <c r="H68" s="120">
        <f t="shared" si="12"/>
        <v>30</v>
      </c>
    </row>
    <row r="69" spans="1:8" x14ac:dyDescent="0.3">
      <c r="A69" s="270" t="s">
        <v>196</v>
      </c>
      <c r="B69" s="323" t="str">
        <f t="shared" si="8"/>
        <v>Tomato Paste - صلصة طماطم</v>
      </c>
      <c r="C69" s="323" t="str">
        <f t="shared" si="8"/>
        <v>gm</v>
      </c>
      <c r="D69" s="323">
        <f t="shared" si="8"/>
        <v>60</v>
      </c>
      <c r="E69" s="197">
        <f t="shared" si="9"/>
        <v>10</v>
      </c>
      <c r="F69" s="127">
        <f t="shared" si="10"/>
        <v>0.75</v>
      </c>
      <c r="G69" s="81">
        <f t="shared" si="11"/>
        <v>600</v>
      </c>
      <c r="H69" s="120">
        <f t="shared" si="12"/>
        <v>450</v>
      </c>
    </row>
    <row r="70" spans="1:8" ht="14.25" customHeight="1" x14ac:dyDescent="0.3">
      <c r="A70" s="270" t="s">
        <v>13</v>
      </c>
      <c r="B70" s="323" t="str">
        <f t="shared" si="8"/>
        <v>Green Bell Pepper - فلفل أخضر رومى</v>
      </c>
      <c r="C70" s="323" t="str">
        <f t="shared" si="8"/>
        <v>gm</v>
      </c>
      <c r="D70" s="323">
        <f t="shared" si="8"/>
        <v>20.399999999999999</v>
      </c>
      <c r="E70" s="197">
        <f t="shared" si="9"/>
        <v>10</v>
      </c>
      <c r="F70" s="127">
        <f t="shared" si="10"/>
        <v>0.75</v>
      </c>
      <c r="G70" s="81">
        <f t="shared" si="11"/>
        <v>204</v>
      </c>
      <c r="H70" s="120">
        <f t="shared" si="12"/>
        <v>153</v>
      </c>
    </row>
    <row r="71" spans="1:8" ht="14.25" customHeight="1" x14ac:dyDescent="0.3">
      <c r="A71" s="270" t="s">
        <v>97</v>
      </c>
      <c r="B71" s="323" t="str">
        <f t="shared" si="8"/>
        <v>Kabsa Spices Powder - توابل كبسة بودر</v>
      </c>
      <c r="C71" s="323" t="str">
        <f t="shared" si="8"/>
        <v>gm</v>
      </c>
      <c r="D71" s="323">
        <f t="shared" si="8"/>
        <v>24</v>
      </c>
      <c r="E71" s="197">
        <f t="shared" si="9"/>
        <v>10</v>
      </c>
      <c r="F71" s="127">
        <f t="shared" si="10"/>
        <v>0.5</v>
      </c>
      <c r="G71" s="81">
        <f t="shared" si="11"/>
        <v>240</v>
      </c>
      <c r="H71" s="120">
        <f t="shared" si="12"/>
        <v>120</v>
      </c>
    </row>
    <row r="72" spans="1:8" ht="14.25" customHeight="1" x14ac:dyDescent="0.3">
      <c r="A72" s="270" t="s">
        <v>97</v>
      </c>
      <c r="B72" s="323" t="str">
        <f t="shared" si="8"/>
        <v>Coriander Powder - كزبرة مطحونة</v>
      </c>
      <c r="C72" s="323" t="str">
        <f t="shared" si="8"/>
        <v>gm</v>
      </c>
      <c r="D72" s="323">
        <f t="shared" si="8"/>
        <v>18</v>
      </c>
      <c r="E72" s="197">
        <f t="shared" si="9"/>
        <v>10</v>
      </c>
      <c r="F72" s="127">
        <f t="shared" si="10"/>
        <v>0.7</v>
      </c>
      <c r="G72" s="81">
        <f t="shared" si="11"/>
        <v>180</v>
      </c>
      <c r="H72" s="120">
        <f t="shared" si="12"/>
        <v>125.99999999999999</v>
      </c>
    </row>
    <row r="73" spans="1:8" ht="14.25" customHeight="1" x14ac:dyDescent="0.3">
      <c r="A73" s="270" t="s">
        <v>97</v>
      </c>
      <c r="B73" s="323" t="str">
        <f t="shared" si="8"/>
        <v>Salt - ملح</v>
      </c>
      <c r="C73" s="323" t="str">
        <f t="shared" si="8"/>
        <v>gm</v>
      </c>
      <c r="D73" s="323">
        <f t="shared" si="8"/>
        <v>18</v>
      </c>
      <c r="E73" s="197">
        <f t="shared" si="9"/>
        <v>10</v>
      </c>
      <c r="F73" s="127">
        <f t="shared" si="10"/>
        <v>0.75</v>
      </c>
      <c r="G73" s="81">
        <f t="shared" si="11"/>
        <v>180</v>
      </c>
      <c r="H73" s="120">
        <f t="shared" si="12"/>
        <v>135</v>
      </c>
    </row>
    <row r="74" spans="1:8" ht="14.25" customHeight="1" x14ac:dyDescent="0.3">
      <c r="A74" s="211"/>
      <c r="B74" s="198" t="s">
        <v>299</v>
      </c>
      <c r="C74" s="200" t="s">
        <v>285</v>
      </c>
      <c r="D74" s="14"/>
      <c r="E74" s="200" t="s">
        <v>300</v>
      </c>
      <c r="F74" s="14"/>
      <c r="G74" s="890" t="s">
        <v>276</v>
      </c>
      <c r="H74" s="890" t="s">
        <v>733</v>
      </c>
    </row>
    <row r="75" spans="1:8" ht="20.75" customHeight="1" x14ac:dyDescent="0.4">
      <c r="A75" s="211"/>
      <c r="B75" s="199">
        <f>$J$53</f>
        <v>10000</v>
      </c>
      <c r="C75" s="199">
        <f>E75+G75</f>
        <v>0</v>
      </c>
      <c r="D75" s="930"/>
      <c r="E75" s="199">
        <f>$C$53*$S$44</f>
        <v>0</v>
      </c>
      <c r="F75" s="934"/>
      <c r="G75" s="199">
        <f>$C$53*$T$44</f>
        <v>0</v>
      </c>
      <c r="H75" s="199">
        <f>B75+E75</f>
        <v>10000</v>
      </c>
    </row>
    <row r="76" spans="1:8" ht="14.25" customHeight="1" x14ac:dyDescent="0.3">
      <c r="B76" s="100"/>
      <c r="E76" s="100"/>
      <c r="F76" s="100"/>
    </row>
    <row r="77" spans="1:8" ht="14.25" customHeight="1" x14ac:dyDescent="0.3">
      <c r="A77" s="938"/>
      <c r="B77" s="1382" t="str">
        <f>"بخاري لحم  2 / " &amp; COUNTIF($H$53:$H$58, "&gt;0")</f>
        <v>بخاري لحم  2 / 3</v>
      </c>
      <c r="C77" s="1383"/>
      <c r="D77" s="1383"/>
      <c r="E77" s="1383"/>
      <c r="F77" s="1383"/>
      <c r="G77" s="1383"/>
      <c r="H77" s="1383"/>
    </row>
    <row r="78" spans="1:8" ht="14.25" customHeight="1" x14ac:dyDescent="0.3">
      <c r="A78" s="938"/>
      <c r="B78" s="1384" t="str">
        <f>"Beef Boukhary 2 / " &amp; COUNTIF($H$53:$H$58, "&gt;0")</f>
        <v>Beef Boukhary 2 / 3</v>
      </c>
      <c r="C78" s="1385"/>
      <c r="D78" s="1385"/>
      <c r="E78" s="1385"/>
      <c r="F78" s="1385"/>
      <c r="G78" s="1385"/>
      <c r="H78" s="1385"/>
    </row>
    <row r="79" spans="1:8" ht="50" customHeight="1" x14ac:dyDescent="0.3">
      <c r="A79" s="91"/>
      <c r="B79" s="91" t="s">
        <v>253</v>
      </c>
      <c r="C79" s="307" t="s">
        <v>329</v>
      </c>
      <c r="D79" s="91" t="s">
        <v>330</v>
      </c>
      <c r="E79" s="108" t="s">
        <v>331</v>
      </c>
      <c r="F79" s="108" t="s">
        <v>332</v>
      </c>
      <c r="G79" s="308" t="s">
        <v>333</v>
      </c>
      <c r="H79" s="109" t="s">
        <v>334</v>
      </c>
    </row>
    <row r="80" spans="1:8" ht="19.5" customHeight="1" x14ac:dyDescent="0.3">
      <c r="A80" s="219" t="s">
        <v>230</v>
      </c>
      <c r="B80" s="323" t="str">
        <f t="shared" ref="B80:D88" si="13">B5</f>
        <v>Indian Meat Alana  - لحم هندى ألانا</v>
      </c>
      <c r="C80" s="323" t="str">
        <f t="shared" si="13"/>
        <v>gm</v>
      </c>
      <c r="D80" s="119">
        <f t="shared" si="13"/>
        <v>1562.5</v>
      </c>
      <c r="E80" s="197">
        <f t="shared" ref="E80:E88" si="14">$H$54</f>
        <v>10</v>
      </c>
      <c r="F80" s="127">
        <f t="shared" ref="F80:F88" si="15">F5</f>
        <v>1</v>
      </c>
      <c r="G80" s="119">
        <f t="shared" ref="G80:G88" si="16">D80*E80</f>
        <v>15625</v>
      </c>
      <c r="H80" s="120">
        <f t="shared" ref="H80:H88" si="17">G80*F80</f>
        <v>15625</v>
      </c>
    </row>
    <row r="81" spans="1:8" ht="14.25" customHeight="1" x14ac:dyDescent="0.3">
      <c r="A81" s="270" t="s">
        <v>97</v>
      </c>
      <c r="B81" s="323" t="str">
        <f t="shared" si="13"/>
        <v>Cumin Powder - كمون مطحون</v>
      </c>
      <c r="C81" s="323" t="str">
        <f t="shared" si="13"/>
        <v>gm</v>
      </c>
      <c r="D81" s="323">
        <f t="shared" si="13"/>
        <v>18</v>
      </c>
      <c r="E81" s="197">
        <f t="shared" si="14"/>
        <v>10</v>
      </c>
      <c r="F81" s="127">
        <f t="shared" si="15"/>
        <v>0.7</v>
      </c>
      <c r="G81" s="119">
        <f t="shared" si="16"/>
        <v>180</v>
      </c>
      <c r="H81" s="120">
        <f t="shared" si="17"/>
        <v>125.99999999999999</v>
      </c>
    </row>
    <row r="82" spans="1:8" ht="17.75" customHeight="1" x14ac:dyDescent="0.3">
      <c r="A82" s="270" t="s">
        <v>210</v>
      </c>
      <c r="B82" s="323" t="str">
        <f t="shared" si="13"/>
        <v>Water - ماء</v>
      </c>
      <c r="C82" s="323" t="str">
        <f t="shared" si="13"/>
        <v>gm</v>
      </c>
      <c r="D82" s="323">
        <f t="shared" si="13"/>
        <v>720</v>
      </c>
      <c r="E82" s="197">
        <f t="shared" si="14"/>
        <v>10</v>
      </c>
      <c r="F82" s="127">
        <f t="shared" si="15"/>
        <v>1</v>
      </c>
      <c r="G82" s="119">
        <f t="shared" si="16"/>
        <v>7200</v>
      </c>
      <c r="H82" s="120">
        <f t="shared" si="17"/>
        <v>7200</v>
      </c>
    </row>
    <row r="83" spans="1:8" ht="17.75" customHeight="1" x14ac:dyDescent="0.3">
      <c r="A83" s="270" t="s">
        <v>97</v>
      </c>
      <c r="B83" s="323" t="str">
        <f t="shared" si="13"/>
        <v>Cardamom Whole - هيل حب</v>
      </c>
      <c r="C83" s="323" t="str">
        <f t="shared" si="13"/>
        <v>gm</v>
      </c>
      <c r="D83" s="323">
        <f t="shared" si="13"/>
        <v>12</v>
      </c>
      <c r="E83" s="197">
        <f t="shared" si="14"/>
        <v>10</v>
      </c>
      <c r="F83" s="127">
        <f t="shared" si="15"/>
        <v>0.25</v>
      </c>
      <c r="G83" s="119">
        <f t="shared" si="16"/>
        <v>120</v>
      </c>
      <c r="H83" s="120">
        <f t="shared" si="17"/>
        <v>30</v>
      </c>
    </row>
    <row r="84" spans="1:8" x14ac:dyDescent="0.3">
      <c r="A84" s="270" t="s">
        <v>196</v>
      </c>
      <c r="B84" s="323" t="str">
        <f t="shared" si="13"/>
        <v>Tomato Paste - صلصة طماطم</v>
      </c>
      <c r="C84" s="323" t="str">
        <f t="shared" si="13"/>
        <v>gm</v>
      </c>
      <c r="D84" s="323">
        <f t="shared" si="13"/>
        <v>60</v>
      </c>
      <c r="E84" s="197">
        <f t="shared" si="14"/>
        <v>10</v>
      </c>
      <c r="F84" s="127">
        <f t="shared" si="15"/>
        <v>0.75</v>
      </c>
      <c r="G84" s="119">
        <f t="shared" si="16"/>
        <v>600</v>
      </c>
      <c r="H84" s="120">
        <f t="shared" si="17"/>
        <v>450</v>
      </c>
    </row>
    <row r="85" spans="1:8" ht="14.25" customHeight="1" x14ac:dyDescent="0.3">
      <c r="A85" s="270" t="s">
        <v>13</v>
      </c>
      <c r="B85" s="323" t="str">
        <f t="shared" si="13"/>
        <v>Green Bell Pepper - فلفل أخضر رومى</v>
      </c>
      <c r="C85" s="323" t="str">
        <f t="shared" si="13"/>
        <v>gm</v>
      </c>
      <c r="D85" s="323">
        <f t="shared" si="13"/>
        <v>20.399999999999999</v>
      </c>
      <c r="E85" s="197">
        <f t="shared" si="14"/>
        <v>10</v>
      </c>
      <c r="F85" s="127">
        <f t="shared" si="15"/>
        <v>0.75</v>
      </c>
      <c r="G85" s="119">
        <f t="shared" si="16"/>
        <v>204</v>
      </c>
      <c r="H85" s="120">
        <f t="shared" si="17"/>
        <v>153</v>
      </c>
    </row>
    <row r="86" spans="1:8" ht="14.25" customHeight="1" x14ac:dyDescent="0.3">
      <c r="A86" s="270" t="s">
        <v>97</v>
      </c>
      <c r="B86" s="323" t="str">
        <f t="shared" si="13"/>
        <v>Kabsa Spices Powder - توابل كبسة بودر</v>
      </c>
      <c r="C86" s="323" t="str">
        <f t="shared" si="13"/>
        <v>gm</v>
      </c>
      <c r="D86" s="323">
        <f t="shared" si="13"/>
        <v>24</v>
      </c>
      <c r="E86" s="197">
        <f t="shared" si="14"/>
        <v>10</v>
      </c>
      <c r="F86" s="127">
        <f t="shared" si="15"/>
        <v>0.5</v>
      </c>
      <c r="G86" s="119">
        <f t="shared" si="16"/>
        <v>240</v>
      </c>
      <c r="H86" s="120">
        <f t="shared" si="17"/>
        <v>120</v>
      </c>
    </row>
    <row r="87" spans="1:8" ht="14.25" customHeight="1" x14ac:dyDescent="0.3">
      <c r="A87" s="270" t="s">
        <v>97</v>
      </c>
      <c r="B87" s="323" t="str">
        <f t="shared" si="13"/>
        <v>Coriander Powder - كزبرة مطحونة</v>
      </c>
      <c r="C87" s="323" t="str">
        <f t="shared" si="13"/>
        <v>gm</v>
      </c>
      <c r="D87" s="323">
        <f t="shared" si="13"/>
        <v>18</v>
      </c>
      <c r="E87" s="197">
        <f t="shared" si="14"/>
        <v>10</v>
      </c>
      <c r="F87" s="127">
        <f t="shared" si="15"/>
        <v>0.7</v>
      </c>
      <c r="G87" s="119">
        <f t="shared" si="16"/>
        <v>180</v>
      </c>
      <c r="H87" s="120">
        <f t="shared" si="17"/>
        <v>125.99999999999999</v>
      </c>
    </row>
    <row r="88" spans="1:8" ht="14.25" customHeight="1" x14ac:dyDescent="0.3">
      <c r="A88" s="270" t="s">
        <v>97</v>
      </c>
      <c r="B88" s="323" t="str">
        <f t="shared" si="13"/>
        <v>Salt - ملح</v>
      </c>
      <c r="C88" s="323" t="str">
        <f t="shared" si="13"/>
        <v>gm</v>
      </c>
      <c r="D88" s="323">
        <f t="shared" si="13"/>
        <v>18</v>
      </c>
      <c r="E88" s="197">
        <f t="shared" si="14"/>
        <v>10</v>
      </c>
      <c r="F88" s="127">
        <f t="shared" si="15"/>
        <v>0.75</v>
      </c>
      <c r="G88" s="119">
        <f t="shared" si="16"/>
        <v>180</v>
      </c>
      <c r="H88" s="120">
        <f t="shared" si="17"/>
        <v>135</v>
      </c>
    </row>
    <row r="89" spans="1:8" ht="14.25" customHeight="1" x14ac:dyDescent="0.3">
      <c r="A89" s="211"/>
      <c r="B89" s="198" t="s">
        <v>299</v>
      </c>
      <c r="C89" s="200" t="s">
        <v>285</v>
      </c>
      <c r="D89" s="14"/>
      <c r="E89" s="200" t="s">
        <v>300</v>
      </c>
      <c r="F89" s="14"/>
      <c r="G89" s="890" t="s">
        <v>276</v>
      </c>
      <c r="H89" s="890" t="s">
        <v>733</v>
      </c>
    </row>
    <row r="90" spans="1:8" ht="23.75" customHeight="1" x14ac:dyDescent="0.4">
      <c r="A90" s="211"/>
      <c r="B90" s="199">
        <f>$J$54</f>
        <v>10000</v>
      </c>
      <c r="C90" s="199">
        <f>E90+G90</f>
        <v>0</v>
      </c>
      <c r="D90" s="930"/>
      <c r="E90" s="199">
        <f>$D$54*$S$44</f>
        <v>0</v>
      </c>
      <c r="F90" s="934"/>
      <c r="G90" s="199">
        <f>$D$54*$T$44</f>
        <v>0</v>
      </c>
      <c r="H90" s="199">
        <f>B90+E90</f>
        <v>10000</v>
      </c>
    </row>
    <row r="91" spans="1:8" ht="14.25" customHeight="1" x14ac:dyDescent="0.3">
      <c r="B91" s="100"/>
      <c r="E91" s="100"/>
      <c r="F91" s="100"/>
    </row>
    <row r="92" spans="1:8" ht="14.25" customHeight="1" x14ac:dyDescent="0.3">
      <c r="B92" s="100"/>
      <c r="E92" s="100"/>
      <c r="F92" s="100"/>
    </row>
    <row r="93" spans="1:8" ht="14.25" customHeight="1" x14ac:dyDescent="0.3">
      <c r="B93" s="100"/>
      <c r="E93" s="100"/>
      <c r="F93" s="100"/>
    </row>
    <row r="94" spans="1:8" ht="20.25" customHeight="1" x14ac:dyDescent="0.3">
      <c r="A94" s="938"/>
      <c r="B94" s="1382" t="str">
        <f>"بخاري لحم  3 / " &amp; COUNTIF($H$53:$H$58, "&gt;0")</f>
        <v>بخاري لحم  3 / 3</v>
      </c>
      <c r="C94" s="1383"/>
      <c r="D94" s="1383"/>
      <c r="E94" s="1383"/>
      <c r="F94" s="1383"/>
      <c r="G94" s="1383"/>
      <c r="H94" s="1383"/>
    </row>
    <row r="95" spans="1:8" ht="22.25" customHeight="1" x14ac:dyDescent="0.3">
      <c r="A95" s="938"/>
      <c r="B95" s="1384" t="str">
        <f>"Beef Boukhary  3 / " &amp; COUNTIF($H$53:$H$58, "&gt;0")</f>
        <v>Beef Boukhary  3 / 3</v>
      </c>
      <c r="C95" s="1385"/>
      <c r="D95" s="1385"/>
      <c r="E95" s="1385"/>
      <c r="F95" s="1385"/>
      <c r="G95" s="1385"/>
      <c r="H95" s="1385"/>
    </row>
    <row r="96" spans="1:8" ht="44" customHeight="1" x14ac:dyDescent="0.3">
      <c r="A96" s="91"/>
      <c r="B96" s="91" t="s">
        <v>253</v>
      </c>
      <c r="C96" s="107" t="s">
        <v>254</v>
      </c>
      <c r="D96" s="91" t="s">
        <v>243</v>
      </c>
      <c r="E96" s="218" t="s">
        <v>246</v>
      </c>
      <c r="F96" s="108" t="s">
        <v>342</v>
      </c>
      <c r="G96" s="91" t="s">
        <v>256</v>
      </c>
      <c r="H96" s="218" t="s">
        <v>257</v>
      </c>
    </row>
    <row r="97" spans="1:8" ht="14.25" customHeight="1" x14ac:dyDescent="0.3">
      <c r="A97" s="219" t="s">
        <v>230</v>
      </c>
      <c r="B97" s="219" t="str">
        <f t="shared" ref="B97:D105" si="18">B5</f>
        <v>Indian Meat Alana  - لحم هندى ألانا</v>
      </c>
      <c r="C97" s="219" t="str">
        <f t="shared" si="18"/>
        <v>gm</v>
      </c>
      <c r="D97" s="119">
        <f t="shared" si="18"/>
        <v>1562.5</v>
      </c>
      <c r="E97" s="197">
        <f t="shared" ref="E97:E105" si="19">$H$55</f>
        <v>7.48</v>
      </c>
      <c r="F97" s="325">
        <f t="shared" ref="F97:F105" si="20">F5</f>
        <v>1</v>
      </c>
      <c r="G97" s="119">
        <f t="shared" ref="G97:G105" si="21">D97*E97</f>
        <v>11687.5</v>
      </c>
      <c r="H97" s="120">
        <f t="shared" ref="H97:H105" si="22">G97*F97</f>
        <v>11687.5</v>
      </c>
    </row>
    <row r="98" spans="1:8" ht="14.25" customHeight="1" x14ac:dyDescent="0.3">
      <c r="A98" s="219" t="s">
        <v>97</v>
      </c>
      <c r="B98" s="219" t="str">
        <f t="shared" si="18"/>
        <v>Cumin Powder - كمون مطحون</v>
      </c>
      <c r="C98" s="219" t="str">
        <f t="shared" si="18"/>
        <v>gm</v>
      </c>
      <c r="D98" s="219">
        <f t="shared" si="18"/>
        <v>18</v>
      </c>
      <c r="E98" s="197">
        <f t="shared" si="19"/>
        <v>7.48</v>
      </c>
      <c r="F98" s="325">
        <f t="shared" si="20"/>
        <v>0.7</v>
      </c>
      <c r="G98" s="119">
        <f t="shared" si="21"/>
        <v>134.64000000000001</v>
      </c>
      <c r="H98" s="120">
        <f t="shared" si="22"/>
        <v>94.248000000000005</v>
      </c>
    </row>
    <row r="99" spans="1:8" ht="16.25" customHeight="1" x14ac:dyDescent="0.3">
      <c r="A99" s="219" t="s">
        <v>210</v>
      </c>
      <c r="B99" s="219" t="str">
        <f t="shared" si="18"/>
        <v>Water - ماء</v>
      </c>
      <c r="C99" s="219" t="str">
        <f t="shared" si="18"/>
        <v>gm</v>
      </c>
      <c r="D99" s="219">
        <f t="shared" si="18"/>
        <v>720</v>
      </c>
      <c r="E99" s="197">
        <f t="shared" si="19"/>
        <v>7.48</v>
      </c>
      <c r="F99" s="325">
        <f t="shared" si="20"/>
        <v>1</v>
      </c>
      <c r="G99" s="119">
        <f t="shared" si="21"/>
        <v>5385.6</v>
      </c>
      <c r="H99" s="120">
        <f t="shared" si="22"/>
        <v>5385.6</v>
      </c>
    </row>
    <row r="100" spans="1:8" ht="17.75" customHeight="1" x14ac:dyDescent="0.3">
      <c r="A100" s="219" t="s">
        <v>97</v>
      </c>
      <c r="B100" s="219" t="str">
        <f t="shared" si="18"/>
        <v>Cardamom Whole - هيل حب</v>
      </c>
      <c r="C100" s="219" t="str">
        <f t="shared" si="18"/>
        <v>gm</v>
      </c>
      <c r="D100" s="219">
        <f t="shared" si="18"/>
        <v>12</v>
      </c>
      <c r="E100" s="197">
        <f t="shared" si="19"/>
        <v>7.48</v>
      </c>
      <c r="F100" s="325">
        <f t="shared" si="20"/>
        <v>0.25</v>
      </c>
      <c r="G100" s="119">
        <f t="shared" si="21"/>
        <v>89.76</v>
      </c>
      <c r="H100" s="120">
        <f t="shared" si="22"/>
        <v>22.44</v>
      </c>
    </row>
    <row r="101" spans="1:8" ht="49.5" customHeight="1" x14ac:dyDescent="0.3">
      <c r="A101" s="219" t="s">
        <v>196</v>
      </c>
      <c r="B101" s="219" t="str">
        <f t="shared" si="18"/>
        <v>Tomato Paste - صلصة طماطم</v>
      </c>
      <c r="C101" s="219" t="str">
        <f t="shared" si="18"/>
        <v>gm</v>
      </c>
      <c r="D101" s="219">
        <f t="shared" si="18"/>
        <v>60</v>
      </c>
      <c r="E101" s="197">
        <f t="shared" si="19"/>
        <v>7.48</v>
      </c>
      <c r="F101" s="325">
        <f t="shared" si="20"/>
        <v>0.75</v>
      </c>
      <c r="G101" s="119">
        <f t="shared" si="21"/>
        <v>448.8</v>
      </c>
      <c r="H101" s="120">
        <f t="shared" si="22"/>
        <v>336.6</v>
      </c>
    </row>
    <row r="102" spans="1:8" ht="14.25" customHeight="1" x14ac:dyDescent="0.3">
      <c r="A102" s="219" t="s">
        <v>13</v>
      </c>
      <c r="B102" s="219" t="str">
        <f t="shared" si="18"/>
        <v>Green Bell Pepper - فلفل أخضر رومى</v>
      </c>
      <c r="C102" s="219" t="str">
        <f t="shared" si="18"/>
        <v>gm</v>
      </c>
      <c r="D102" s="219">
        <f t="shared" si="18"/>
        <v>20.399999999999999</v>
      </c>
      <c r="E102" s="197">
        <f t="shared" si="19"/>
        <v>7.48</v>
      </c>
      <c r="F102" s="325">
        <f t="shared" si="20"/>
        <v>0.75</v>
      </c>
      <c r="G102" s="119">
        <f t="shared" si="21"/>
        <v>152.59199999999998</v>
      </c>
      <c r="H102" s="120">
        <f t="shared" si="22"/>
        <v>114.44399999999999</v>
      </c>
    </row>
    <row r="103" spans="1:8" ht="14.25" customHeight="1" x14ac:dyDescent="0.3">
      <c r="A103" s="219" t="s">
        <v>97</v>
      </c>
      <c r="B103" s="219" t="str">
        <f t="shared" si="18"/>
        <v>Kabsa Spices Powder - توابل كبسة بودر</v>
      </c>
      <c r="C103" s="219" t="str">
        <f t="shared" si="18"/>
        <v>gm</v>
      </c>
      <c r="D103" s="219">
        <f t="shared" si="18"/>
        <v>24</v>
      </c>
      <c r="E103" s="197">
        <f t="shared" si="19"/>
        <v>7.48</v>
      </c>
      <c r="F103" s="325">
        <f t="shared" si="20"/>
        <v>0.5</v>
      </c>
      <c r="G103" s="119">
        <f t="shared" si="21"/>
        <v>179.52</v>
      </c>
      <c r="H103" s="120">
        <f t="shared" si="22"/>
        <v>89.76</v>
      </c>
    </row>
    <row r="104" spans="1:8" ht="14.25" customHeight="1" x14ac:dyDescent="0.3">
      <c r="A104" s="219" t="s">
        <v>97</v>
      </c>
      <c r="B104" s="219" t="str">
        <f t="shared" si="18"/>
        <v>Coriander Powder - كزبرة مطحونة</v>
      </c>
      <c r="C104" s="219" t="str">
        <f t="shared" si="18"/>
        <v>gm</v>
      </c>
      <c r="D104" s="219">
        <f t="shared" si="18"/>
        <v>18</v>
      </c>
      <c r="E104" s="197">
        <f t="shared" si="19"/>
        <v>7.48</v>
      </c>
      <c r="F104" s="325">
        <f t="shared" si="20"/>
        <v>0.7</v>
      </c>
      <c r="G104" s="119">
        <f t="shared" si="21"/>
        <v>134.64000000000001</v>
      </c>
      <c r="H104" s="120">
        <f t="shared" si="22"/>
        <v>94.248000000000005</v>
      </c>
    </row>
    <row r="105" spans="1:8" ht="14.25" customHeight="1" x14ac:dyDescent="0.3">
      <c r="A105" s="219" t="s">
        <v>97</v>
      </c>
      <c r="B105" s="219" t="str">
        <f t="shared" si="18"/>
        <v>Salt - ملح</v>
      </c>
      <c r="C105" s="219" t="str">
        <f t="shared" si="18"/>
        <v>gm</v>
      </c>
      <c r="D105" s="219">
        <f t="shared" si="18"/>
        <v>18</v>
      </c>
      <c r="E105" s="197">
        <f t="shared" si="19"/>
        <v>7.48</v>
      </c>
      <c r="F105" s="325">
        <f t="shared" si="20"/>
        <v>0.75</v>
      </c>
      <c r="G105" s="119">
        <f t="shared" si="21"/>
        <v>134.64000000000001</v>
      </c>
      <c r="H105" s="120">
        <f t="shared" si="22"/>
        <v>100.98000000000002</v>
      </c>
    </row>
    <row r="106" spans="1:8" ht="14.25" customHeight="1" x14ac:dyDescent="0.3">
      <c r="A106" s="211"/>
      <c r="B106" s="198" t="s">
        <v>299</v>
      </c>
      <c r="C106" s="200" t="s">
        <v>285</v>
      </c>
      <c r="D106" s="14"/>
      <c r="E106" s="200" t="s">
        <v>300</v>
      </c>
      <c r="F106" s="14"/>
      <c r="G106" s="890" t="s">
        <v>276</v>
      </c>
      <c r="H106" s="890" t="s">
        <v>733</v>
      </c>
    </row>
    <row r="107" spans="1:8" ht="26" customHeight="1" x14ac:dyDescent="0.4">
      <c r="A107" s="211"/>
      <c r="B107" s="199">
        <f>$J$55</f>
        <v>7480</v>
      </c>
      <c r="C107" s="199">
        <f>E107+G107</f>
        <v>0</v>
      </c>
      <c r="D107" s="930"/>
      <c r="E107" s="199">
        <f>$D$55*$S$44</f>
        <v>0</v>
      </c>
      <c r="F107" s="934"/>
      <c r="G107" s="199">
        <f>$D$55*$T$44</f>
        <v>0</v>
      </c>
      <c r="H107" s="199">
        <f>B107+E107</f>
        <v>7480</v>
      </c>
    </row>
    <row r="108" spans="1:8" ht="14.25" customHeight="1" x14ac:dyDescent="0.3"/>
    <row r="109" spans="1:8" ht="14.25" customHeight="1" x14ac:dyDescent="0.3"/>
    <row r="110" spans="1:8" ht="14.25" customHeight="1" x14ac:dyDescent="0.3">
      <c r="A110" s="938"/>
      <c r="B110" s="1382" t="str">
        <f>"بخاري لحم  4 / " &amp; COUNTIF($H$53:$H$58, "&gt;0")</f>
        <v>بخاري لحم  4 / 3</v>
      </c>
      <c r="C110" s="1383"/>
      <c r="D110" s="1383"/>
      <c r="E110" s="1383"/>
      <c r="F110" s="1383"/>
      <c r="G110" s="1383"/>
      <c r="H110" s="1383"/>
    </row>
    <row r="111" spans="1:8" ht="20.25" customHeight="1" x14ac:dyDescent="0.3">
      <c r="A111" s="938"/>
      <c r="B111" s="1384" t="str">
        <f>"Beef Boukhary  4 / " &amp; COUNTIF($H$53:$H$58, "&gt;0")</f>
        <v>Beef Boukhary  4 / 3</v>
      </c>
      <c r="C111" s="1385"/>
      <c r="D111" s="1385"/>
      <c r="E111" s="1385"/>
      <c r="F111" s="1385"/>
      <c r="G111" s="1385"/>
      <c r="H111" s="1385"/>
    </row>
    <row r="112" spans="1:8" ht="49.25" customHeight="1" x14ac:dyDescent="0.3">
      <c r="A112" s="91"/>
      <c r="B112" s="91" t="s">
        <v>253</v>
      </c>
      <c r="C112" s="107" t="s">
        <v>254</v>
      </c>
      <c r="D112" s="91" t="s">
        <v>243</v>
      </c>
      <c r="E112" s="218" t="s">
        <v>246</v>
      </c>
      <c r="F112" s="108" t="s">
        <v>342</v>
      </c>
      <c r="G112" s="91" t="s">
        <v>256</v>
      </c>
      <c r="H112" s="218" t="s">
        <v>257</v>
      </c>
    </row>
    <row r="113" spans="1:8" x14ac:dyDescent="0.3">
      <c r="A113" s="219" t="s">
        <v>230</v>
      </c>
      <c r="B113" s="219" t="str">
        <f t="shared" ref="B113:D121" si="23">B5</f>
        <v>Indian Meat Alana  - لحم هندى ألانا</v>
      </c>
      <c r="C113" s="219" t="str">
        <f t="shared" si="23"/>
        <v>gm</v>
      </c>
      <c r="D113" s="566">
        <f t="shared" si="23"/>
        <v>1562.5</v>
      </c>
      <c r="E113" s="197">
        <f t="shared" ref="E113:E121" si="24">$H$56</f>
        <v>0</v>
      </c>
      <c r="F113" s="325">
        <f t="shared" ref="F113:F121" si="25">F5</f>
        <v>1</v>
      </c>
      <c r="G113" s="119">
        <f t="shared" ref="G113:G121" si="26">D113*E113</f>
        <v>0</v>
      </c>
      <c r="H113" s="120">
        <f t="shared" ref="H113:H121" si="27">G113*F113</f>
        <v>0</v>
      </c>
    </row>
    <row r="114" spans="1:8" x14ac:dyDescent="0.3">
      <c r="A114" s="219" t="s">
        <v>97</v>
      </c>
      <c r="B114" s="219" t="str">
        <f t="shared" si="23"/>
        <v>Cumin Powder - كمون مطحون</v>
      </c>
      <c r="C114" s="219" t="str">
        <f t="shared" si="23"/>
        <v>gm</v>
      </c>
      <c r="D114" s="219">
        <f t="shared" si="23"/>
        <v>18</v>
      </c>
      <c r="E114" s="197">
        <f t="shared" si="24"/>
        <v>0</v>
      </c>
      <c r="F114" s="325">
        <f t="shared" si="25"/>
        <v>0.7</v>
      </c>
      <c r="G114" s="119">
        <f t="shared" si="26"/>
        <v>0</v>
      </c>
      <c r="H114" s="120">
        <f t="shared" si="27"/>
        <v>0</v>
      </c>
    </row>
    <row r="115" spans="1:8" ht="17.75" customHeight="1" x14ac:dyDescent="0.3">
      <c r="A115" s="219" t="s">
        <v>210</v>
      </c>
      <c r="B115" s="219" t="str">
        <f t="shared" si="23"/>
        <v>Water - ماء</v>
      </c>
      <c r="C115" s="219" t="str">
        <f t="shared" si="23"/>
        <v>gm</v>
      </c>
      <c r="D115" s="219">
        <f t="shared" si="23"/>
        <v>720</v>
      </c>
      <c r="E115" s="197">
        <f t="shared" si="24"/>
        <v>0</v>
      </c>
      <c r="F115" s="325">
        <f t="shared" si="25"/>
        <v>1</v>
      </c>
      <c r="G115" s="119">
        <f t="shared" si="26"/>
        <v>0</v>
      </c>
      <c r="H115" s="120">
        <f t="shared" si="27"/>
        <v>0</v>
      </c>
    </row>
    <row r="116" spans="1:8" ht="17.75" customHeight="1" x14ac:dyDescent="0.3">
      <c r="A116" s="219" t="s">
        <v>97</v>
      </c>
      <c r="B116" s="219" t="str">
        <f t="shared" si="23"/>
        <v>Cardamom Whole - هيل حب</v>
      </c>
      <c r="C116" s="219" t="str">
        <f t="shared" si="23"/>
        <v>gm</v>
      </c>
      <c r="D116" s="219">
        <f t="shared" si="23"/>
        <v>12</v>
      </c>
      <c r="E116" s="197">
        <f t="shared" si="24"/>
        <v>0</v>
      </c>
      <c r="F116" s="325">
        <f t="shared" si="25"/>
        <v>0.25</v>
      </c>
      <c r="G116" s="119">
        <f t="shared" si="26"/>
        <v>0</v>
      </c>
      <c r="H116" s="120">
        <f t="shared" si="27"/>
        <v>0</v>
      </c>
    </row>
    <row r="117" spans="1:8" x14ac:dyDescent="0.3">
      <c r="A117" s="219" t="s">
        <v>196</v>
      </c>
      <c r="B117" s="219" t="str">
        <f t="shared" si="23"/>
        <v>Tomato Paste - صلصة طماطم</v>
      </c>
      <c r="C117" s="219" t="str">
        <f t="shared" si="23"/>
        <v>gm</v>
      </c>
      <c r="D117" s="219">
        <f t="shared" si="23"/>
        <v>60</v>
      </c>
      <c r="E117" s="197">
        <f t="shared" si="24"/>
        <v>0</v>
      </c>
      <c r="F117" s="325">
        <f t="shared" si="25"/>
        <v>0.75</v>
      </c>
      <c r="G117" s="119">
        <f t="shared" si="26"/>
        <v>0</v>
      </c>
      <c r="H117" s="120">
        <f t="shared" si="27"/>
        <v>0</v>
      </c>
    </row>
    <row r="118" spans="1:8" ht="14.25" customHeight="1" x14ac:dyDescent="0.3">
      <c r="A118" s="219" t="s">
        <v>13</v>
      </c>
      <c r="B118" s="219" t="str">
        <f t="shared" si="23"/>
        <v>Green Bell Pepper - فلفل أخضر رومى</v>
      </c>
      <c r="C118" s="219" t="str">
        <f t="shared" si="23"/>
        <v>gm</v>
      </c>
      <c r="D118" s="219">
        <f t="shared" si="23"/>
        <v>20.399999999999999</v>
      </c>
      <c r="E118" s="197">
        <f t="shared" si="24"/>
        <v>0</v>
      </c>
      <c r="F118" s="325">
        <f t="shared" si="25"/>
        <v>0.75</v>
      </c>
      <c r="G118" s="119">
        <f t="shared" si="26"/>
        <v>0</v>
      </c>
      <c r="H118" s="120">
        <f t="shared" si="27"/>
        <v>0</v>
      </c>
    </row>
    <row r="119" spans="1:8" ht="14.25" customHeight="1" x14ac:dyDescent="0.3">
      <c r="A119" s="219" t="s">
        <v>97</v>
      </c>
      <c r="B119" s="219" t="str">
        <f t="shared" si="23"/>
        <v>Kabsa Spices Powder - توابل كبسة بودر</v>
      </c>
      <c r="C119" s="219" t="str">
        <f t="shared" si="23"/>
        <v>gm</v>
      </c>
      <c r="D119" s="219">
        <f t="shared" si="23"/>
        <v>24</v>
      </c>
      <c r="E119" s="197">
        <f t="shared" si="24"/>
        <v>0</v>
      </c>
      <c r="F119" s="325">
        <f t="shared" si="25"/>
        <v>0.5</v>
      </c>
      <c r="G119" s="119">
        <f t="shared" si="26"/>
        <v>0</v>
      </c>
      <c r="H119" s="120">
        <f t="shared" si="27"/>
        <v>0</v>
      </c>
    </row>
    <row r="120" spans="1:8" ht="14.25" customHeight="1" x14ac:dyDescent="0.3">
      <c r="A120" s="219" t="s">
        <v>97</v>
      </c>
      <c r="B120" s="219" t="str">
        <f t="shared" si="23"/>
        <v>Coriander Powder - كزبرة مطحونة</v>
      </c>
      <c r="C120" s="219" t="str">
        <f t="shared" si="23"/>
        <v>gm</v>
      </c>
      <c r="D120" s="219">
        <f t="shared" si="23"/>
        <v>18</v>
      </c>
      <c r="E120" s="197">
        <f t="shared" si="24"/>
        <v>0</v>
      </c>
      <c r="F120" s="325">
        <f t="shared" si="25"/>
        <v>0.7</v>
      </c>
      <c r="G120" s="119">
        <f t="shared" si="26"/>
        <v>0</v>
      </c>
      <c r="H120" s="120">
        <f t="shared" si="27"/>
        <v>0</v>
      </c>
    </row>
    <row r="121" spans="1:8" ht="14.25" customHeight="1" x14ac:dyDescent="0.3">
      <c r="A121" s="219" t="s">
        <v>97</v>
      </c>
      <c r="B121" s="219" t="str">
        <f t="shared" si="23"/>
        <v>Salt - ملح</v>
      </c>
      <c r="C121" s="219" t="str">
        <f t="shared" si="23"/>
        <v>gm</v>
      </c>
      <c r="D121" s="219">
        <f t="shared" si="23"/>
        <v>18</v>
      </c>
      <c r="E121" s="197">
        <f t="shared" si="24"/>
        <v>0</v>
      </c>
      <c r="F121" s="325">
        <f t="shared" si="25"/>
        <v>0.75</v>
      </c>
      <c r="G121" s="119">
        <f t="shared" si="26"/>
        <v>0</v>
      </c>
      <c r="H121" s="120">
        <f t="shared" si="27"/>
        <v>0</v>
      </c>
    </row>
    <row r="122" spans="1:8" ht="14.25" customHeight="1" x14ac:dyDescent="0.3">
      <c r="A122" s="211"/>
      <c r="B122" s="198" t="s">
        <v>299</v>
      </c>
      <c r="C122" s="200" t="s">
        <v>285</v>
      </c>
      <c r="D122" s="14"/>
      <c r="E122" s="200" t="s">
        <v>300</v>
      </c>
      <c r="F122" s="14"/>
      <c r="G122" s="890" t="s">
        <v>276</v>
      </c>
      <c r="H122" s="890" t="s">
        <v>733</v>
      </c>
    </row>
    <row r="123" spans="1:8" ht="14.25" customHeight="1" x14ac:dyDescent="0.4">
      <c r="A123" s="211"/>
      <c r="B123" s="199">
        <f>$J$56</f>
        <v>0</v>
      </c>
      <c r="C123" s="199">
        <f>E123+G123</f>
        <v>0</v>
      </c>
      <c r="D123" s="930"/>
      <c r="E123" s="199">
        <f>$D$56*$S$44</f>
        <v>0</v>
      </c>
      <c r="F123" s="934"/>
      <c r="G123" s="199">
        <f>$D$56*$T$44</f>
        <v>0</v>
      </c>
      <c r="H123" s="199">
        <f>B123+E123</f>
        <v>0</v>
      </c>
    </row>
    <row r="124" spans="1:8" ht="14.25" customHeight="1" x14ac:dyDescent="0.3"/>
    <row r="125" spans="1:8" ht="14.25" customHeight="1" x14ac:dyDescent="0.3"/>
    <row r="126" spans="1:8" ht="14.25" customHeight="1" x14ac:dyDescent="0.3">
      <c r="A126" s="265"/>
      <c r="B126" s="1382" t="str">
        <f>"بخاري لحم  5 / " &amp; COUNTIF($H$53:$H$58, "&gt;0")</f>
        <v>بخاري لحم  5 / 3</v>
      </c>
      <c r="C126" s="1388"/>
      <c r="D126" s="1388"/>
      <c r="E126" s="1388"/>
      <c r="F126" s="1388"/>
      <c r="G126" s="1388"/>
      <c r="H126" s="1388"/>
    </row>
    <row r="127" spans="1:8" ht="20.25" customHeight="1" x14ac:dyDescent="0.3">
      <c r="A127" s="265"/>
      <c r="B127" s="1384" t="str">
        <f>"Beef Boukhary  5 / " &amp; COUNTIF($H$53:$H$58, "&gt;0")</f>
        <v>Beef Boukhary  5 / 3</v>
      </c>
      <c r="C127" s="1410"/>
      <c r="D127" s="1410"/>
      <c r="E127" s="1410"/>
      <c r="F127" s="1410"/>
      <c r="G127" s="1410"/>
      <c r="H127" s="1410"/>
    </row>
    <row r="128" spans="1:8" ht="45.5" customHeight="1" x14ac:dyDescent="0.3">
      <c r="A128" s="91"/>
      <c r="B128" s="91" t="s">
        <v>253</v>
      </c>
      <c r="C128" s="107" t="s">
        <v>254</v>
      </c>
      <c r="D128" s="91" t="s">
        <v>243</v>
      </c>
      <c r="E128" s="218" t="s">
        <v>246</v>
      </c>
      <c r="F128" s="108" t="s">
        <v>342</v>
      </c>
      <c r="G128" s="91" t="s">
        <v>256</v>
      </c>
      <c r="H128" s="218" t="s">
        <v>257</v>
      </c>
    </row>
    <row r="129" spans="1:8" x14ac:dyDescent="0.3">
      <c r="A129" s="219" t="s">
        <v>230</v>
      </c>
      <c r="B129" s="219" t="str">
        <f t="shared" ref="B129:D137" si="28">B5</f>
        <v>Indian Meat Alana  - لحم هندى ألانا</v>
      </c>
      <c r="C129" s="219" t="str">
        <f t="shared" si="28"/>
        <v>gm</v>
      </c>
      <c r="D129" s="219">
        <f t="shared" si="28"/>
        <v>1562.5</v>
      </c>
      <c r="E129" s="197">
        <f t="shared" ref="E129:E137" si="29">$H$57</f>
        <v>0</v>
      </c>
      <c r="F129" s="325">
        <f t="shared" ref="F129:F137" si="30">F5</f>
        <v>1</v>
      </c>
      <c r="G129" s="119">
        <f t="shared" ref="G129:G137" si="31">D129*E129</f>
        <v>0</v>
      </c>
      <c r="H129" s="120">
        <f t="shared" ref="H129:H137" si="32">G129*F129</f>
        <v>0</v>
      </c>
    </row>
    <row r="130" spans="1:8" x14ac:dyDescent="0.3">
      <c r="A130" s="219" t="s">
        <v>97</v>
      </c>
      <c r="B130" s="219" t="str">
        <f t="shared" si="28"/>
        <v>Cumin Powder - كمون مطحون</v>
      </c>
      <c r="C130" s="219" t="str">
        <f t="shared" si="28"/>
        <v>gm</v>
      </c>
      <c r="D130" s="219">
        <f t="shared" si="28"/>
        <v>18</v>
      </c>
      <c r="E130" s="197">
        <f t="shared" si="29"/>
        <v>0</v>
      </c>
      <c r="F130" s="325">
        <f t="shared" si="30"/>
        <v>0.7</v>
      </c>
      <c r="G130" s="119">
        <f t="shared" si="31"/>
        <v>0</v>
      </c>
      <c r="H130" s="120">
        <f t="shared" si="32"/>
        <v>0</v>
      </c>
    </row>
    <row r="131" spans="1:8" ht="17.75" customHeight="1" x14ac:dyDescent="0.3">
      <c r="A131" s="219" t="s">
        <v>210</v>
      </c>
      <c r="B131" s="219" t="str">
        <f t="shared" si="28"/>
        <v>Water - ماء</v>
      </c>
      <c r="C131" s="219" t="str">
        <f t="shared" si="28"/>
        <v>gm</v>
      </c>
      <c r="D131" s="219">
        <f t="shared" si="28"/>
        <v>720</v>
      </c>
      <c r="E131" s="197">
        <f t="shared" si="29"/>
        <v>0</v>
      </c>
      <c r="F131" s="325">
        <f t="shared" si="30"/>
        <v>1</v>
      </c>
      <c r="G131" s="119">
        <f t="shared" si="31"/>
        <v>0</v>
      </c>
      <c r="H131" s="120">
        <f t="shared" si="32"/>
        <v>0</v>
      </c>
    </row>
    <row r="132" spans="1:8" ht="17.75" customHeight="1" x14ac:dyDescent="0.3">
      <c r="A132" s="219" t="s">
        <v>97</v>
      </c>
      <c r="B132" s="219" t="str">
        <f t="shared" si="28"/>
        <v>Cardamom Whole - هيل حب</v>
      </c>
      <c r="C132" s="219" t="str">
        <f t="shared" si="28"/>
        <v>gm</v>
      </c>
      <c r="D132" s="219">
        <f t="shared" si="28"/>
        <v>12</v>
      </c>
      <c r="E132" s="197">
        <f t="shared" si="29"/>
        <v>0</v>
      </c>
      <c r="F132" s="325">
        <f t="shared" si="30"/>
        <v>0.25</v>
      </c>
      <c r="G132" s="119">
        <f t="shared" si="31"/>
        <v>0</v>
      </c>
      <c r="H132" s="120">
        <f t="shared" si="32"/>
        <v>0</v>
      </c>
    </row>
    <row r="133" spans="1:8" x14ac:dyDescent="0.3">
      <c r="A133" s="219" t="s">
        <v>196</v>
      </c>
      <c r="B133" s="219" t="str">
        <f t="shared" si="28"/>
        <v>Tomato Paste - صلصة طماطم</v>
      </c>
      <c r="C133" s="219" t="str">
        <f t="shared" si="28"/>
        <v>gm</v>
      </c>
      <c r="D133" s="219">
        <f t="shared" si="28"/>
        <v>60</v>
      </c>
      <c r="E133" s="197">
        <f t="shared" si="29"/>
        <v>0</v>
      </c>
      <c r="F133" s="325">
        <f t="shared" si="30"/>
        <v>0.75</v>
      </c>
      <c r="G133" s="119">
        <f t="shared" si="31"/>
        <v>0</v>
      </c>
      <c r="H133" s="120">
        <f t="shared" si="32"/>
        <v>0</v>
      </c>
    </row>
    <row r="134" spans="1:8" ht="14.25" customHeight="1" x14ac:dyDescent="0.3">
      <c r="A134" s="219" t="s">
        <v>13</v>
      </c>
      <c r="B134" s="219" t="str">
        <f t="shared" si="28"/>
        <v>Green Bell Pepper - فلفل أخضر رومى</v>
      </c>
      <c r="C134" s="219" t="str">
        <f t="shared" si="28"/>
        <v>gm</v>
      </c>
      <c r="D134" s="219">
        <f t="shared" si="28"/>
        <v>20.399999999999999</v>
      </c>
      <c r="E134" s="197">
        <f t="shared" si="29"/>
        <v>0</v>
      </c>
      <c r="F134" s="325">
        <f t="shared" si="30"/>
        <v>0.75</v>
      </c>
      <c r="G134" s="119">
        <f t="shared" si="31"/>
        <v>0</v>
      </c>
      <c r="H134" s="120">
        <f t="shared" si="32"/>
        <v>0</v>
      </c>
    </row>
    <row r="135" spans="1:8" ht="14.25" customHeight="1" x14ac:dyDescent="0.3">
      <c r="A135" s="219" t="s">
        <v>97</v>
      </c>
      <c r="B135" s="219" t="str">
        <f t="shared" si="28"/>
        <v>Kabsa Spices Powder - توابل كبسة بودر</v>
      </c>
      <c r="C135" s="219" t="str">
        <f t="shared" si="28"/>
        <v>gm</v>
      </c>
      <c r="D135" s="219">
        <f t="shared" si="28"/>
        <v>24</v>
      </c>
      <c r="E135" s="197">
        <f t="shared" si="29"/>
        <v>0</v>
      </c>
      <c r="F135" s="325">
        <f t="shared" si="30"/>
        <v>0.5</v>
      </c>
      <c r="G135" s="119">
        <f t="shared" si="31"/>
        <v>0</v>
      </c>
      <c r="H135" s="120">
        <f t="shared" si="32"/>
        <v>0</v>
      </c>
    </row>
    <row r="136" spans="1:8" ht="14.25" customHeight="1" x14ac:dyDescent="0.3">
      <c r="A136" s="219" t="s">
        <v>97</v>
      </c>
      <c r="B136" s="219" t="str">
        <f t="shared" si="28"/>
        <v>Coriander Powder - كزبرة مطحونة</v>
      </c>
      <c r="C136" s="219" t="str">
        <f t="shared" si="28"/>
        <v>gm</v>
      </c>
      <c r="D136" s="219">
        <f t="shared" si="28"/>
        <v>18</v>
      </c>
      <c r="E136" s="197">
        <f t="shared" si="29"/>
        <v>0</v>
      </c>
      <c r="F136" s="325">
        <f t="shared" si="30"/>
        <v>0.7</v>
      </c>
      <c r="G136" s="119">
        <f t="shared" si="31"/>
        <v>0</v>
      </c>
      <c r="H136" s="120">
        <f t="shared" si="32"/>
        <v>0</v>
      </c>
    </row>
    <row r="137" spans="1:8" ht="14.25" customHeight="1" x14ac:dyDescent="0.3">
      <c r="A137" s="219" t="s">
        <v>97</v>
      </c>
      <c r="B137" s="219" t="str">
        <f t="shared" si="28"/>
        <v>Salt - ملح</v>
      </c>
      <c r="C137" s="219" t="str">
        <f t="shared" si="28"/>
        <v>gm</v>
      </c>
      <c r="D137" s="219">
        <f t="shared" si="28"/>
        <v>18</v>
      </c>
      <c r="E137" s="197">
        <f t="shared" si="29"/>
        <v>0</v>
      </c>
      <c r="F137" s="325">
        <f t="shared" si="30"/>
        <v>0.75</v>
      </c>
      <c r="G137" s="119">
        <f t="shared" si="31"/>
        <v>0</v>
      </c>
      <c r="H137" s="120">
        <f t="shared" si="32"/>
        <v>0</v>
      </c>
    </row>
    <row r="138" spans="1:8" ht="14.25" customHeight="1" x14ac:dyDescent="0.3">
      <c r="A138" s="211"/>
      <c r="B138" s="198" t="s">
        <v>299</v>
      </c>
      <c r="C138" s="200" t="s">
        <v>285</v>
      </c>
      <c r="D138" s="14"/>
      <c r="E138" s="200" t="s">
        <v>300</v>
      </c>
      <c r="F138" s="14"/>
      <c r="G138" s="890" t="s">
        <v>276</v>
      </c>
      <c r="H138" s="890" t="s">
        <v>733</v>
      </c>
    </row>
    <row r="139" spans="1:8" ht="14.25" customHeight="1" x14ac:dyDescent="0.4">
      <c r="A139" s="211"/>
      <c r="B139" s="199">
        <f>$J$57</f>
        <v>0</v>
      </c>
      <c r="C139" s="199">
        <f>E139+G139</f>
        <v>0</v>
      </c>
      <c r="D139" s="930"/>
      <c r="E139" s="199">
        <f>$D$57*$S$44</f>
        <v>0</v>
      </c>
      <c r="F139" s="934"/>
      <c r="G139" s="199">
        <f>$D$57*$T$44</f>
        <v>0</v>
      </c>
      <c r="H139" s="199">
        <f>B139+E139</f>
        <v>0</v>
      </c>
    </row>
    <row r="140" spans="1:8" ht="14.25" customHeight="1" x14ac:dyDescent="0.3">
      <c r="B140" s="930"/>
      <c r="C140" s="930"/>
      <c r="D140" s="930"/>
      <c r="E140" s="930"/>
      <c r="F140" s="930"/>
      <c r="G140" s="930"/>
      <c r="H140" s="930"/>
    </row>
    <row r="141" spans="1:8" ht="14.25" customHeight="1" x14ac:dyDescent="0.3"/>
    <row r="142" spans="1:8" ht="14.25" customHeight="1" x14ac:dyDescent="0.3">
      <c r="A142" s="265"/>
      <c r="B142" s="1382" t="str">
        <f>"بخاري لحم  3 / " &amp; COUNTIF($H$53:$H$58, "&gt;0")</f>
        <v>بخاري لحم  3 / 3</v>
      </c>
      <c r="C142" s="1388"/>
      <c r="D142" s="1388"/>
      <c r="E142" s="1388"/>
      <c r="F142" s="1388"/>
      <c r="G142" s="1388"/>
      <c r="H142" s="1388"/>
    </row>
    <row r="143" spans="1:8" ht="20.25" customHeight="1" x14ac:dyDescent="0.3">
      <c r="A143" s="265"/>
      <c r="B143" s="1384" t="str">
        <f>"Beef Boukhary  3 / " &amp; COUNTIF($H$53:$H$58, "&gt;0")</f>
        <v>Beef Boukhary  3 / 3</v>
      </c>
      <c r="C143" s="1410"/>
      <c r="D143" s="1410"/>
      <c r="E143" s="1410"/>
      <c r="F143" s="1410"/>
      <c r="G143" s="1410"/>
      <c r="H143" s="1410"/>
    </row>
    <row r="144" spans="1:8" ht="47" customHeight="1" x14ac:dyDescent="0.3">
      <c r="A144" s="91"/>
      <c r="B144" s="91" t="s">
        <v>253</v>
      </c>
      <c r="C144" s="107" t="s">
        <v>254</v>
      </c>
      <c r="D144" s="91" t="s">
        <v>243</v>
      </c>
      <c r="E144" s="218" t="s">
        <v>246</v>
      </c>
      <c r="F144" s="108" t="s">
        <v>342</v>
      </c>
      <c r="G144" s="91" t="s">
        <v>256</v>
      </c>
      <c r="H144" s="218" t="s">
        <v>257</v>
      </c>
    </row>
    <row r="145" spans="1:8" x14ac:dyDescent="0.3">
      <c r="A145" s="219" t="s">
        <v>230</v>
      </c>
      <c r="B145" s="219" t="str">
        <f t="shared" ref="B145:D153" si="33">B5</f>
        <v>Indian Meat Alana  - لحم هندى ألانا</v>
      </c>
      <c r="C145" s="219" t="str">
        <f t="shared" si="33"/>
        <v>gm</v>
      </c>
      <c r="D145" s="567">
        <f t="shared" si="33"/>
        <v>1562.5</v>
      </c>
      <c r="E145" s="568">
        <f t="shared" ref="E145:E153" si="34">$H$58</f>
        <v>0</v>
      </c>
      <c r="F145" s="325">
        <f t="shared" ref="F145:F153" si="35">F5</f>
        <v>1</v>
      </c>
      <c r="G145" s="119">
        <f t="shared" ref="G145:G153" si="36">D145*E145</f>
        <v>0</v>
      </c>
      <c r="H145" s="120">
        <f t="shared" ref="H145:H153" si="37">G145*F145</f>
        <v>0</v>
      </c>
    </row>
    <row r="146" spans="1:8" ht="14.25" customHeight="1" x14ac:dyDescent="0.3">
      <c r="A146" s="219" t="s">
        <v>97</v>
      </c>
      <c r="B146" s="219" t="str">
        <f t="shared" si="33"/>
        <v>Cumin Powder - كمون مطحون</v>
      </c>
      <c r="C146" s="219" t="str">
        <f t="shared" si="33"/>
        <v>gm</v>
      </c>
      <c r="D146" s="219">
        <f t="shared" si="33"/>
        <v>18</v>
      </c>
      <c r="E146" s="568">
        <f t="shared" si="34"/>
        <v>0</v>
      </c>
      <c r="F146" s="325">
        <f t="shared" si="35"/>
        <v>0.7</v>
      </c>
      <c r="G146" s="119">
        <f t="shared" si="36"/>
        <v>0</v>
      </c>
      <c r="H146" s="120">
        <f t="shared" si="37"/>
        <v>0</v>
      </c>
    </row>
    <row r="147" spans="1:8" ht="17.75" customHeight="1" x14ac:dyDescent="0.3">
      <c r="A147" s="219" t="s">
        <v>210</v>
      </c>
      <c r="B147" s="219" t="str">
        <f t="shared" si="33"/>
        <v>Water - ماء</v>
      </c>
      <c r="C147" s="219" t="str">
        <f t="shared" si="33"/>
        <v>gm</v>
      </c>
      <c r="D147" s="219">
        <f t="shared" si="33"/>
        <v>720</v>
      </c>
      <c r="E147" s="568">
        <f t="shared" si="34"/>
        <v>0</v>
      </c>
      <c r="F147" s="325">
        <f t="shared" si="35"/>
        <v>1</v>
      </c>
      <c r="G147" s="119">
        <f t="shared" si="36"/>
        <v>0</v>
      </c>
      <c r="H147" s="120">
        <f t="shared" si="37"/>
        <v>0</v>
      </c>
    </row>
    <row r="148" spans="1:8" ht="17.75" customHeight="1" x14ac:dyDescent="0.3">
      <c r="A148" s="219" t="s">
        <v>97</v>
      </c>
      <c r="B148" s="219" t="str">
        <f t="shared" si="33"/>
        <v>Cardamom Whole - هيل حب</v>
      </c>
      <c r="C148" s="219" t="str">
        <f t="shared" si="33"/>
        <v>gm</v>
      </c>
      <c r="D148" s="219">
        <f t="shared" si="33"/>
        <v>12</v>
      </c>
      <c r="E148" s="568">
        <f t="shared" si="34"/>
        <v>0</v>
      </c>
      <c r="F148" s="325">
        <f t="shared" si="35"/>
        <v>0.25</v>
      </c>
      <c r="G148" s="119">
        <f t="shared" si="36"/>
        <v>0</v>
      </c>
      <c r="H148" s="120">
        <f t="shared" si="37"/>
        <v>0</v>
      </c>
    </row>
    <row r="149" spans="1:8" x14ac:dyDescent="0.3">
      <c r="A149" s="219" t="s">
        <v>196</v>
      </c>
      <c r="B149" s="219" t="str">
        <f t="shared" si="33"/>
        <v>Tomato Paste - صلصة طماطم</v>
      </c>
      <c r="C149" s="219" t="str">
        <f t="shared" si="33"/>
        <v>gm</v>
      </c>
      <c r="D149" s="219">
        <f t="shared" si="33"/>
        <v>60</v>
      </c>
      <c r="E149" s="568">
        <f t="shared" si="34"/>
        <v>0</v>
      </c>
      <c r="F149" s="325">
        <f t="shared" si="35"/>
        <v>0.75</v>
      </c>
      <c r="G149" s="119">
        <f t="shared" si="36"/>
        <v>0</v>
      </c>
      <c r="H149" s="120">
        <f t="shared" si="37"/>
        <v>0</v>
      </c>
    </row>
    <row r="150" spans="1:8" ht="14.25" customHeight="1" x14ac:dyDescent="0.3">
      <c r="A150" s="219" t="s">
        <v>13</v>
      </c>
      <c r="B150" s="219" t="str">
        <f t="shared" si="33"/>
        <v>Green Bell Pepper - فلفل أخضر رومى</v>
      </c>
      <c r="C150" s="219" t="str">
        <f t="shared" si="33"/>
        <v>gm</v>
      </c>
      <c r="D150" s="219">
        <f t="shared" si="33"/>
        <v>20.399999999999999</v>
      </c>
      <c r="E150" s="568">
        <f t="shared" si="34"/>
        <v>0</v>
      </c>
      <c r="F150" s="325">
        <f t="shared" si="35"/>
        <v>0.75</v>
      </c>
      <c r="G150" s="119">
        <f t="shared" si="36"/>
        <v>0</v>
      </c>
      <c r="H150" s="120">
        <f t="shared" si="37"/>
        <v>0</v>
      </c>
    </row>
    <row r="151" spans="1:8" ht="14.25" customHeight="1" x14ac:dyDescent="0.3">
      <c r="A151" s="219" t="s">
        <v>97</v>
      </c>
      <c r="B151" s="219" t="str">
        <f t="shared" si="33"/>
        <v>Kabsa Spices Powder - توابل كبسة بودر</v>
      </c>
      <c r="C151" s="219" t="str">
        <f t="shared" si="33"/>
        <v>gm</v>
      </c>
      <c r="D151" s="219">
        <f t="shared" si="33"/>
        <v>24</v>
      </c>
      <c r="E151" s="568">
        <f t="shared" si="34"/>
        <v>0</v>
      </c>
      <c r="F151" s="325">
        <f t="shared" si="35"/>
        <v>0.5</v>
      </c>
      <c r="G151" s="119">
        <f t="shared" si="36"/>
        <v>0</v>
      </c>
      <c r="H151" s="120">
        <f t="shared" si="37"/>
        <v>0</v>
      </c>
    </row>
    <row r="152" spans="1:8" ht="14.25" customHeight="1" x14ac:dyDescent="0.3">
      <c r="A152" s="219" t="s">
        <v>97</v>
      </c>
      <c r="B152" s="219" t="str">
        <f t="shared" si="33"/>
        <v>Coriander Powder - كزبرة مطحونة</v>
      </c>
      <c r="C152" s="219" t="str">
        <f t="shared" si="33"/>
        <v>gm</v>
      </c>
      <c r="D152" s="219">
        <f t="shared" si="33"/>
        <v>18</v>
      </c>
      <c r="E152" s="568">
        <f t="shared" si="34"/>
        <v>0</v>
      </c>
      <c r="F152" s="325">
        <f t="shared" si="35"/>
        <v>0.7</v>
      </c>
      <c r="G152" s="119">
        <f t="shared" si="36"/>
        <v>0</v>
      </c>
      <c r="H152" s="120">
        <f t="shared" si="37"/>
        <v>0</v>
      </c>
    </row>
    <row r="153" spans="1:8" ht="14.25" customHeight="1" x14ac:dyDescent="0.3">
      <c r="A153" s="219" t="s">
        <v>97</v>
      </c>
      <c r="B153" s="219" t="str">
        <f t="shared" si="33"/>
        <v>Salt - ملح</v>
      </c>
      <c r="C153" s="219" t="str">
        <f t="shared" si="33"/>
        <v>gm</v>
      </c>
      <c r="D153" s="219">
        <f t="shared" si="33"/>
        <v>18</v>
      </c>
      <c r="E153" s="568">
        <f t="shared" si="34"/>
        <v>0</v>
      </c>
      <c r="F153" s="325">
        <f t="shared" si="35"/>
        <v>0.75</v>
      </c>
      <c r="G153" s="119">
        <f t="shared" si="36"/>
        <v>0</v>
      </c>
      <c r="H153" s="120">
        <f t="shared" si="37"/>
        <v>0</v>
      </c>
    </row>
    <row r="154" spans="1:8" ht="14.25" customHeight="1" x14ac:dyDescent="0.3">
      <c r="A154" s="211"/>
      <c r="B154" s="198" t="s">
        <v>299</v>
      </c>
      <c r="C154" s="200" t="s">
        <v>285</v>
      </c>
      <c r="D154" s="14"/>
      <c r="E154" s="200" t="s">
        <v>300</v>
      </c>
      <c r="F154" s="14"/>
      <c r="G154" s="890" t="s">
        <v>276</v>
      </c>
      <c r="H154" s="890" t="s">
        <v>733</v>
      </c>
    </row>
    <row r="155" spans="1:8" ht="14.25" customHeight="1" x14ac:dyDescent="0.4">
      <c r="A155" s="211"/>
      <c r="B155" s="199">
        <f>$J$58</f>
        <v>0</v>
      </c>
      <c r="C155" s="199">
        <f>E155+G155</f>
        <v>0</v>
      </c>
      <c r="D155" s="930"/>
      <c r="E155" s="199">
        <f>$D$58*$S$44</f>
        <v>0</v>
      </c>
      <c r="F155" s="934"/>
      <c r="G155" s="199">
        <f>$D$58*$T$44</f>
        <v>0</v>
      </c>
      <c r="H155" s="199">
        <f>B155+E155</f>
        <v>0</v>
      </c>
    </row>
    <row r="156" spans="1:8" ht="14.25" customHeight="1" x14ac:dyDescent="0.3"/>
    <row r="157" spans="1:8" ht="14.25" customHeight="1" x14ac:dyDescent="0.3"/>
    <row r="158" spans="1:8" ht="14.25" customHeight="1" x14ac:dyDescent="0.3"/>
    <row r="159" spans="1:8" ht="20.25" customHeight="1" x14ac:dyDescent="0.3"/>
  </sheetData>
  <mergeCells count="17">
    <mergeCell ref="AE2:AG3"/>
    <mergeCell ref="B126:H126"/>
    <mergeCell ref="B127:H127"/>
    <mergeCell ref="R26:T26"/>
    <mergeCell ref="B2:K3"/>
    <mergeCell ref="B62:H62"/>
    <mergeCell ref="R25:T25"/>
    <mergeCell ref="B35:F35"/>
    <mergeCell ref="B143:H143"/>
    <mergeCell ref="B63:H63"/>
    <mergeCell ref="B77:H77"/>
    <mergeCell ref="B78:H78"/>
    <mergeCell ref="B95:H95"/>
    <mergeCell ref="B111:H111"/>
    <mergeCell ref="B142:H142"/>
    <mergeCell ref="B94:H94"/>
    <mergeCell ref="B110:H110"/>
  </mergeCells>
  <printOptions horizontalCentered="1"/>
  <pageMargins left="0.5" right="0.5" top="1" bottom="0.5" header="0.3" footer="0.511811023622047"/>
  <pageSetup paperSize="9" scale="33" orientation="portrait" r:id="rId1"/>
  <legacyDrawing r:id="rId2"/>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7">
    <tabColor theme="5" tint="-0.249977111117893"/>
    <pageSetUpPr fitToPage="1"/>
  </sheetPr>
  <dimension ref="A1:AF973"/>
  <sheetViews>
    <sheetView zoomScale="70" zoomScaleNormal="70" workbookViewId="0">
      <selection activeCell="Z24" sqref="Z24"/>
    </sheetView>
  </sheetViews>
  <sheetFormatPr defaultColWidth="12.5" defaultRowHeight="12.5" x14ac:dyDescent="0.25"/>
  <cols>
    <col min="1" max="1" width="12.5" style="14" customWidth="1"/>
    <col min="2" max="2" width="38.33203125" style="14" customWidth="1"/>
    <col min="3" max="3" width="24"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6.08203125" style="14" customWidth="1"/>
    <col min="15" max="15" width="16.75" style="14" customWidth="1"/>
    <col min="16" max="18" width="12.5" style="14" customWidth="1"/>
    <col min="19" max="19" width="15.9140625" style="14" customWidth="1"/>
    <col min="20" max="28" width="12.5" style="14" customWidth="1"/>
    <col min="29" max="29" width="19.75" style="14" customWidth="1"/>
    <col min="30" max="31" width="12.5" style="881" customWidth="1"/>
    <col min="32" max="35" width="12.5" style="14" customWidth="1"/>
    <col min="36" max="36" width="34.58203125" style="14" customWidth="1"/>
    <col min="37" max="37" width="12.5" style="14" customWidth="1"/>
    <col min="38" max="16384" width="12.5" style="14"/>
  </cols>
  <sheetData>
    <row r="1" spans="1:32" ht="28.5" customHeight="1" x14ac:dyDescent="0.3">
      <c r="B1" s="80" t="s">
        <v>243</v>
      </c>
      <c r="C1" s="81">
        <v>1000</v>
      </c>
      <c r="D1" s="82" t="s">
        <v>244</v>
      </c>
      <c r="E1" s="117">
        <f>U32</f>
        <v>17000</v>
      </c>
      <c r="F1" s="80" t="s">
        <v>245</v>
      </c>
      <c r="G1" s="117">
        <f>E1/C1</f>
        <v>17</v>
      </c>
      <c r="H1" s="80" t="s">
        <v>246</v>
      </c>
      <c r="I1" s="117">
        <f>G1/K1</f>
        <v>18.7</v>
      </c>
      <c r="J1" s="326" t="s">
        <v>247</v>
      </c>
      <c r="K1" s="327">
        <f>1000/1100</f>
        <v>0.90909090909090906</v>
      </c>
      <c r="L1" s="100"/>
      <c r="M1" s="100"/>
      <c r="N1" s="100"/>
      <c r="O1" s="91" t="s">
        <v>248</v>
      </c>
      <c r="P1" s="92" t="s">
        <v>301</v>
      </c>
      <c r="Q1" s="93" t="s">
        <v>250</v>
      </c>
      <c r="R1" s="92">
        <v>0.7</v>
      </c>
      <c r="S1" s="93" t="s">
        <v>345</v>
      </c>
      <c r="T1" s="328">
        <v>100</v>
      </c>
      <c r="U1" s="100"/>
      <c r="V1" s="100"/>
      <c r="Y1" s="91" t="s">
        <v>479</v>
      </c>
      <c r="Z1" s="847">
        <v>165</v>
      </c>
      <c r="AA1" s="91" t="s">
        <v>600</v>
      </c>
      <c r="AB1" s="847">
        <v>5</v>
      </c>
      <c r="AC1" s="91" t="s">
        <v>587</v>
      </c>
      <c r="AD1" s="847">
        <v>165</v>
      </c>
      <c r="AE1" s="91" t="s">
        <v>578</v>
      </c>
      <c r="AF1" s="847">
        <f>Z1+AB1</f>
        <v>170</v>
      </c>
    </row>
    <row r="2" spans="1:32" ht="12.75" customHeight="1" x14ac:dyDescent="0.25">
      <c r="A2" s="330"/>
      <c r="B2" s="1415" t="s">
        <v>150</v>
      </c>
      <c r="C2" s="1415"/>
      <c r="D2" s="1415"/>
      <c r="E2" s="1415"/>
      <c r="F2" s="1415"/>
      <c r="G2" s="1415"/>
      <c r="H2" s="1415"/>
      <c r="I2" s="648"/>
      <c r="J2" s="648"/>
      <c r="K2" s="648"/>
      <c r="L2" s="293"/>
      <c r="M2" s="100"/>
      <c r="N2" s="100"/>
      <c r="O2" s="100"/>
      <c r="P2" s="100"/>
      <c r="Q2" s="100"/>
      <c r="R2" s="100"/>
      <c r="S2" s="100"/>
      <c r="T2" s="100"/>
      <c r="U2" s="100"/>
    </row>
    <row r="3" spans="1:32" ht="12.75" customHeight="1" x14ac:dyDescent="0.3">
      <c r="A3" s="330"/>
      <c r="B3" s="1387"/>
      <c r="C3" s="1387"/>
      <c r="D3" s="1387"/>
      <c r="E3" s="1387"/>
      <c r="F3" s="1387"/>
      <c r="G3" s="1387"/>
      <c r="H3" s="1387"/>
      <c r="I3" s="649"/>
      <c r="J3" s="649"/>
      <c r="K3" s="649"/>
      <c r="L3" s="293"/>
      <c r="M3" s="100"/>
      <c r="N3" s="100"/>
      <c r="O3" s="100"/>
      <c r="P3" s="100"/>
      <c r="Q3" s="100"/>
      <c r="R3" s="100"/>
      <c r="S3" s="100"/>
      <c r="T3" s="100"/>
      <c r="U3" s="100"/>
    </row>
    <row r="4" spans="1:32" ht="68.75" customHeight="1" x14ac:dyDescent="0.25">
      <c r="A4" s="91" t="s">
        <v>1</v>
      </c>
      <c r="B4" s="91" t="s">
        <v>253</v>
      </c>
      <c r="C4" s="107" t="s">
        <v>254</v>
      </c>
      <c r="D4" s="91" t="s">
        <v>243</v>
      </c>
      <c r="E4" s="108" t="s">
        <v>246</v>
      </c>
      <c r="F4" s="108" t="s">
        <v>255</v>
      </c>
      <c r="G4" s="91" t="s">
        <v>256</v>
      </c>
      <c r="H4" s="331" t="s">
        <v>347</v>
      </c>
      <c r="I4" s="91" t="s">
        <v>258</v>
      </c>
      <c r="J4" s="91" t="s">
        <v>259</v>
      </c>
      <c r="K4" s="91" t="s">
        <v>260</v>
      </c>
      <c r="L4" s="91" t="s">
        <v>261</v>
      </c>
      <c r="M4" s="371"/>
      <c r="N4" s="100"/>
      <c r="O4" s="100"/>
      <c r="P4" s="100"/>
      <c r="Q4" s="100"/>
      <c r="R4" s="100"/>
      <c r="S4" s="100"/>
    </row>
    <row r="5" spans="1:32" ht="14.25" customHeight="1" x14ac:dyDescent="0.25">
      <c r="A5" s="295" t="s">
        <v>230</v>
      </c>
      <c r="B5" s="323" t="s">
        <v>237</v>
      </c>
      <c r="C5" s="124" t="s">
        <v>14</v>
      </c>
      <c r="D5" s="121">
        <f>I51/10</f>
        <v>1263</v>
      </c>
      <c r="E5" s="197">
        <f>H52</f>
        <v>14.79122619265137</v>
      </c>
      <c r="F5" s="127">
        <v>1</v>
      </c>
      <c r="G5" s="121">
        <f t="shared" ref="G5:G15" si="0">D5*E5</f>
        <v>18681.31868131868</v>
      </c>
      <c r="H5" s="645">
        <f t="shared" ref="H5:H15" si="1">G5*F5</f>
        <v>18681.31868131868</v>
      </c>
      <c r="I5" s="81">
        <f>VLOOKUP(B5,All_Ingredients!$A$1:$F$151,6,FALSE())</f>
        <v>0.99</v>
      </c>
      <c r="J5" s="119">
        <f>VLOOKUP(B5,All_Ingredients!$A$1:$J$151,10,FALSE())</f>
        <v>0</v>
      </c>
      <c r="K5" s="122">
        <f t="shared" ref="K5" si="2">(H5/I5)/1000</f>
        <v>18.870018870018871</v>
      </c>
      <c r="L5" s="122">
        <f t="shared" ref="L5" si="3">K5*J5</f>
        <v>0</v>
      </c>
      <c r="M5" s="131"/>
    </row>
    <row r="6" spans="1:32" ht="14.25" customHeight="1" x14ac:dyDescent="0.25">
      <c r="A6" s="295" t="s">
        <v>13</v>
      </c>
      <c r="B6" s="323" t="s">
        <v>792</v>
      </c>
      <c r="C6" s="124" t="s">
        <v>14</v>
      </c>
      <c r="D6" s="116">
        <v>53</v>
      </c>
      <c r="E6" s="116">
        <f t="shared" ref="E6:E15" si="4">$I$1</f>
        <v>18.7</v>
      </c>
      <c r="F6" s="127">
        <v>1</v>
      </c>
      <c r="G6" s="119">
        <f t="shared" si="0"/>
        <v>991.09999999999991</v>
      </c>
      <c r="H6" s="120">
        <f t="shared" si="1"/>
        <v>991.09999999999991</v>
      </c>
      <c r="I6" s="81">
        <f>VLOOKUP(B6,All_Ingredients!$A$1:$F$151,6,FALSE())</f>
        <v>1</v>
      </c>
      <c r="J6" s="119">
        <f>VLOOKUP(B6,All_Ingredients!$A$1:$J$151,10,FALSE())</f>
        <v>10.5</v>
      </c>
      <c r="K6" s="122">
        <f t="shared" ref="K6:K15" si="5">(H6/I6)/1000</f>
        <v>0.99109999999999987</v>
      </c>
      <c r="L6" s="122">
        <f t="shared" ref="L6:L15" si="6">K6*J6</f>
        <v>10.406549999999999</v>
      </c>
      <c r="M6" s="131"/>
    </row>
    <row r="7" spans="1:32" ht="14.25" customHeight="1" x14ac:dyDescent="0.25">
      <c r="A7" s="295" t="s">
        <v>13</v>
      </c>
      <c r="B7" s="323" t="s">
        <v>28</v>
      </c>
      <c r="C7" s="124" t="s">
        <v>14</v>
      </c>
      <c r="D7" s="116">
        <v>40</v>
      </c>
      <c r="E7" s="116">
        <f t="shared" si="4"/>
        <v>18.7</v>
      </c>
      <c r="F7" s="127">
        <v>1</v>
      </c>
      <c r="G7" s="119">
        <f t="shared" si="0"/>
        <v>748</v>
      </c>
      <c r="H7" s="120">
        <f t="shared" si="1"/>
        <v>748</v>
      </c>
      <c r="I7" s="81">
        <f>VLOOKUP(B7,All_Ingredients!$A$1:$F$151,6,FALSE())</f>
        <v>0.56999999999999995</v>
      </c>
      <c r="J7" s="119">
        <f>VLOOKUP(B7,All_Ingredients!$A$1:$J$151,10,FALSE())</f>
        <v>8.5</v>
      </c>
      <c r="K7" s="122">
        <f t="shared" si="5"/>
        <v>1.312280701754386</v>
      </c>
      <c r="L7" s="122">
        <f t="shared" si="6"/>
        <v>11.154385964912281</v>
      </c>
      <c r="M7" s="131"/>
    </row>
    <row r="8" spans="1:32" ht="14.25" customHeight="1" x14ac:dyDescent="0.25">
      <c r="A8" s="295" t="s">
        <v>13</v>
      </c>
      <c r="B8" s="323" t="s">
        <v>30</v>
      </c>
      <c r="C8" s="124" t="s">
        <v>14</v>
      </c>
      <c r="D8" s="116">
        <v>40</v>
      </c>
      <c r="E8" s="116">
        <f t="shared" si="4"/>
        <v>18.7</v>
      </c>
      <c r="F8" s="127">
        <v>1</v>
      </c>
      <c r="G8" s="119">
        <f t="shared" si="0"/>
        <v>748</v>
      </c>
      <c r="H8" s="120">
        <f t="shared" si="1"/>
        <v>748</v>
      </c>
      <c r="I8" s="81">
        <f>VLOOKUP(B8,All_Ingredients!$A$1:$F$151,6,FALSE())</f>
        <v>0.56999999999999995</v>
      </c>
      <c r="J8" s="119">
        <f>VLOOKUP(B8,All_Ingredients!$A$1:$J$151,10,FALSE())</f>
        <v>8.5</v>
      </c>
      <c r="K8" s="122">
        <f t="shared" si="5"/>
        <v>1.312280701754386</v>
      </c>
      <c r="L8" s="122">
        <f t="shared" si="6"/>
        <v>11.154385964912281</v>
      </c>
      <c r="M8" s="131"/>
    </row>
    <row r="9" spans="1:32" ht="14.25" customHeight="1" x14ac:dyDescent="0.25">
      <c r="A9" s="295" t="s">
        <v>13</v>
      </c>
      <c r="B9" s="323" t="s">
        <v>32</v>
      </c>
      <c r="C9" s="124" t="s">
        <v>14</v>
      </c>
      <c r="D9" s="116">
        <v>40</v>
      </c>
      <c r="E9" s="116">
        <f t="shared" si="4"/>
        <v>18.7</v>
      </c>
      <c r="F9" s="127">
        <v>1</v>
      </c>
      <c r="G9" s="119">
        <f t="shared" si="0"/>
        <v>748</v>
      </c>
      <c r="H9" s="120">
        <f t="shared" si="1"/>
        <v>748</v>
      </c>
      <c r="I9" s="81">
        <f>VLOOKUP(B9,All_Ingredients!$A$1:$F$151,6,FALSE())</f>
        <v>0.96</v>
      </c>
      <c r="J9" s="119">
        <f>VLOOKUP(B9,All_Ingredients!$A$1:$J$151,10,FALSE())</f>
        <v>4</v>
      </c>
      <c r="K9" s="122">
        <f t="shared" si="5"/>
        <v>0.77916666666666679</v>
      </c>
      <c r="L9" s="122">
        <f t="shared" si="6"/>
        <v>3.1166666666666671</v>
      </c>
      <c r="M9" s="131"/>
    </row>
    <row r="10" spans="1:32" ht="14.25" customHeight="1" x14ac:dyDescent="0.25">
      <c r="A10" s="295" t="s">
        <v>13</v>
      </c>
      <c r="B10" s="323" t="s">
        <v>12</v>
      </c>
      <c r="C10" s="124" t="s">
        <v>14</v>
      </c>
      <c r="D10" s="116">
        <v>80</v>
      </c>
      <c r="E10" s="116">
        <f t="shared" si="4"/>
        <v>18.7</v>
      </c>
      <c r="F10" s="127">
        <v>1</v>
      </c>
      <c r="G10" s="119">
        <f t="shared" si="0"/>
        <v>1496</v>
      </c>
      <c r="H10" s="120">
        <f t="shared" si="1"/>
        <v>1496</v>
      </c>
      <c r="I10" s="81">
        <f>VLOOKUP(B10,All_Ingredients!$A$1:$F$151,6,FALSE())</f>
        <v>0.9</v>
      </c>
      <c r="J10" s="119">
        <f>VLOOKUP(B10,All_Ingredients!$A$1:$J$151,10,FALSE())</f>
        <v>3</v>
      </c>
      <c r="K10" s="122">
        <f t="shared" si="5"/>
        <v>1.6622222222222223</v>
      </c>
      <c r="L10" s="122">
        <f t="shared" si="6"/>
        <v>4.9866666666666664</v>
      </c>
      <c r="M10" s="131"/>
    </row>
    <row r="11" spans="1:32" ht="14.25" customHeight="1" x14ac:dyDescent="0.25">
      <c r="A11" s="295" t="s">
        <v>158</v>
      </c>
      <c r="B11" s="323" t="s">
        <v>178</v>
      </c>
      <c r="C11" s="124" t="s">
        <v>14</v>
      </c>
      <c r="D11" s="116">
        <v>200</v>
      </c>
      <c r="E11" s="116">
        <f t="shared" si="4"/>
        <v>18.7</v>
      </c>
      <c r="F11" s="127">
        <v>0.75</v>
      </c>
      <c r="G11" s="119">
        <f t="shared" si="0"/>
        <v>3740</v>
      </c>
      <c r="H11" s="120">
        <f t="shared" si="1"/>
        <v>2805</v>
      </c>
      <c r="I11" s="81">
        <f>VLOOKUP(B11,All_Ingredients!$A$1:$F$151,6,FALSE())</f>
        <v>1</v>
      </c>
      <c r="J11" s="119">
        <f>VLOOKUP(B11,All_Ingredients!$A$1:$J$151,10,FALSE())</f>
        <v>17.934782608695652</v>
      </c>
      <c r="K11" s="122">
        <f t="shared" si="5"/>
        <v>2.8050000000000002</v>
      </c>
      <c r="L11" s="122">
        <f t="shared" si="6"/>
        <v>50.307065217391305</v>
      </c>
      <c r="M11" s="131"/>
    </row>
    <row r="12" spans="1:32" ht="14.25" customHeight="1" x14ac:dyDescent="0.25">
      <c r="A12" s="295" t="s">
        <v>97</v>
      </c>
      <c r="B12" s="323" t="s">
        <v>96</v>
      </c>
      <c r="C12" s="124" t="s">
        <v>14</v>
      </c>
      <c r="D12" s="116">
        <v>2</v>
      </c>
      <c r="E12" s="116">
        <f t="shared" si="4"/>
        <v>18.7</v>
      </c>
      <c r="F12" s="127">
        <v>1</v>
      </c>
      <c r="G12" s="119">
        <f t="shared" si="0"/>
        <v>37.4</v>
      </c>
      <c r="H12" s="120">
        <f t="shared" si="1"/>
        <v>37.4</v>
      </c>
      <c r="I12" s="81">
        <f>VLOOKUP(B12,All_Ingredients!$A$1:$F$151,6,FALSE())</f>
        <v>1</v>
      </c>
      <c r="J12" s="119">
        <f>VLOOKUP(B12,All_Ingredients!$A$1:$J$151,10,FALSE())</f>
        <v>0.74</v>
      </c>
      <c r="K12" s="122">
        <f t="shared" si="5"/>
        <v>3.7399999999999996E-2</v>
      </c>
      <c r="L12" s="122">
        <f t="shared" si="6"/>
        <v>2.7675999999999996E-2</v>
      </c>
      <c r="M12" s="131"/>
    </row>
    <row r="13" spans="1:32" ht="14.25" customHeight="1" x14ac:dyDescent="0.25">
      <c r="A13" s="295" t="s">
        <v>97</v>
      </c>
      <c r="B13" s="323" t="s">
        <v>102</v>
      </c>
      <c r="C13" s="124" t="s">
        <v>14</v>
      </c>
      <c r="D13" s="116">
        <v>4</v>
      </c>
      <c r="E13" s="116">
        <f t="shared" si="4"/>
        <v>18.7</v>
      </c>
      <c r="F13" s="127">
        <v>1</v>
      </c>
      <c r="G13" s="119">
        <f t="shared" si="0"/>
        <v>74.8</v>
      </c>
      <c r="H13" s="120">
        <f t="shared" si="1"/>
        <v>74.8</v>
      </c>
      <c r="I13" s="81">
        <f>VLOOKUP(B13,All_Ingredients!$A$1:$F$151,6,FALSE())</f>
        <v>1</v>
      </c>
      <c r="J13" s="119">
        <f>VLOOKUP(B13,All_Ingredients!$A$1:$J$151,10,FALSE())</f>
        <v>31</v>
      </c>
      <c r="K13" s="122">
        <f t="shared" si="5"/>
        <v>7.4799999999999991E-2</v>
      </c>
      <c r="L13" s="122">
        <f t="shared" si="6"/>
        <v>2.3187999999999995</v>
      </c>
      <c r="M13" s="131"/>
    </row>
    <row r="14" spans="1:32" ht="14.25" customHeight="1" x14ac:dyDescent="0.25">
      <c r="A14" s="295" t="s">
        <v>97</v>
      </c>
      <c r="B14" s="323" t="s">
        <v>108</v>
      </c>
      <c r="C14" s="124" t="s">
        <v>14</v>
      </c>
      <c r="D14" s="116">
        <v>6</v>
      </c>
      <c r="E14" s="116">
        <f t="shared" si="4"/>
        <v>18.7</v>
      </c>
      <c r="F14" s="127">
        <v>1</v>
      </c>
      <c r="G14" s="119">
        <f t="shared" si="0"/>
        <v>112.19999999999999</v>
      </c>
      <c r="H14" s="120">
        <f t="shared" si="1"/>
        <v>112.19999999999999</v>
      </c>
      <c r="I14" s="81">
        <f>VLOOKUP(B14,All_Ingredients!$A$1:$F$151,6,FALSE())</f>
        <v>1</v>
      </c>
      <c r="J14" s="119">
        <f>VLOOKUP(B14,All_Ingredients!$A$1:$J$151,10,FALSE())</f>
        <v>15</v>
      </c>
      <c r="K14" s="122">
        <f t="shared" si="5"/>
        <v>0.11219999999999999</v>
      </c>
      <c r="L14" s="122">
        <f t="shared" si="6"/>
        <v>1.6829999999999998</v>
      </c>
      <c r="M14" s="131"/>
    </row>
    <row r="15" spans="1:32" ht="14.25" customHeight="1" x14ac:dyDescent="0.25">
      <c r="A15" s="295" t="s">
        <v>158</v>
      </c>
      <c r="B15" s="323" t="s">
        <v>157</v>
      </c>
      <c r="C15" s="124" t="s">
        <v>14</v>
      </c>
      <c r="D15" s="116">
        <v>84</v>
      </c>
      <c r="E15" s="116">
        <f t="shared" si="4"/>
        <v>18.7</v>
      </c>
      <c r="F15" s="127">
        <v>1</v>
      </c>
      <c r="G15" s="119">
        <f t="shared" si="0"/>
        <v>1570.8</v>
      </c>
      <c r="H15" s="120">
        <f t="shared" si="1"/>
        <v>1570.8</v>
      </c>
      <c r="I15" s="81">
        <f>VLOOKUP(B15,All_Ingredients!$A$1:$F$151,6,FALSE())</f>
        <v>1</v>
      </c>
      <c r="J15" s="119">
        <f>VLOOKUP(B15,All_Ingredients!$A$1:$J$151,10,FALSE())</f>
        <v>30</v>
      </c>
      <c r="K15" s="122">
        <f t="shared" si="5"/>
        <v>1.5708</v>
      </c>
      <c r="L15" s="122">
        <f t="shared" si="6"/>
        <v>47.124000000000002</v>
      </c>
      <c r="M15" s="131"/>
    </row>
    <row r="16" spans="1:32" ht="14" customHeight="1" x14ac:dyDescent="0.25">
      <c r="B16" s="323" t="s">
        <v>863</v>
      </c>
      <c r="C16" s="124" t="s">
        <v>241</v>
      </c>
      <c r="D16" s="116">
        <v>1</v>
      </c>
      <c r="E16" s="116">
        <f>$Z$1+$AB$1</f>
        <v>170</v>
      </c>
      <c r="F16" s="127">
        <v>1</v>
      </c>
      <c r="G16" s="121">
        <f>D16*($Z$1+$AB$1)</f>
        <v>170</v>
      </c>
      <c r="H16" s="120">
        <f>G16*F16</f>
        <v>170</v>
      </c>
      <c r="I16" s="81">
        <f>VLOOKUP(B16,All_Ingredients!$A$1:$F$151,6,FALSE())</f>
        <v>1</v>
      </c>
      <c r="J16" s="119">
        <f>VLOOKUP(B16,All_Ingredients!$A$1:$J$151,10,FALSE())</f>
        <v>2</v>
      </c>
      <c r="K16" s="175">
        <f>H16*I16</f>
        <v>170</v>
      </c>
      <c r="L16" s="122">
        <f>K16*J16</f>
        <v>340</v>
      </c>
      <c r="M16" s="137"/>
      <c r="N16" s="131"/>
      <c r="O16" s="131"/>
    </row>
    <row r="17" spans="2:31" ht="14" customHeight="1" x14ac:dyDescent="0.3">
      <c r="B17" s="11"/>
      <c r="C17" s="481"/>
      <c r="D17" s="481"/>
      <c r="E17" s="100"/>
      <c r="F17" s="100"/>
      <c r="K17" s="139"/>
      <c r="L17" s="92"/>
      <c r="M17" s="137"/>
      <c r="N17" s="131"/>
      <c r="O17" s="131"/>
    </row>
    <row r="18" spans="2:31" ht="14" customHeight="1" x14ac:dyDescent="0.25">
      <c r="C18" s="336"/>
      <c r="D18" s="337"/>
      <c r="E18" s="100"/>
      <c r="F18" s="100"/>
      <c r="K18" s="139"/>
      <c r="L18" s="92"/>
      <c r="M18" s="137"/>
      <c r="N18" s="131"/>
      <c r="O18" s="131"/>
    </row>
    <row r="19" spans="2:31" ht="14" customHeight="1" x14ac:dyDescent="0.25">
      <c r="C19" s="336"/>
      <c r="D19" s="337"/>
      <c r="E19" s="100"/>
      <c r="F19" s="100"/>
      <c r="K19" s="139"/>
      <c r="L19" s="92"/>
      <c r="M19" s="137"/>
      <c r="N19" s="131"/>
      <c r="O19" s="131"/>
    </row>
    <row r="20" spans="2:31" ht="14" customHeight="1" x14ac:dyDescent="0.3">
      <c r="B20" s="11"/>
      <c r="C20" s="336"/>
      <c r="D20" s="337"/>
      <c r="E20" s="100"/>
      <c r="F20" s="100"/>
      <c r="K20" s="139"/>
      <c r="L20" s="92"/>
      <c r="M20" s="137"/>
      <c r="N20" s="131"/>
      <c r="O20" s="131"/>
    </row>
    <row r="21" spans="2:31" ht="14" customHeight="1" x14ac:dyDescent="0.25">
      <c r="K21" s="139"/>
      <c r="L21" s="92"/>
      <c r="M21" s="137"/>
      <c r="N21" s="131"/>
      <c r="O21" s="131"/>
    </row>
    <row r="22" spans="2:31" ht="14" customHeight="1" x14ac:dyDescent="0.25">
      <c r="K22" s="139"/>
      <c r="L22" s="92"/>
      <c r="M22" s="137"/>
      <c r="N22" s="131"/>
      <c r="O22" s="131"/>
    </row>
    <row r="23" spans="2:31" ht="14" customHeight="1" x14ac:dyDescent="0.25">
      <c r="B23" s="100"/>
      <c r="E23" s="100"/>
      <c r="F23" s="100"/>
    </row>
    <row r="24" spans="2:31" ht="21.5" customHeight="1" x14ac:dyDescent="0.25">
      <c r="B24" s="100"/>
      <c r="C24" s="100"/>
      <c r="D24" s="346"/>
      <c r="E24" s="100"/>
      <c r="F24" s="100"/>
      <c r="G24" s="100"/>
      <c r="H24" s="100"/>
      <c r="I24" s="100"/>
      <c r="J24" s="100"/>
      <c r="Z24" s="1234"/>
    </row>
    <row r="25" spans="2:31" ht="14" customHeight="1" x14ac:dyDescent="0.3">
      <c r="B25" s="100"/>
      <c r="C25" s="100"/>
      <c r="D25" s="100"/>
      <c r="E25" s="100"/>
      <c r="F25" s="100"/>
      <c r="G25" s="100"/>
      <c r="H25" s="100"/>
      <c r="I25" s="100"/>
      <c r="J25" s="100"/>
      <c r="R25" s="1430" t="s">
        <v>486</v>
      </c>
      <c r="S25" s="1430"/>
      <c r="T25" s="1430"/>
      <c r="U25" s="1430"/>
      <c r="V25" s="1206"/>
      <c r="W25" s="1206"/>
      <c r="Z25" s="141" t="s">
        <v>264</v>
      </c>
      <c r="AA25" s="142">
        <v>1</v>
      </c>
      <c r="AB25" s="141" t="s">
        <v>261</v>
      </c>
      <c r="AC25" s="1232">
        <f>AE30*AA25</f>
        <v>2.8369364498855836</v>
      </c>
      <c r="AD25" s="14"/>
    </row>
    <row r="26" spans="2:31" ht="14" customHeight="1" x14ac:dyDescent="0.25">
      <c r="R26" s="1438" t="s">
        <v>309</v>
      </c>
      <c r="S26" s="1438"/>
      <c r="T26" s="1438"/>
      <c r="U26" s="1438"/>
      <c r="V26" s="1206"/>
      <c r="W26" s="1206"/>
      <c r="AD26" s="14"/>
    </row>
    <row r="27" spans="2:31" ht="14" customHeight="1" thickBot="1" x14ac:dyDescent="0.35">
      <c r="R27" s="145" t="s">
        <v>266</v>
      </c>
      <c r="S27" s="145" t="s">
        <v>310</v>
      </c>
      <c r="T27" s="145" t="s">
        <v>348</v>
      </c>
      <c r="U27" s="145" t="s">
        <v>269</v>
      </c>
      <c r="V27" s="146" t="s">
        <v>854</v>
      </c>
      <c r="W27" s="146" t="s">
        <v>849</v>
      </c>
      <c r="Z27" s="141" t="s">
        <v>270</v>
      </c>
      <c r="AA27" s="147" t="s">
        <v>271</v>
      </c>
      <c r="AB27" s="147" t="s">
        <v>272</v>
      </c>
      <c r="AC27" s="147" t="s">
        <v>852</v>
      </c>
      <c r="AD27" s="147" t="s">
        <v>849</v>
      </c>
      <c r="AE27" s="147" t="s">
        <v>274</v>
      </c>
    </row>
    <row r="28" spans="2:31" ht="14" customHeight="1" thickBot="1" x14ac:dyDescent="0.35">
      <c r="B28" s="100"/>
      <c r="E28" s="100"/>
      <c r="F28" s="100"/>
      <c r="M28" s="338"/>
      <c r="R28" s="145" t="s">
        <v>275</v>
      </c>
      <c r="S28" s="339">
        <f>U28*S40</f>
        <v>12692.30769230769</v>
      </c>
      <c r="T28" s="1310">
        <f>U28*U40</f>
        <v>3807.6923076923117</v>
      </c>
      <c r="U28" s="1303">
        <f>$Z$1*$T$1</f>
        <v>16500</v>
      </c>
      <c r="V28" s="149"/>
      <c r="W28" s="149">
        <f>H16</f>
        <v>170</v>
      </c>
      <c r="Z28" s="151"/>
      <c r="AA28" s="152">
        <f>AA25*$S$40</f>
        <v>0.76923076923076905</v>
      </c>
      <c r="AB28" s="152">
        <f>AA25-AA28</f>
        <v>0.23076923076923095</v>
      </c>
      <c r="AC28" s="1205"/>
      <c r="AD28" s="1205"/>
      <c r="AE28" s="154">
        <f>SUM(AA28:AB28)</f>
        <v>1</v>
      </c>
    </row>
    <row r="29" spans="2:31" ht="14" customHeight="1" thickBot="1" x14ac:dyDescent="0.35">
      <c r="B29" s="100"/>
      <c r="C29" s="100"/>
      <c r="D29" s="346"/>
      <c r="E29" s="100"/>
      <c r="F29" s="100"/>
      <c r="G29" s="100"/>
      <c r="H29" s="100"/>
      <c r="I29" s="100"/>
      <c r="J29" s="100"/>
      <c r="R29" s="145" t="s">
        <v>276</v>
      </c>
      <c r="S29" s="294"/>
      <c r="T29" s="339"/>
      <c r="U29" s="339">
        <f>T29</f>
        <v>0</v>
      </c>
      <c r="V29" s="149"/>
      <c r="W29" s="149"/>
      <c r="Z29" s="151"/>
      <c r="AA29" s="156">
        <f>AA28/$AE$28</f>
        <v>0.76923076923076905</v>
      </c>
      <c r="AB29" s="156">
        <f>AB28/$AE$28</f>
        <v>0.23076923076923095</v>
      </c>
      <c r="AC29" s="1205"/>
      <c r="AD29" s="1205"/>
      <c r="AE29" s="156">
        <f>AE28/$AE$28</f>
        <v>1</v>
      </c>
    </row>
    <row r="30" spans="2:31" ht="14" customHeight="1" thickBot="1" x14ac:dyDescent="0.35">
      <c r="R30" s="145" t="s">
        <v>277</v>
      </c>
      <c r="S30" s="1309">
        <f>U30*S40</f>
        <v>384.61538461538453</v>
      </c>
      <c r="T30" s="1309">
        <f>U30*U40</f>
        <v>115.3846153846155</v>
      </c>
      <c r="U30" s="1303">
        <f>$AB$1*$T$1</f>
        <v>500</v>
      </c>
      <c r="V30" s="1143"/>
      <c r="W30" s="1143"/>
      <c r="Z30" s="141" t="s">
        <v>278</v>
      </c>
      <c r="AA30" s="157">
        <f>S35/(AF1)</f>
        <v>0</v>
      </c>
      <c r="AB30" s="1204">
        <f>T35/AF1</f>
        <v>0.83693644988558347</v>
      </c>
      <c r="AC30" s="298">
        <f>V35/AF1</f>
        <v>0</v>
      </c>
      <c r="AD30" s="1145">
        <f>W35/$AF$1</f>
        <v>2</v>
      </c>
      <c r="AE30" s="1148">
        <f>AA30+AB30+AC30+AD30</f>
        <v>2.8369364498855836</v>
      </c>
    </row>
    <row r="31" spans="2:31" ht="14" customHeight="1" thickBot="1" x14ac:dyDescent="0.35">
      <c r="R31" s="145" t="s">
        <v>279</v>
      </c>
      <c r="S31" s="294"/>
      <c r="T31" s="294"/>
      <c r="U31" s="339">
        <f>T31</f>
        <v>0</v>
      </c>
      <c r="V31" s="149"/>
      <c r="W31" s="149"/>
    </row>
    <row r="32" spans="2:31" ht="14" customHeight="1" thickBot="1" x14ac:dyDescent="0.35">
      <c r="B32" s="100"/>
      <c r="E32" s="100"/>
      <c r="F32" s="100"/>
      <c r="R32" s="146" t="s">
        <v>269</v>
      </c>
      <c r="S32" s="340">
        <f>SUM(S28:S30)</f>
        <v>13076.923076923074</v>
      </c>
      <c r="T32" s="340">
        <f>SUM(T28:T30)</f>
        <v>3923.0769230769274</v>
      </c>
      <c r="U32" s="340">
        <f>SUM(U28:U30)</f>
        <v>17000</v>
      </c>
      <c r="V32" s="149"/>
      <c r="W32" s="149"/>
    </row>
    <row r="33" spans="2:23" ht="14" customHeight="1" thickBot="1" x14ac:dyDescent="0.35">
      <c r="B33" s="100"/>
      <c r="C33" s="100"/>
      <c r="D33" s="346"/>
      <c r="E33" s="100"/>
      <c r="F33" s="100"/>
      <c r="G33" s="100"/>
      <c r="H33" s="100"/>
      <c r="I33" s="100"/>
      <c r="J33" s="100"/>
      <c r="R33" s="341" t="s">
        <v>266</v>
      </c>
      <c r="S33" s="342"/>
      <c r="T33" s="342">
        <f>F39+F57</f>
        <v>0</v>
      </c>
      <c r="U33" s="343"/>
      <c r="V33" s="155"/>
      <c r="W33" s="155"/>
    </row>
    <row r="34" spans="2:23" ht="14" customHeight="1" thickBot="1" x14ac:dyDescent="0.35">
      <c r="B34" s="100"/>
      <c r="C34" s="100"/>
      <c r="D34" s="100"/>
      <c r="E34" s="100"/>
      <c r="F34" s="100"/>
      <c r="G34" s="100"/>
      <c r="H34" s="100"/>
      <c r="I34" s="100"/>
      <c r="J34" s="100"/>
      <c r="R34" s="178" t="s">
        <v>281</v>
      </c>
      <c r="S34" s="344"/>
      <c r="T34" s="345">
        <f>T33-(T28+T29)</f>
        <v>-3807.6923076923117</v>
      </c>
      <c r="U34" s="344"/>
      <c r="V34" s="155"/>
      <c r="W34" s="155"/>
    </row>
    <row r="35" spans="2:23" ht="12.75" customHeight="1" thickBot="1" x14ac:dyDescent="0.35">
      <c r="B35" s="1455"/>
      <c r="C35" s="1389"/>
      <c r="D35" s="1389"/>
      <c r="E35" s="1389"/>
      <c r="F35" s="1389"/>
      <c r="G35" s="1389"/>
      <c r="H35" s="1389"/>
      <c r="I35" s="1389"/>
      <c r="J35" s="1389"/>
      <c r="R35" s="163" t="s">
        <v>261</v>
      </c>
      <c r="S35" s="1144">
        <f>$L$5</f>
        <v>0</v>
      </c>
      <c r="T35" s="1144">
        <f>SUM(L6:L15)</f>
        <v>142.27919648054919</v>
      </c>
      <c r="U35" s="1144">
        <f>S35+T35+V35+W35</f>
        <v>482.27919648054922</v>
      </c>
      <c r="V35" s="1144"/>
      <c r="W35" s="1144">
        <f>L16</f>
        <v>340</v>
      </c>
    </row>
    <row r="36" spans="2:23" ht="12.75" customHeight="1" x14ac:dyDescent="0.25">
      <c r="B36" s="1428"/>
      <c r="C36" s="1389"/>
      <c r="D36" s="1389"/>
      <c r="E36" s="1389"/>
      <c r="F36" s="1389"/>
      <c r="G36" s="1389"/>
      <c r="H36" s="1389"/>
      <c r="I36" s="1389"/>
      <c r="J36" s="1389"/>
    </row>
    <row r="37" spans="2:23" ht="12.75" customHeight="1" x14ac:dyDescent="0.25"/>
    <row r="38" spans="2:23" ht="12.75" customHeight="1" x14ac:dyDescent="0.25">
      <c r="B38" s="100"/>
      <c r="E38" s="100"/>
      <c r="F38" s="100"/>
    </row>
    <row r="39" spans="2:23" ht="12.75" customHeight="1" x14ac:dyDescent="0.25">
      <c r="B39" s="100"/>
      <c r="C39" s="100"/>
      <c r="D39" s="346"/>
      <c r="E39" s="100"/>
      <c r="F39" s="100"/>
      <c r="G39" s="100"/>
      <c r="H39" s="100"/>
      <c r="I39" s="100"/>
      <c r="J39" s="100"/>
    </row>
    <row r="40" spans="2:23" ht="24" customHeight="1" x14ac:dyDescent="0.3">
      <c r="B40" s="100"/>
      <c r="C40" s="100"/>
      <c r="D40" s="100"/>
      <c r="E40" s="100"/>
      <c r="F40" s="100"/>
      <c r="G40" s="100"/>
      <c r="H40" s="100"/>
      <c r="I40" s="100"/>
      <c r="J40" s="100"/>
      <c r="R40" s="165" t="s">
        <v>282</v>
      </c>
      <c r="S40" s="166">
        <v>0.76923076923076905</v>
      </c>
      <c r="T40" s="165" t="s">
        <v>283</v>
      </c>
      <c r="U40" s="167">
        <v>0.230769230769231</v>
      </c>
      <c r="V40" s="168">
        <f>S40+U40</f>
        <v>1</v>
      </c>
    </row>
    <row r="41" spans="2:23" ht="17.75" customHeight="1" x14ac:dyDescent="0.25">
      <c r="B41" s="1455"/>
      <c r="C41" s="1389"/>
      <c r="D41" s="1389"/>
      <c r="E41" s="1389"/>
      <c r="F41" s="1389"/>
      <c r="G41" s="1389"/>
      <c r="H41" s="1389"/>
      <c r="I41" s="1389"/>
      <c r="J41" s="1389"/>
      <c r="U41" s="169"/>
    </row>
    <row r="42" spans="2:23" ht="17.75" customHeight="1" x14ac:dyDescent="0.25">
      <c r="B42" s="1428"/>
      <c r="C42" s="1389"/>
      <c r="D42" s="1389"/>
      <c r="E42" s="1389"/>
      <c r="F42" s="1389"/>
      <c r="G42" s="1389"/>
      <c r="H42" s="1389"/>
      <c r="I42" s="1389"/>
      <c r="J42" s="1389"/>
    </row>
    <row r="43" spans="2:23" ht="12.75" customHeight="1" x14ac:dyDescent="0.3">
      <c r="B43" s="347"/>
      <c r="C43" s="348"/>
      <c r="D43" s="347"/>
      <c r="E43" s="347"/>
      <c r="F43" s="347"/>
      <c r="G43" s="347"/>
      <c r="H43" s="347"/>
      <c r="I43" s="347"/>
      <c r="J43" s="347"/>
      <c r="Q43" s="170" t="s">
        <v>284</v>
      </c>
      <c r="R43" s="170" t="s">
        <v>285</v>
      </c>
      <c r="S43" s="170" t="s">
        <v>286</v>
      </c>
      <c r="T43" s="170" t="s">
        <v>287</v>
      </c>
      <c r="U43" s="170" t="s">
        <v>288</v>
      </c>
      <c r="V43" s="170" t="s">
        <v>289</v>
      </c>
      <c r="W43" s="170" t="s">
        <v>290</v>
      </c>
    </row>
    <row r="44" spans="2:23" ht="14" customHeight="1" x14ac:dyDescent="0.3">
      <c r="B44" s="349"/>
      <c r="C44" s="349"/>
      <c r="D44" s="333"/>
      <c r="E44" s="333"/>
      <c r="F44" s="136"/>
      <c r="G44" s="137"/>
      <c r="H44" s="138"/>
      <c r="I44" s="92"/>
      <c r="J44" s="139"/>
      <c r="Q44" s="172">
        <v>18841</v>
      </c>
      <c r="R44" s="173">
        <f>D51</f>
        <v>10000</v>
      </c>
      <c r="S44" s="174">
        <v>1</v>
      </c>
      <c r="T44" s="174">
        <v>0</v>
      </c>
      <c r="U44" s="242">
        <f>R44*S44</f>
        <v>10000</v>
      </c>
      <c r="V44" s="176">
        <f>R44*T44</f>
        <v>0</v>
      </c>
      <c r="W44" s="176">
        <f>Q44-U44</f>
        <v>8841</v>
      </c>
    </row>
    <row r="45" spans="2:23" ht="14" customHeight="1" x14ac:dyDescent="0.25">
      <c r="B45" s="349"/>
      <c r="C45" s="349"/>
      <c r="D45" s="333"/>
      <c r="E45" s="333"/>
      <c r="F45" s="136"/>
      <c r="G45" s="137"/>
      <c r="H45" s="138"/>
      <c r="I45" s="92"/>
      <c r="J45" s="139"/>
    </row>
    <row r="46" spans="2:23" ht="14.25" customHeight="1" x14ac:dyDescent="0.25">
      <c r="B46" s="349"/>
      <c r="C46" s="349"/>
      <c r="D46" s="333"/>
      <c r="E46" s="333"/>
      <c r="F46" s="136"/>
      <c r="G46" s="137"/>
      <c r="H46" s="138"/>
      <c r="I46" s="92"/>
      <c r="J46" s="139"/>
    </row>
    <row r="47" spans="2:23" ht="14.25" customHeight="1" x14ac:dyDescent="0.25">
      <c r="B47" s="349"/>
      <c r="C47" s="349"/>
      <c r="D47" s="333"/>
      <c r="E47" s="333"/>
      <c r="F47" s="136"/>
      <c r="G47" s="137"/>
      <c r="H47" s="138"/>
      <c r="I47" s="92"/>
      <c r="J47" s="139"/>
    </row>
    <row r="48" spans="2:23" ht="14.25" customHeight="1" x14ac:dyDescent="0.25">
      <c r="B48" s="349"/>
      <c r="C48" s="349"/>
      <c r="D48" s="333"/>
      <c r="E48" s="333"/>
      <c r="F48" s="136"/>
      <c r="G48" s="137"/>
      <c r="H48" s="138"/>
      <c r="I48" s="92"/>
      <c r="J48" s="139"/>
    </row>
    <row r="49" spans="1:10" ht="14.25" customHeight="1" x14ac:dyDescent="0.25">
      <c r="B49" s="349"/>
      <c r="C49" s="349"/>
      <c r="D49" s="333"/>
      <c r="E49" s="333"/>
      <c r="F49" s="136"/>
      <c r="G49" s="137"/>
      <c r="H49" s="138"/>
      <c r="I49" s="92"/>
      <c r="J49" s="139"/>
    </row>
    <row r="50" spans="1:10" ht="14.25" customHeight="1" x14ac:dyDescent="0.3">
      <c r="B50" s="350"/>
      <c r="C50" s="178" t="s">
        <v>245</v>
      </c>
      <c r="D50" s="178" t="s">
        <v>291</v>
      </c>
      <c r="E50" s="100"/>
      <c r="F50" s="100"/>
      <c r="G50" s="145" t="s">
        <v>292</v>
      </c>
      <c r="H50" s="145" t="s">
        <v>245</v>
      </c>
      <c r="I50" s="178" t="s">
        <v>293</v>
      </c>
      <c r="J50" s="178" t="s">
        <v>294</v>
      </c>
    </row>
    <row r="51" spans="1:10" ht="14.25" customHeight="1" x14ac:dyDescent="0.3">
      <c r="B51" s="180" t="s">
        <v>295</v>
      </c>
      <c r="C51" s="181">
        <f>10/$K$1</f>
        <v>11</v>
      </c>
      <c r="D51" s="182">
        <f>$C$1*10</f>
        <v>10000</v>
      </c>
      <c r="E51" s="183"/>
      <c r="F51" s="100"/>
      <c r="G51" s="180" t="s">
        <v>295</v>
      </c>
      <c r="H51" s="277">
        <f>I51/$D$5</f>
        <v>10</v>
      </c>
      <c r="I51" s="181">
        <f>J51/$R$1</f>
        <v>12630</v>
      </c>
      <c r="J51" s="181">
        <f>$W$44</f>
        <v>8841</v>
      </c>
    </row>
    <row r="52" spans="1:10" ht="14.25" customHeight="1" x14ac:dyDescent="0.3">
      <c r="B52" s="231" t="s">
        <v>274</v>
      </c>
      <c r="C52" s="232">
        <f>$I$1</f>
        <v>18.7</v>
      </c>
      <c r="D52" s="233">
        <f>$E$1</f>
        <v>17000</v>
      </c>
      <c r="E52" s="100"/>
      <c r="F52" s="100"/>
      <c r="G52" s="148" t="s">
        <v>274</v>
      </c>
      <c r="H52" s="569">
        <f>I52/$D$5</f>
        <v>14.79122619265137</v>
      </c>
      <c r="I52" s="176">
        <f>J52/$R$1</f>
        <v>18681.31868131868</v>
      </c>
      <c r="J52" s="184">
        <f>S32</f>
        <v>13076.923076923074</v>
      </c>
    </row>
    <row r="53" spans="1:10" ht="14.25" customHeight="1" x14ac:dyDescent="0.3">
      <c r="B53" s="231" t="s">
        <v>296</v>
      </c>
      <c r="C53" s="234">
        <f>MIN(C52, C51)</f>
        <v>11</v>
      </c>
      <c r="D53" s="233">
        <f>(C53*$K$1)*$C$1</f>
        <v>10000</v>
      </c>
      <c r="E53" s="100"/>
      <c r="F53" s="100"/>
      <c r="G53" s="148" t="s">
        <v>296</v>
      </c>
      <c r="H53" s="187">
        <f>MIN(H52,H51)</f>
        <v>10</v>
      </c>
      <c r="I53" s="176">
        <f>J53/$R$1</f>
        <v>12630</v>
      </c>
      <c r="J53" s="176">
        <f>MIN(J52,J51)</f>
        <v>8841</v>
      </c>
    </row>
    <row r="54" spans="1:10" ht="14.25" customHeight="1" x14ac:dyDescent="0.3">
      <c r="B54" s="231" t="s">
        <v>297</v>
      </c>
      <c r="C54" s="234">
        <f>MIN(MAX(C52-C53,0),C51)</f>
        <v>7.6999999999999993</v>
      </c>
      <c r="D54" s="233">
        <f>(C54*$K$1)*$C$1</f>
        <v>6999.9999999999991</v>
      </c>
      <c r="E54" s="100"/>
      <c r="F54" s="100"/>
      <c r="G54" s="148" t="s">
        <v>297</v>
      </c>
      <c r="H54" s="187">
        <f>MIN(MAX(H52-H53),H51)</f>
        <v>4.7912261926513704</v>
      </c>
      <c r="I54" s="176">
        <f>J54/$R$1</f>
        <v>6051.3186813186785</v>
      </c>
      <c r="J54" s="176">
        <f>MIN(MAX(J52-J53),J51)</f>
        <v>4235.9230769230744</v>
      </c>
    </row>
    <row r="55" spans="1:10" ht="14.25" customHeight="1" x14ac:dyDescent="0.3">
      <c r="B55" s="231" t="s">
        <v>298</v>
      </c>
      <c r="C55" s="234">
        <f>MIN(MAX(C52-C53-C54,0),C51)</f>
        <v>0</v>
      </c>
      <c r="D55" s="233">
        <f>(C55*$K$1)*$C$1</f>
        <v>0</v>
      </c>
      <c r="E55" s="100"/>
      <c r="F55" s="100"/>
      <c r="G55" s="145" t="s">
        <v>298</v>
      </c>
      <c r="H55" s="187">
        <f>MIN(MAX(H52-H53-H54),H51)</f>
        <v>0</v>
      </c>
      <c r="I55" s="176">
        <f>J55/$R$1</f>
        <v>0</v>
      </c>
      <c r="J55" s="176">
        <f>MIN(MAX(J52-J53-J54),J51)</f>
        <v>0</v>
      </c>
    </row>
    <row r="56" spans="1:10" ht="14.25" customHeight="1" x14ac:dyDescent="0.25">
      <c r="B56" s="1428"/>
      <c r="C56" s="1389"/>
      <c r="D56" s="1389"/>
      <c r="E56" s="1389"/>
      <c r="F56" s="1389"/>
      <c r="G56" s="1389"/>
      <c r="H56" s="1389"/>
      <c r="I56" s="1389"/>
      <c r="J56" s="1389"/>
    </row>
    <row r="57" spans="1:10" ht="17.75" customHeight="1" x14ac:dyDescent="0.25">
      <c r="B57" s="347"/>
      <c r="C57" s="348"/>
      <c r="D57" s="347"/>
      <c r="E57" s="347"/>
      <c r="F57" s="347"/>
      <c r="G57" s="347"/>
      <c r="H57" s="347"/>
      <c r="I57" s="347"/>
      <c r="J57" s="347"/>
    </row>
    <row r="58" spans="1:10" ht="12.75" customHeight="1" x14ac:dyDescent="0.3">
      <c r="B58" s="11"/>
      <c r="C58" s="349"/>
      <c r="D58" s="349"/>
      <c r="E58" s="333"/>
      <c r="F58" s="136"/>
      <c r="G58" s="137"/>
      <c r="H58" s="138"/>
      <c r="I58" s="92"/>
      <c r="J58" s="139"/>
    </row>
    <row r="59" spans="1:10" ht="14.25" customHeight="1" x14ac:dyDescent="0.3">
      <c r="B59" s="11"/>
      <c r="C59" s="349"/>
      <c r="D59" s="349"/>
      <c r="E59" s="333"/>
      <c r="F59" s="136"/>
      <c r="G59" s="137"/>
      <c r="H59" s="138"/>
      <c r="I59" s="92"/>
      <c r="J59" s="139"/>
    </row>
    <row r="60" spans="1:10" ht="14.25" customHeight="1" x14ac:dyDescent="0.25">
      <c r="B60" s="349"/>
      <c r="C60" s="349"/>
      <c r="D60" s="349"/>
      <c r="E60" s="333"/>
      <c r="F60" s="136"/>
      <c r="G60" s="137"/>
      <c r="H60" s="138"/>
      <c r="I60" s="92"/>
      <c r="J60" s="139"/>
    </row>
    <row r="61" spans="1:10" ht="14.25" customHeight="1" x14ac:dyDescent="0.3">
      <c r="B61" s="1428"/>
      <c r="C61" s="1422"/>
      <c r="D61" s="1422"/>
      <c r="E61" s="1422"/>
      <c r="F61" s="1422"/>
      <c r="G61" s="1422"/>
      <c r="H61" s="1422"/>
    </row>
    <row r="62" spans="1:10" ht="17.75" customHeight="1" x14ac:dyDescent="0.3">
      <c r="B62" s="1428"/>
      <c r="C62" s="1422"/>
      <c r="D62" s="1422"/>
      <c r="E62" s="1422"/>
      <c r="F62" s="1422"/>
      <c r="G62" s="1422"/>
      <c r="H62" s="1422"/>
    </row>
    <row r="63" spans="1:10" ht="18" customHeight="1" x14ac:dyDescent="0.25">
      <c r="A63" s="371"/>
      <c r="B63" s="347"/>
      <c r="C63" s="348"/>
      <c r="D63" s="347"/>
      <c r="E63" s="347"/>
      <c r="F63" s="347"/>
      <c r="G63" s="347"/>
      <c r="H63" s="347"/>
    </row>
    <row r="64" spans="1:10" ht="36" customHeight="1" x14ac:dyDescent="0.25">
      <c r="B64" s="349"/>
      <c r="C64" s="349"/>
      <c r="D64" s="910"/>
      <c r="E64" s="296"/>
      <c r="F64" s="136"/>
      <c r="G64" s="140"/>
      <c r="H64" s="138"/>
    </row>
    <row r="65" spans="2:14" ht="14" customHeight="1" x14ac:dyDescent="0.25">
      <c r="B65" s="349"/>
      <c r="C65" s="349"/>
      <c r="D65" s="349"/>
      <c r="E65" s="483"/>
      <c r="F65" s="136"/>
      <c r="G65" s="137"/>
      <c r="H65" s="138"/>
      <c r="I65" s="92"/>
      <c r="J65" s="137"/>
      <c r="L65" s="137"/>
      <c r="M65" s="131"/>
      <c r="N65" s="131"/>
    </row>
    <row r="66" spans="2:14" ht="14.25" customHeight="1" x14ac:dyDescent="0.25">
      <c r="B66" s="349"/>
      <c r="C66" s="349"/>
      <c r="D66" s="349"/>
      <c r="E66" s="483"/>
      <c r="F66" s="136"/>
      <c r="G66" s="137"/>
      <c r="H66" s="138"/>
      <c r="K66" s="131"/>
    </row>
    <row r="67" spans="2:14" ht="14.25" customHeight="1" x14ac:dyDescent="0.25">
      <c r="B67" s="349"/>
      <c r="C67" s="349"/>
      <c r="D67" s="349"/>
      <c r="E67" s="483"/>
      <c r="F67" s="136"/>
      <c r="G67" s="137"/>
      <c r="H67" s="138"/>
    </row>
    <row r="68" spans="2:14" ht="14.25" customHeight="1" x14ac:dyDescent="0.25">
      <c r="B68" s="349"/>
      <c r="C68" s="349"/>
      <c r="D68" s="349"/>
      <c r="E68" s="483"/>
      <c r="F68" s="136"/>
      <c r="G68" s="137"/>
      <c r="H68" s="138"/>
    </row>
    <row r="69" spans="2:14" ht="14.25" customHeight="1" x14ac:dyDescent="0.25">
      <c r="B69" s="349"/>
      <c r="C69" s="349"/>
      <c r="D69" s="349"/>
      <c r="E69" s="483"/>
      <c r="F69" s="136"/>
      <c r="G69" s="137"/>
      <c r="H69" s="138"/>
    </row>
    <row r="70" spans="2:14" ht="14.25" customHeight="1" x14ac:dyDescent="0.25">
      <c r="B70" s="349"/>
      <c r="C70" s="349"/>
      <c r="D70" s="349"/>
      <c r="E70" s="483"/>
      <c r="F70" s="136"/>
      <c r="G70" s="137"/>
      <c r="H70" s="138"/>
    </row>
    <row r="71" spans="2:14" ht="14.25" customHeight="1" x14ac:dyDescent="0.25">
      <c r="B71" s="349"/>
      <c r="C71" s="349"/>
      <c r="D71" s="349"/>
      <c r="E71" s="483"/>
      <c r="F71" s="136"/>
      <c r="G71" s="137"/>
      <c r="H71" s="138"/>
    </row>
    <row r="72" spans="2:14" ht="14.25" customHeight="1" x14ac:dyDescent="0.25">
      <c r="B72" s="349"/>
      <c r="C72" s="349"/>
      <c r="D72" s="349"/>
      <c r="E72" s="483"/>
      <c r="F72" s="136"/>
      <c r="G72" s="137"/>
      <c r="H72" s="138"/>
    </row>
    <row r="73" spans="2:14" ht="14.25" customHeight="1" x14ac:dyDescent="0.25">
      <c r="B73" s="349"/>
      <c r="C73" s="349"/>
      <c r="D73" s="349"/>
      <c r="E73" s="483"/>
      <c r="F73" s="136"/>
      <c r="G73" s="137"/>
      <c r="H73" s="138"/>
    </row>
    <row r="74" spans="2:14" ht="14.25" customHeight="1" x14ac:dyDescent="0.25">
      <c r="B74" s="349"/>
      <c r="C74" s="349"/>
      <c r="D74" s="349"/>
      <c r="E74" s="483"/>
      <c r="F74" s="136"/>
      <c r="G74" s="137"/>
      <c r="H74" s="138"/>
    </row>
    <row r="75" spans="2:14" ht="14.25" customHeight="1" x14ac:dyDescent="0.25">
      <c r="B75" s="100"/>
    </row>
    <row r="76" spans="2:14" ht="12.75" customHeight="1" x14ac:dyDescent="0.25"/>
    <row r="77" spans="2:14" x14ac:dyDescent="0.25">
      <c r="E77" s="100"/>
      <c r="F77" s="100"/>
    </row>
    <row r="78" spans="2:14" ht="12.75" customHeight="1" x14ac:dyDescent="0.25">
      <c r="E78" s="100"/>
      <c r="F78" s="100"/>
    </row>
    <row r="79" spans="2:14" ht="12.75" customHeight="1" x14ac:dyDescent="0.3">
      <c r="B79" s="1428"/>
      <c r="C79" s="1422"/>
      <c r="D79" s="1422"/>
      <c r="E79" s="1422"/>
      <c r="F79" s="1422"/>
      <c r="G79" s="1422"/>
      <c r="H79" s="1422"/>
    </row>
    <row r="80" spans="2:14" ht="17.75" customHeight="1" x14ac:dyDescent="0.3">
      <c r="B80" s="1428"/>
      <c r="C80" s="1422"/>
      <c r="D80" s="1422"/>
      <c r="E80" s="1422"/>
      <c r="F80" s="1422"/>
      <c r="G80" s="1422"/>
      <c r="H80" s="1422"/>
    </row>
    <row r="81" spans="1:8" ht="17.75" customHeight="1" x14ac:dyDescent="0.25">
      <c r="A81" s="371"/>
      <c r="B81" s="347"/>
      <c r="C81" s="348"/>
      <c r="D81" s="347"/>
      <c r="E81" s="347"/>
      <c r="F81" s="347"/>
      <c r="G81" s="347"/>
      <c r="H81" s="347"/>
    </row>
    <row r="82" spans="1:8" ht="25.5" customHeight="1" x14ac:dyDescent="0.25">
      <c r="B82" s="349"/>
      <c r="C82" s="349"/>
      <c r="D82" s="910"/>
      <c r="E82" s="296"/>
      <c r="F82" s="136"/>
      <c r="G82" s="140"/>
      <c r="H82" s="138"/>
    </row>
    <row r="83" spans="1:8" ht="14.25" customHeight="1" x14ac:dyDescent="0.25">
      <c r="B83" s="349"/>
      <c r="C83" s="349"/>
      <c r="D83" s="349"/>
      <c r="E83" s="483"/>
      <c r="F83" s="136"/>
      <c r="G83" s="137"/>
      <c r="H83" s="138"/>
    </row>
    <row r="84" spans="1:8" ht="14.25" customHeight="1" x14ac:dyDescent="0.25">
      <c r="B84" s="349"/>
      <c r="C84" s="349"/>
      <c r="D84" s="349"/>
      <c r="E84" s="483"/>
      <c r="F84" s="136"/>
      <c r="G84" s="137"/>
      <c r="H84" s="138"/>
    </row>
    <row r="85" spans="1:8" ht="14.25" customHeight="1" x14ac:dyDescent="0.25">
      <c r="B85" s="349"/>
      <c r="C85" s="349"/>
      <c r="D85" s="349"/>
      <c r="E85" s="483"/>
      <c r="F85" s="136"/>
      <c r="G85" s="137"/>
      <c r="H85" s="138"/>
    </row>
    <row r="86" spans="1:8" ht="14.25" customHeight="1" x14ac:dyDescent="0.25">
      <c r="B86" s="349"/>
      <c r="C86" s="349"/>
      <c r="D86" s="349"/>
      <c r="E86" s="483"/>
      <c r="F86" s="136"/>
      <c r="G86" s="137"/>
      <c r="H86" s="138"/>
    </row>
    <row r="87" spans="1:8" ht="14.25" customHeight="1" x14ac:dyDescent="0.25">
      <c r="B87" s="349"/>
      <c r="C87" s="349"/>
      <c r="D87" s="349"/>
      <c r="E87" s="483"/>
      <c r="F87" s="136"/>
      <c r="G87" s="137"/>
      <c r="H87" s="138"/>
    </row>
    <row r="88" spans="1:8" ht="14.25" customHeight="1" x14ac:dyDescent="0.25">
      <c r="B88" s="349"/>
      <c r="C88" s="349"/>
      <c r="D88" s="349"/>
      <c r="E88" s="483"/>
      <c r="F88" s="136"/>
      <c r="G88" s="137"/>
      <c r="H88" s="138"/>
    </row>
    <row r="89" spans="1:8" ht="14.25" customHeight="1" x14ac:dyDescent="0.25">
      <c r="B89" s="349"/>
      <c r="C89" s="349"/>
      <c r="D89" s="349"/>
      <c r="E89" s="483"/>
      <c r="F89" s="136"/>
      <c r="G89" s="137"/>
      <c r="H89" s="138"/>
    </row>
    <row r="90" spans="1:8" ht="14.25" customHeight="1" x14ac:dyDescent="0.25">
      <c r="B90" s="349"/>
      <c r="C90" s="349"/>
      <c r="D90" s="349"/>
      <c r="E90" s="483"/>
      <c r="F90" s="136"/>
      <c r="G90" s="137"/>
      <c r="H90" s="138"/>
    </row>
    <row r="91" spans="1:8" ht="14.25" customHeight="1" x14ac:dyDescent="0.25">
      <c r="B91" s="349"/>
      <c r="C91" s="349"/>
      <c r="D91" s="349"/>
      <c r="E91" s="483"/>
      <c r="F91" s="136"/>
      <c r="G91" s="137"/>
      <c r="H91" s="138"/>
    </row>
    <row r="92" spans="1:8" ht="14.25" customHeight="1" x14ac:dyDescent="0.25">
      <c r="B92" s="349"/>
      <c r="C92" s="349"/>
      <c r="D92" s="349"/>
      <c r="E92" s="483"/>
      <c r="F92" s="136"/>
      <c r="G92" s="137"/>
      <c r="H92" s="138"/>
    </row>
    <row r="93" spans="1:8" ht="14.25" customHeight="1" x14ac:dyDescent="0.25">
      <c r="B93" s="100"/>
      <c r="E93" s="100"/>
      <c r="F93" s="100"/>
    </row>
    <row r="94" spans="1:8" ht="12.75" customHeight="1" x14ac:dyDescent="0.25">
      <c r="B94" s="100"/>
      <c r="E94" s="100"/>
      <c r="F94" s="100"/>
    </row>
    <row r="95" spans="1:8" ht="12.75" customHeight="1" x14ac:dyDescent="0.25">
      <c r="B95" s="100"/>
      <c r="E95" s="100"/>
      <c r="F95" s="100"/>
    </row>
    <row r="96" spans="1:8" ht="12.75" customHeight="1" x14ac:dyDescent="0.25">
      <c r="B96" s="100"/>
      <c r="E96" s="100"/>
      <c r="F96" s="100"/>
    </row>
    <row r="97" spans="2:6" ht="12.75" customHeight="1" x14ac:dyDescent="0.25">
      <c r="B97" s="100"/>
      <c r="E97" s="100"/>
      <c r="F97" s="100"/>
    </row>
    <row r="98" spans="2:6" ht="12.75" customHeight="1" x14ac:dyDescent="0.25">
      <c r="B98" s="100"/>
      <c r="E98" s="100"/>
      <c r="F98" s="100"/>
    </row>
    <row r="99" spans="2:6" ht="12.75" customHeight="1" x14ac:dyDescent="0.25">
      <c r="B99" s="100"/>
      <c r="E99" s="100"/>
      <c r="F99" s="100"/>
    </row>
    <row r="100" spans="2:6" ht="12.75" customHeight="1" x14ac:dyDescent="0.25">
      <c r="B100" s="100"/>
      <c r="E100" s="100"/>
      <c r="F100" s="100"/>
    </row>
    <row r="101" spans="2:6" ht="12.75" customHeight="1" x14ac:dyDescent="0.25">
      <c r="B101" s="100"/>
      <c r="E101" s="100"/>
      <c r="F101" s="100"/>
    </row>
    <row r="102" spans="2:6" ht="12.75" customHeight="1" x14ac:dyDescent="0.25">
      <c r="B102" s="100"/>
      <c r="E102" s="100"/>
      <c r="F102" s="100"/>
    </row>
    <row r="103" spans="2:6" ht="12.75" customHeight="1" x14ac:dyDescent="0.25">
      <c r="B103" s="100"/>
      <c r="E103" s="100"/>
      <c r="F103" s="100"/>
    </row>
    <row r="104" spans="2:6" ht="12.75" customHeight="1" x14ac:dyDescent="0.25">
      <c r="B104" s="100"/>
      <c r="E104" s="100"/>
      <c r="F104" s="100"/>
    </row>
    <row r="105" spans="2:6" ht="12.75" customHeight="1" x14ac:dyDescent="0.25">
      <c r="B105" s="100"/>
      <c r="E105" s="100"/>
      <c r="F105" s="100"/>
    </row>
    <row r="106" spans="2:6" ht="12.75" customHeight="1" x14ac:dyDescent="0.25">
      <c r="B106" s="100"/>
      <c r="E106" s="100"/>
      <c r="F106" s="100"/>
    </row>
    <row r="107" spans="2:6" ht="12.75" customHeight="1" x14ac:dyDescent="0.25">
      <c r="B107" s="100"/>
      <c r="E107" s="100"/>
      <c r="F107" s="100"/>
    </row>
    <row r="108" spans="2:6" ht="12.75" customHeight="1" x14ac:dyDescent="0.25">
      <c r="B108" s="100"/>
      <c r="E108" s="100"/>
      <c r="F108" s="100"/>
    </row>
    <row r="109" spans="2:6" ht="12.75" customHeight="1" x14ac:dyDescent="0.25">
      <c r="B109" s="100"/>
      <c r="E109" s="100"/>
      <c r="F109" s="100"/>
    </row>
    <row r="110" spans="2:6" ht="12.75" customHeight="1" x14ac:dyDescent="0.25">
      <c r="B110" s="100"/>
      <c r="E110" s="100"/>
      <c r="F110" s="100"/>
    </row>
    <row r="111" spans="2:6" ht="12.75" customHeight="1" x14ac:dyDescent="0.25">
      <c r="B111" s="100"/>
      <c r="E111" s="100"/>
      <c r="F111" s="100"/>
    </row>
    <row r="112" spans="2:6" ht="12.75" customHeight="1" x14ac:dyDescent="0.25">
      <c r="B112" s="100"/>
      <c r="E112" s="100"/>
      <c r="F112" s="100"/>
    </row>
    <row r="113" spans="2:6" ht="12.75" customHeight="1" x14ac:dyDescent="0.25">
      <c r="B113" s="100"/>
      <c r="E113" s="100"/>
      <c r="F113" s="100"/>
    </row>
    <row r="114" spans="2:6" ht="12.75" customHeight="1" x14ac:dyDescent="0.25">
      <c r="B114" s="100"/>
      <c r="E114" s="100"/>
      <c r="F114" s="100"/>
    </row>
    <row r="115" spans="2:6" ht="12.75" customHeight="1" x14ac:dyDescent="0.25">
      <c r="B115" s="100"/>
      <c r="E115" s="100"/>
      <c r="F115" s="100"/>
    </row>
    <row r="116" spans="2:6" ht="12.75" customHeight="1" x14ac:dyDescent="0.25">
      <c r="B116" s="100"/>
      <c r="E116" s="100"/>
      <c r="F116" s="100"/>
    </row>
    <row r="117" spans="2:6" ht="12.75" customHeight="1" x14ac:dyDescent="0.25">
      <c r="B117" s="100"/>
      <c r="E117" s="100"/>
      <c r="F117" s="100"/>
    </row>
    <row r="118" spans="2:6" ht="12.75" customHeight="1" x14ac:dyDescent="0.25">
      <c r="B118" s="100"/>
      <c r="E118" s="100"/>
      <c r="F118" s="100"/>
    </row>
    <row r="119" spans="2:6" ht="12.75" customHeight="1" x14ac:dyDescent="0.25">
      <c r="B119" s="100"/>
      <c r="E119" s="100"/>
      <c r="F119" s="100"/>
    </row>
    <row r="120" spans="2:6" ht="12.75" customHeight="1" x14ac:dyDescent="0.25">
      <c r="B120" s="100"/>
      <c r="E120" s="100"/>
      <c r="F120" s="100"/>
    </row>
    <row r="121" spans="2:6" ht="12.75" customHeight="1" x14ac:dyDescent="0.25">
      <c r="B121" s="100"/>
      <c r="E121" s="100"/>
      <c r="F121" s="100"/>
    </row>
    <row r="122" spans="2:6" ht="12.75" customHeight="1" x14ac:dyDescent="0.25">
      <c r="B122" s="100"/>
      <c r="E122" s="100"/>
      <c r="F122" s="100"/>
    </row>
    <row r="123" spans="2:6" ht="12.75" customHeight="1" x14ac:dyDescent="0.25">
      <c r="B123" s="100"/>
      <c r="E123" s="100"/>
      <c r="F123" s="100"/>
    </row>
    <row r="124" spans="2:6" ht="12.75" customHeight="1" x14ac:dyDescent="0.25">
      <c r="B124" s="100"/>
      <c r="E124" s="100"/>
      <c r="F124" s="100"/>
    </row>
    <row r="125" spans="2:6" ht="12.75" customHeight="1" x14ac:dyDescent="0.25">
      <c r="B125" s="100"/>
      <c r="E125" s="100"/>
      <c r="F125" s="100"/>
    </row>
    <row r="126" spans="2:6" ht="12.75" customHeight="1" x14ac:dyDescent="0.25">
      <c r="B126" s="100"/>
      <c r="E126" s="100"/>
      <c r="F126" s="100"/>
    </row>
    <row r="127" spans="2:6" ht="12.75" customHeight="1" x14ac:dyDescent="0.25">
      <c r="B127" s="100"/>
      <c r="E127" s="100"/>
      <c r="F127" s="100"/>
    </row>
    <row r="128" spans="2:6" ht="12.75" customHeight="1" x14ac:dyDescent="0.25">
      <c r="B128" s="100"/>
      <c r="E128" s="100"/>
      <c r="F128" s="100"/>
    </row>
    <row r="129" spans="2:6" ht="12.75" customHeight="1" x14ac:dyDescent="0.25">
      <c r="B129" s="100"/>
      <c r="E129" s="100"/>
      <c r="F129" s="100"/>
    </row>
    <row r="130" spans="2:6" ht="12.75" customHeight="1" x14ac:dyDescent="0.25">
      <c r="B130" s="100"/>
      <c r="E130" s="100"/>
      <c r="F130" s="100"/>
    </row>
    <row r="131" spans="2:6" ht="12.75" customHeight="1" x14ac:dyDescent="0.25">
      <c r="B131" s="100"/>
      <c r="E131" s="100"/>
      <c r="F131" s="100"/>
    </row>
    <row r="132" spans="2:6" ht="12.75" customHeight="1" x14ac:dyDescent="0.25">
      <c r="B132" s="100"/>
      <c r="E132" s="100"/>
      <c r="F132" s="100"/>
    </row>
    <row r="133" spans="2:6" ht="12.75" customHeight="1" x14ac:dyDescent="0.25">
      <c r="B133" s="100"/>
      <c r="E133" s="100"/>
      <c r="F133" s="100"/>
    </row>
    <row r="134" spans="2:6" ht="12.75" customHeight="1" x14ac:dyDescent="0.25">
      <c r="B134" s="100"/>
      <c r="E134" s="100"/>
      <c r="F134" s="100"/>
    </row>
    <row r="135" spans="2:6" ht="12.75" customHeight="1" x14ac:dyDescent="0.25">
      <c r="B135" s="100"/>
      <c r="E135" s="100"/>
      <c r="F135" s="100"/>
    </row>
    <row r="136" spans="2:6" ht="12.75" customHeight="1" x14ac:dyDescent="0.25">
      <c r="B136" s="100"/>
      <c r="E136" s="100"/>
      <c r="F136" s="100"/>
    </row>
    <row r="137" spans="2:6" ht="12.75" customHeight="1" x14ac:dyDescent="0.25">
      <c r="B137" s="100"/>
      <c r="E137" s="100"/>
      <c r="F137" s="100"/>
    </row>
    <row r="138" spans="2:6" ht="12.75" customHeight="1" x14ac:dyDescent="0.25">
      <c r="B138" s="100"/>
      <c r="E138" s="100"/>
      <c r="F138" s="100"/>
    </row>
    <row r="139" spans="2:6" ht="12.75" customHeight="1" x14ac:dyDescent="0.25">
      <c r="B139" s="100"/>
      <c r="E139" s="100"/>
      <c r="F139" s="100"/>
    </row>
    <row r="140" spans="2:6" ht="12.75" customHeight="1" x14ac:dyDescent="0.25">
      <c r="B140" s="100"/>
      <c r="E140" s="100"/>
      <c r="F140" s="100"/>
    </row>
    <row r="141" spans="2:6" ht="12.75" customHeight="1" x14ac:dyDescent="0.25">
      <c r="B141" s="100"/>
      <c r="E141" s="100"/>
      <c r="F141" s="100"/>
    </row>
    <row r="142" spans="2:6" ht="12.75" customHeight="1" x14ac:dyDescent="0.25">
      <c r="B142" s="100"/>
      <c r="E142" s="100"/>
      <c r="F142" s="100"/>
    </row>
    <row r="143" spans="2:6" ht="12.75" customHeight="1" x14ac:dyDescent="0.25">
      <c r="B143" s="100"/>
      <c r="E143" s="100"/>
      <c r="F143" s="100"/>
    </row>
    <row r="144" spans="2:6" ht="12.75" customHeight="1" x14ac:dyDescent="0.25">
      <c r="B144" s="100"/>
      <c r="E144" s="100"/>
      <c r="F144" s="100"/>
    </row>
    <row r="145" spans="2:6" ht="12.75" customHeight="1" x14ac:dyDescent="0.25">
      <c r="B145" s="100"/>
      <c r="E145" s="100"/>
      <c r="F145" s="100"/>
    </row>
    <row r="146" spans="2:6" ht="12.75" customHeight="1" x14ac:dyDescent="0.25">
      <c r="B146" s="100"/>
      <c r="E146" s="100"/>
      <c r="F146" s="100"/>
    </row>
    <row r="147" spans="2:6" ht="12.75" customHeight="1" x14ac:dyDescent="0.25">
      <c r="B147" s="100"/>
      <c r="E147" s="100"/>
      <c r="F147" s="100"/>
    </row>
    <row r="148" spans="2:6" ht="12.75" customHeight="1" x14ac:dyDescent="0.25">
      <c r="B148" s="100"/>
      <c r="E148" s="100"/>
      <c r="F148" s="100"/>
    </row>
    <row r="149" spans="2:6" ht="12.75" customHeight="1" x14ac:dyDescent="0.25">
      <c r="B149" s="100"/>
      <c r="E149" s="100"/>
      <c r="F149" s="100"/>
    </row>
    <row r="150" spans="2:6" ht="12.75" customHeight="1" x14ac:dyDescent="0.25">
      <c r="B150" s="100"/>
      <c r="E150" s="100"/>
      <c r="F150" s="100"/>
    </row>
    <row r="151" spans="2:6" ht="12.75" customHeight="1" x14ac:dyDescent="0.25">
      <c r="B151" s="100"/>
      <c r="E151" s="100"/>
      <c r="F151" s="100"/>
    </row>
    <row r="152" spans="2:6" ht="12.75" customHeight="1" x14ac:dyDescent="0.25">
      <c r="B152" s="100"/>
      <c r="E152" s="100"/>
      <c r="F152" s="100"/>
    </row>
    <row r="153" spans="2:6" ht="12.75" customHeight="1" x14ac:dyDescent="0.25">
      <c r="B153" s="100"/>
      <c r="E153" s="100"/>
      <c r="F153" s="100"/>
    </row>
    <row r="154" spans="2:6" ht="12.75" customHeight="1" x14ac:dyDescent="0.25">
      <c r="B154" s="100"/>
      <c r="E154" s="100"/>
      <c r="F154" s="100"/>
    </row>
    <row r="155" spans="2:6" ht="12.75" customHeight="1" x14ac:dyDescent="0.25">
      <c r="B155" s="100"/>
      <c r="E155" s="100"/>
      <c r="F155" s="100"/>
    </row>
    <row r="156" spans="2:6" ht="12.75" customHeight="1" x14ac:dyDescent="0.25">
      <c r="B156" s="100"/>
      <c r="E156" s="100"/>
      <c r="F156" s="100"/>
    </row>
    <row r="157" spans="2:6" ht="12.75" customHeight="1" x14ac:dyDescent="0.25">
      <c r="B157" s="100"/>
      <c r="E157" s="100"/>
      <c r="F157" s="100"/>
    </row>
    <row r="158" spans="2:6" ht="12.75" customHeight="1" x14ac:dyDescent="0.25">
      <c r="B158" s="100"/>
      <c r="E158" s="100"/>
      <c r="F158" s="100"/>
    </row>
    <row r="159" spans="2:6" ht="12.75" customHeight="1" x14ac:dyDescent="0.25">
      <c r="B159" s="100"/>
      <c r="E159" s="100"/>
      <c r="F159" s="100"/>
    </row>
    <row r="160" spans="2:6" ht="12.75" customHeight="1" x14ac:dyDescent="0.25">
      <c r="B160" s="100"/>
      <c r="E160" s="100"/>
      <c r="F160" s="100"/>
    </row>
    <row r="161" spans="2:6" ht="12.75" customHeight="1" x14ac:dyDescent="0.25">
      <c r="B161" s="100"/>
      <c r="E161" s="100"/>
      <c r="F161" s="100"/>
    </row>
    <row r="162" spans="2:6" ht="12.75" customHeight="1" x14ac:dyDescent="0.25">
      <c r="B162" s="100"/>
      <c r="E162" s="100"/>
      <c r="F162" s="100"/>
    </row>
    <row r="163" spans="2:6" ht="12.75" customHeight="1" x14ac:dyDescent="0.25">
      <c r="B163" s="100"/>
      <c r="E163" s="100"/>
      <c r="F163" s="100"/>
    </row>
    <row r="164" spans="2:6" ht="12.75" customHeight="1" x14ac:dyDescent="0.25">
      <c r="B164" s="100"/>
      <c r="E164" s="100"/>
      <c r="F164" s="100"/>
    </row>
    <row r="165" spans="2:6" ht="12.75" customHeight="1" x14ac:dyDescent="0.25">
      <c r="B165" s="100"/>
      <c r="E165" s="100"/>
      <c r="F165" s="100"/>
    </row>
    <row r="166" spans="2:6" ht="12.75" customHeight="1" x14ac:dyDescent="0.25">
      <c r="B166" s="100"/>
      <c r="E166" s="100"/>
      <c r="F166" s="100"/>
    </row>
    <row r="167" spans="2:6" ht="12.75" customHeight="1" x14ac:dyDescent="0.25">
      <c r="B167" s="100"/>
      <c r="E167" s="100"/>
      <c r="F167" s="100"/>
    </row>
    <row r="168" spans="2:6" ht="12.75" customHeight="1" x14ac:dyDescent="0.25">
      <c r="B168" s="100"/>
      <c r="E168" s="100"/>
      <c r="F168" s="100"/>
    </row>
    <row r="169" spans="2:6" ht="12.75" customHeight="1" x14ac:dyDescent="0.25">
      <c r="B169" s="100"/>
      <c r="E169" s="100"/>
      <c r="F169" s="100"/>
    </row>
    <row r="170" spans="2:6" ht="12.75" customHeight="1" x14ac:dyDescent="0.25">
      <c r="B170" s="100"/>
      <c r="E170" s="100"/>
      <c r="F170" s="100"/>
    </row>
    <row r="171" spans="2:6" ht="12.75" customHeight="1" x14ac:dyDescent="0.25">
      <c r="B171" s="100"/>
      <c r="E171" s="100"/>
      <c r="F171" s="100"/>
    </row>
    <row r="172" spans="2:6" ht="12.75" customHeight="1" x14ac:dyDescent="0.25">
      <c r="B172" s="100"/>
      <c r="E172" s="100"/>
      <c r="F172" s="100"/>
    </row>
    <row r="173" spans="2:6" ht="12.75" customHeight="1" x14ac:dyDescent="0.25">
      <c r="B173" s="100"/>
      <c r="E173" s="100"/>
      <c r="F173" s="100"/>
    </row>
    <row r="174" spans="2:6" ht="12.75" customHeight="1" x14ac:dyDescent="0.25">
      <c r="B174" s="100"/>
      <c r="E174" s="100"/>
      <c r="F174" s="100"/>
    </row>
    <row r="175" spans="2:6" ht="12.75" customHeight="1" x14ac:dyDescent="0.25">
      <c r="B175" s="100"/>
      <c r="E175" s="100"/>
      <c r="F175" s="100"/>
    </row>
    <row r="176" spans="2:6" ht="12.75" customHeight="1" x14ac:dyDescent="0.25">
      <c r="B176" s="100"/>
      <c r="E176" s="100"/>
      <c r="F176" s="100"/>
    </row>
    <row r="177" spans="2:6" ht="12.75" customHeight="1" x14ac:dyDescent="0.25">
      <c r="B177" s="100"/>
      <c r="E177" s="100"/>
      <c r="F177" s="100"/>
    </row>
    <row r="178" spans="2:6" ht="12.75" customHeight="1" x14ac:dyDescent="0.25">
      <c r="B178" s="100"/>
      <c r="E178" s="100"/>
      <c r="F178" s="100"/>
    </row>
    <row r="179" spans="2:6" ht="12.75" customHeight="1" x14ac:dyDescent="0.25">
      <c r="B179" s="100"/>
      <c r="E179" s="100"/>
      <c r="F179" s="100"/>
    </row>
    <row r="180" spans="2:6" ht="12.75" customHeight="1" x14ac:dyDescent="0.25">
      <c r="B180" s="100"/>
      <c r="E180" s="100"/>
      <c r="F180" s="100"/>
    </row>
    <row r="181" spans="2:6" ht="12.75" customHeight="1" x14ac:dyDescent="0.25">
      <c r="B181" s="100"/>
      <c r="E181" s="100"/>
      <c r="F181" s="100"/>
    </row>
    <row r="182" spans="2:6" ht="12.75" customHeight="1" x14ac:dyDescent="0.25">
      <c r="B182" s="100"/>
      <c r="E182" s="100"/>
      <c r="F182" s="100"/>
    </row>
    <row r="183" spans="2:6" ht="12.75" customHeight="1" x14ac:dyDescent="0.25">
      <c r="B183" s="100"/>
      <c r="E183" s="100"/>
      <c r="F183" s="100"/>
    </row>
    <row r="184" spans="2:6" ht="12.75" customHeight="1" x14ac:dyDescent="0.25">
      <c r="B184" s="100"/>
      <c r="E184" s="100"/>
      <c r="F184" s="100"/>
    </row>
    <row r="185" spans="2:6" ht="12.75" customHeight="1" x14ac:dyDescent="0.25">
      <c r="B185" s="100"/>
      <c r="E185" s="100"/>
      <c r="F185" s="100"/>
    </row>
    <row r="186" spans="2:6" ht="12.75" customHeight="1" x14ac:dyDescent="0.25">
      <c r="B186" s="100"/>
      <c r="E186" s="100"/>
      <c r="F186" s="100"/>
    </row>
    <row r="187" spans="2:6" ht="12.75" customHeight="1" x14ac:dyDescent="0.25">
      <c r="B187" s="100"/>
      <c r="E187" s="100"/>
      <c r="F187" s="100"/>
    </row>
    <row r="188" spans="2:6" ht="12.75" customHeight="1" x14ac:dyDescent="0.25">
      <c r="B188" s="100"/>
      <c r="E188" s="100"/>
      <c r="F188" s="100"/>
    </row>
    <row r="189" spans="2:6" ht="12.75" customHeight="1" x14ac:dyDescent="0.25">
      <c r="B189" s="100"/>
      <c r="E189" s="100"/>
      <c r="F189" s="100"/>
    </row>
    <row r="190" spans="2:6" ht="12.75" customHeight="1" x14ac:dyDescent="0.25">
      <c r="B190" s="100"/>
      <c r="E190" s="100"/>
      <c r="F190" s="100"/>
    </row>
    <row r="191" spans="2:6" ht="12.75" customHeight="1" x14ac:dyDescent="0.25">
      <c r="B191" s="100"/>
      <c r="E191" s="100"/>
      <c r="F191" s="100"/>
    </row>
    <row r="192" spans="2:6" ht="12.75" customHeight="1" x14ac:dyDescent="0.25">
      <c r="B192" s="100"/>
      <c r="E192" s="100"/>
      <c r="F192" s="100"/>
    </row>
    <row r="193" spans="2:6" ht="12.75" customHeight="1" x14ac:dyDescent="0.25">
      <c r="B193" s="100"/>
      <c r="E193" s="100"/>
      <c r="F193" s="100"/>
    </row>
    <row r="194" spans="2:6" ht="12.75" customHeight="1" x14ac:dyDescent="0.25">
      <c r="B194" s="100"/>
      <c r="E194" s="100"/>
      <c r="F194" s="100"/>
    </row>
    <row r="195" spans="2:6" ht="12.75" customHeight="1" x14ac:dyDescent="0.25">
      <c r="B195" s="100"/>
      <c r="E195" s="100"/>
      <c r="F195" s="100"/>
    </row>
    <row r="196" spans="2:6" ht="12.75" customHeight="1" x14ac:dyDescent="0.25">
      <c r="B196" s="100"/>
      <c r="E196" s="100"/>
      <c r="F196" s="100"/>
    </row>
    <row r="197" spans="2:6" ht="12.75" customHeight="1" x14ac:dyDescent="0.25">
      <c r="B197" s="100"/>
      <c r="E197" s="100"/>
      <c r="F197" s="100"/>
    </row>
    <row r="198" spans="2:6" ht="12.75" customHeight="1" x14ac:dyDescent="0.25">
      <c r="B198" s="100"/>
      <c r="E198" s="100"/>
      <c r="F198" s="100"/>
    </row>
    <row r="199" spans="2:6" ht="12.75" customHeight="1" x14ac:dyDescent="0.25">
      <c r="B199" s="100"/>
      <c r="E199" s="100"/>
      <c r="F199" s="100"/>
    </row>
    <row r="200" spans="2:6" ht="12.75" customHeight="1" x14ac:dyDescent="0.25">
      <c r="B200" s="100"/>
      <c r="E200" s="100"/>
      <c r="F200" s="100"/>
    </row>
    <row r="201" spans="2:6" ht="12.75" customHeight="1" x14ac:dyDescent="0.25">
      <c r="B201" s="100"/>
      <c r="E201" s="100"/>
      <c r="F201" s="100"/>
    </row>
    <row r="202" spans="2:6" ht="12.75" customHeight="1" x14ac:dyDescent="0.25">
      <c r="B202" s="100"/>
      <c r="E202" s="100"/>
      <c r="F202" s="100"/>
    </row>
    <row r="203" spans="2:6" ht="12.75" customHeight="1" x14ac:dyDescent="0.25">
      <c r="B203" s="100"/>
      <c r="E203" s="100"/>
      <c r="F203" s="100"/>
    </row>
    <row r="204" spans="2:6" ht="12.75" customHeight="1" x14ac:dyDescent="0.25">
      <c r="B204" s="100"/>
      <c r="E204" s="100"/>
      <c r="F204" s="100"/>
    </row>
    <row r="205" spans="2:6" ht="12.75" customHeight="1" x14ac:dyDescent="0.25">
      <c r="B205" s="100"/>
      <c r="E205" s="100"/>
      <c r="F205" s="100"/>
    </row>
    <row r="206" spans="2:6" ht="12.75" customHeight="1" x14ac:dyDescent="0.25">
      <c r="B206" s="100"/>
      <c r="E206" s="100"/>
      <c r="F206" s="100"/>
    </row>
    <row r="207" spans="2:6" ht="12.75" customHeight="1" x14ac:dyDescent="0.25">
      <c r="B207" s="100"/>
      <c r="E207" s="100"/>
      <c r="F207" s="100"/>
    </row>
    <row r="208" spans="2:6" ht="12.75" customHeight="1" x14ac:dyDescent="0.25">
      <c r="B208" s="100"/>
      <c r="E208" s="100"/>
      <c r="F208" s="100"/>
    </row>
    <row r="209" spans="2:6" ht="12.75" customHeight="1" x14ac:dyDescent="0.25">
      <c r="B209" s="100"/>
      <c r="E209" s="100"/>
      <c r="F209" s="100"/>
    </row>
    <row r="210" spans="2:6" ht="12.75" customHeight="1" x14ac:dyDescent="0.25">
      <c r="B210" s="100"/>
      <c r="E210" s="100"/>
      <c r="F210" s="100"/>
    </row>
    <row r="211" spans="2:6" ht="12.75" customHeight="1" x14ac:dyDescent="0.25">
      <c r="B211" s="100"/>
      <c r="E211" s="100"/>
      <c r="F211" s="100"/>
    </row>
    <row r="212" spans="2:6" ht="12.75" customHeight="1" x14ac:dyDescent="0.25">
      <c r="B212" s="100"/>
      <c r="E212" s="100"/>
      <c r="F212" s="100"/>
    </row>
    <row r="213" spans="2:6" ht="12.75" customHeight="1" x14ac:dyDescent="0.25">
      <c r="B213" s="100"/>
      <c r="E213" s="100"/>
      <c r="F213" s="100"/>
    </row>
    <row r="214" spans="2:6" ht="12.75" customHeight="1" x14ac:dyDescent="0.25">
      <c r="B214" s="100"/>
      <c r="E214" s="100"/>
      <c r="F214" s="100"/>
    </row>
    <row r="215" spans="2:6" ht="12.75" customHeight="1" x14ac:dyDescent="0.25">
      <c r="B215" s="100"/>
      <c r="E215" s="100"/>
      <c r="F215" s="100"/>
    </row>
    <row r="216" spans="2:6" ht="12.75" customHeight="1" x14ac:dyDescent="0.25">
      <c r="B216" s="100"/>
      <c r="E216" s="100"/>
      <c r="F216" s="100"/>
    </row>
    <row r="217" spans="2:6" ht="12.75" customHeight="1" x14ac:dyDescent="0.25">
      <c r="B217" s="100"/>
      <c r="E217" s="100"/>
      <c r="F217" s="100"/>
    </row>
    <row r="218" spans="2:6" ht="12.75" customHeight="1" x14ac:dyDescent="0.25">
      <c r="B218" s="100"/>
      <c r="E218" s="100"/>
      <c r="F218" s="100"/>
    </row>
    <row r="219" spans="2:6" ht="12.75" customHeight="1" x14ac:dyDescent="0.25">
      <c r="B219" s="100"/>
      <c r="E219" s="100"/>
      <c r="F219" s="100"/>
    </row>
    <row r="220" spans="2:6" ht="12.75" customHeight="1" x14ac:dyDescent="0.25">
      <c r="B220" s="100"/>
      <c r="E220" s="100"/>
      <c r="F220" s="100"/>
    </row>
    <row r="221" spans="2:6" ht="12.75" customHeight="1" x14ac:dyDescent="0.25">
      <c r="B221" s="100"/>
      <c r="E221" s="100"/>
      <c r="F221" s="100"/>
    </row>
    <row r="222" spans="2:6" ht="12.75" customHeight="1" x14ac:dyDescent="0.25">
      <c r="B222" s="100"/>
      <c r="E222" s="100"/>
      <c r="F222" s="100"/>
    </row>
    <row r="223" spans="2:6" ht="12.75" customHeight="1" x14ac:dyDescent="0.25">
      <c r="B223" s="100"/>
      <c r="E223" s="100"/>
      <c r="F223" s="100"/>
    </row>
    <row r="224" spans="2:6" ht="12.75" customHeight="1" x14ac:dyDescent="0.25">
      <c r="B224" s="100"/>
      <c r="E224" s="100"/>
      <c r="F224" s="100"/>
    </row>
    <row r="225" spans="2:6" ht="12.75" customHeight="1" x14ac:dyDescent="0.25">
      <c r="B225" s="100"/>
      <c r="E225" s="100"/>
      <c r="F225" s="100"/>
    </row>
    <row r="226" spans="2:6" ht="12.75" customHeight="1" x14ac:dyDescent="0.25">
      <c r="B226" s="100"/>
      <c r="E226" s="100"/>
      <c r="F226" s="100"/>
    </row>
    <row r="227" spans="2:6" ht="12.75" customHeight="1" x14ac:dyDescent="0.25">
      <c r="B227" s="100"/>
      <c r="E227" s="100"/>
      <c r="F227" s="100"/>
    </row>
    <row r="228" spans="2:6" ht="12.75" customHeight="1" x14ac:dyDescent="0.25">
      <c r="B228" s="100"/>
      <c r="E228" s="100"/>
      <c r="F228" s="100"/>
    </row>
    <row r="229" spans="2:6" ht="12.75" customHeight="1" x14ac:dyDescent="0.25">
      <c r="B229" s="100"/>
      <c r="E229" s="100"/>
      <c r="F229" s="100"/>
    </row>
    <row r="230" spans="2:6" ht="12.75" customHeight="1" x14ac:dyDescent="0.25">
      <c r="B230" s="100"/>
      <c r="E230" s="100"/>
      <c r="F230" s="100"/>
    </row>
    <row r="231" spans="2:6" ht="12.75" customHeight="1" x14ac:dyDescent="0.25">
      <c r="B231" s="100"/>
      <c r="E231" s="100"/>
      <c r="F231" s="100"/>
    </row>
    <row r="232" spans="2:6" ht="12.75" customHeight="1" x14ac:dyDescent="0.25">
      <c r="B232" s="100"/>
      <c r="E232" s="100"/>
      <c r="F232" s="100"/>
    </row>
    <row r="233" spans="2:6" ht="12.75" customHeight="1" x14ac:dyDescent="0.25">
      <c r="B233" s="100"/>
      <c r="E233" s="100"/>
      <c r="F233" s="100"/>
    </row>
    <row r="234" spans="2:6" ht="12.75" customHeight="1" x14ac:dyDescent="0.25">
      <c r="B234" s="100"/>
      <c r="E234" s="100"/>
      <c r="F234" s="100"/>
    </row>
    <row r="235" spans="2:6" ht="12.75" customHeight="1" x14ac:dyDescent="0.25">
      <c r="B235" s="100"/>
      <c r="E235" s="100"/>
      <c r="F235" s="100"/>
    </row>
    <row r="236" spans="2:6" ht="12.75" customHeight="1" x14ac:dyDescent="0.25">
      <c r="B236" s="100"/>
      <c r="E236" s="100"/>
      <c r="F236" s="100"/>
    </row>
    <row r="237" spans="2:6" ht="12.75" customHeight="1" x14ac:dyDescent="0.25">
      <c r="B237" s="100"/>
      <c r="E237" s="100"/>
      <c r="F237" s="100"/>
    </row>
    <row r="238" spans="2:6" ht="12.75" customHeight="1" x14ac:dyDescent="0.25">
      <c r="B238" s="100"/>
      <c r="E238" s="100"/>
      <c r="F238" s="100"/>
    </row>
    <row r="239" spans="2:6" ht="12.75" customHeight="1" x14ac:dyDescent="0.25">
      <c r="B239" s="100"/>
      <c r="E239" s="100"/>
      <c r="F239" s="100"/>
    </row>
    <row r="240" spans="2:6" ht="12.75" customHeight="1" x14ac:dyDescent="0.25">
      <c r="B240" s="100"/>
      <c r="E240" s="100"/>
      <c r="F240" s="100"/>
    </row>
    <row r="241" spans="2:6" ht="12.75" customHeight="1" x14ac:dyDescent="0.25">
      <c r="B241" s="100"/>
      <c r="E241" s="100"/>
      <c r="F241" s="100"/>
    </row>
    <row r="242" spans="2:6" ht="12.75" customHeight="1" x14ac:dyDescent="0.25">
      <c r="B242" s="100"/>
      <c r="E242" s="100"/>
      <c r="F242" s="100"/>
    </row>
    <row r="243" spans="2:6" ht="12.75" customHeight="1" x14ac:dyDescent="0.25">
      <c r="B243" s="100"/>
      <c r="E243" s="100"/>
      <c r="F243" s="100"/>
    </row>
    <row r="244" spans="2:6" ht="12.75" customHeight="1" x14ac:dyDescent="0.25">
      <c r="B244" s="100"/>
      <c r="E244" s="100"/>
      <c r="F244" s="100"/>
    </row>
    <row r="245" spans="2:6" ht="12.75" customHeight="1" x14ac:dyDescent="0.25">
      <c r="B245" s="100"/>
      <c r="E245" s="100"/>
      <c r="F245" s="100"/>
    </row>
    <row r="246" spans="2:6" ht="12.75" customHeight="1" x14ac:dyDescent="0.25">
      <c r="B246" s="100"/>
      <c r="E246" s="100"/>
      <c r="F246" s="100"/>
    </row>
    <row r="247" spans="2:6" ht="12.75" customHeight="1" x14ac:dyDescent="0.25">
      <c r="B247" s="100"/>
      <c r="E247" s="100"/>
      <c r="F247" s="100"/>
    </row>
    <row r="248" spans="2:6" ht="12.75" customHeight="1" x14ac:dyDescent="0.25">
      <c r="B248" s="100"/>
      <c r="E248" s="100"/>
      <c r="F248" s="100"/>
    </row>
    <row r="249" spans="2:6" ht="12.75" customHeight="1" x14ac:dyDescent="0.25">
      <c r="B249" s="100"/>
      <c r="E249" s="100"/>
      <c r="F249" s="100"/>
    </row>
    <row r="250" spans="2:6" ht="12.75" customHeight="1" x14ac:dyDescent="0.25">
      <c r="B250" s="100"/>
      <c r="E250" s="100"/>
      <c r="F250" s="100"/>
    </row>
    <row r="251" spans="2:6" ht="12.75" customHeight="1" x14ac:dyDescent="0.25">
      <c r="B251" s="100"/>
      <c r="E251" s="100"/>
      <c r="F251" s="100"/>
    </row>
    <row r="252" spans="2:6" ht="12.75" customHeight="1" x14ac:dyDescent="0.25">
      <c r="B252" s="100"/>
      <c r="E252" s="100"/>
      <c r="F252" s="100"/>
    </row>
    <row r="253" spans="2:6" ht="12.75" customHeight="1" x14ac:dyDescent="0.25">
      <c r="B253" s="100"/>
      <c r="E253" s="100"/>
      <c r="F253" s="100"/>
    </row>
    <row r="254" spans="2:6" ht="12.75" customHeight="1" x14ac:dyDescent="0.25">
      <c r="B254" s="100"/>
      <c r="E254" s="100"/>
      <c r="F254" s="100"/>
    </row>
    <row r="255" spans="2:6" ht="12.75" customHeight="1" x14ac:dyDescent="0.25">
      <c r="B255" s="100"/>
      <c r="E255" s="100"/>
      <c r="F255" s="100"/>
    </row>
    <row r="256" spans="2:6" ht="12.75" customHeight="1" x14ac:dyDescent="0.25">
      <c r="B256" s="100"/>
      <c r="E256" s="100"/>
      <c r="F256" s="100"/>
    </row>
    <row r="257" spans="2:6" ht="12.75" customHeight="1" x14ac:dyDescent="0.25">
      <c r="B257" s="100"/>
      <c r="E257" s="100"/>
      <c r="F257" s="100"/>
    </row>
    <row r="258" spans="2:6" ht="12.75" customHeight="1" x14ac:dyDescent="0.25">
      <c r="B258" s="100"/>
      <c r="E258" s="100"/>
      <c r="F258" s="100"/>
    </row>
    <row r="259" spans="2:6" ht="12.75" customHeight="1" x14ac:dyDescent="0.25">
      <c r="B259" s="100"/>
      <c r="E259" s="100"/>
      <c r="F259" s="100"/>
    </row>
    <row r="260" spans="2:6" ht="12.75" customHeight="1" x14ac:dyDescent="0.25">
      <c r="B260" s="100"/>
      <c r="E260" s="100"/>
      <c r="F260" s="100"/>
    </row>
    <row r="261" spans="2:6" ht="12.75" customHeight="1" x14ac:dyDescent="0.25">
      <c r="B261" s="100"/>
      <c r="E261" s="100"/>
      <c r="F261" s="100"/>
    </row>
    <row r="262" spans="2:6" ht="12.75" customHeight="1" x14ac:dyDescent="0.25">
      <c r="B262" s="100"/>
      <c r="E262" s="100"/>
      <c r="F262" s="100"/>
    </row>
    <row r="263" spans="2:6" ht="12.75" customHeight="1" x14ac:dyDescent="0.25">
      <c r="B263" s="100"/>
      <c r="E263" s="100"/>
      <c r="F263" s="100"/>
    </row>
    <row r="264" spans="2:6" ht="12.75" customHeight="1" x14ac:dyDescent="0.25">
      <c r="B264" s="100"/>
      <c r="E264" s="100"/>
      <c r="F264" s="100"/>
    </row>
    <row r="265" spans="2:6" ht="12.75" customHeight="1" x14ac:dyDescent="0.25">
      <c r="B265" s="100"/>
      <c r="E265" s="100"/>
      <c r="F265" s="100"/>
    </row>
    <row r="266" spans="2:6" ht="12.75" customHeight="1" x14ac:dyDescent="0.25">
      <c r="B266" s="100"/>
      <c r="E266" s="100"/>
      <c r="F266" s="100"/>
    </row>
    <row r="267" spans="2:6" ht="12.75" customHeight="1" x14ac:dyDescent="0.25">
      <c r="B267" s="100"/>
      <c r="E267" s="100"/>
      <c r="F267" s="100"/>
    </row>
    <row r="268" spans="2:6" ht="12.75" customHeight="1" x14ac:dyDescent="0.25">
      <c r="B268" s="100"/>
      <c r="E268" s="100"/>
      <c r="F268" s="100"/>
    </row>
    <row r="269" spans="2:6" ht="12.75" customHeight="1" x14ac:dyDescent="0.25">
      <c r="B269" s="100"/>
      <c r="E269" s="100"/>
      <c r="F269" s="100"/>
    </row>
    <row r="270" spans="2:6" ht="12.75" customHeight="1" x14ac:dyDescent="0.25">
      <c r="B270" s="100"/>
      <c r="E270" s="100"/>
      <c r="F270" s="100"/>
    </row>
    <row r="271" spans="2:6" ht="12.75" customHeight="1" x14ac:dyDescent="0.25">
      <c r="B271" s="100"/>
      <c r="E271" s="100"/>
      <c r="F271" s="100"/>
    </row>
    <row r="272" spans="2:6" ht="12.75" customHeight="1" x14ac:dyDescent="0.25">
      <c r="B272" s="100"/>
      <c r="E272" s="100"/>
      <c r="F272" s="100"/>
    </row>
    <row r="273" spans="2:6" ht="12.75" customHeight="1" x14ac:dyDescent="0.25">
      <c r="B273" s="100"/>
      <c r="E273" s="100"/>
      <c r="F273" s="100"/>
    </row>
    <row r="274" spans="2:6" ht="12.75" customHeight="1" x14ac:dyDescent="0.25">
      <c r="B274" s="100"/>
      <c r="E274" s="100"/>
      <c r="F274" s="100"/>
    </row>
    <row r="275" spans="2:6" ht="12.75" customHeight="1" x14ac:dyDescent="0.25">
      <c r="B275" s="100"/>
      <c r="E275" s="100"/>
      <c r="F275" s="100"/>
    </row>
    <row r="276" spans="2:6" ht="12.75" customHeight="1" x14ac:dyDescent="0.25">
      <c r="B276" s="100"/>
      <c r="E276" s="100"/>
      <c r="F276" s="100"/>
    </row>
    <row r="277" spans="2:6" ht="12.75" customHeight="1" x14ac:dyDescent="0.25">
      <c r="B277" s="100"/>
      <c r="E277" s="100"/>
      <c r="F277" s="100"/>
    </row>
    <row r="278" spans="2:6" ht="12.75" customHeight="1" x14ac:dyDescent="0.25">
      <c r="B278" s="100"/>
      <c r="E278" s="100"/>
      <c r="F278" s="100"/>
    </row>
    <row r="279" spans="2:6" ht="12.75" customHeight="1" x14ac:dyDescent="0.25">
      <c r="B279" s="100"/>
      <c r="E279" s="100"/>
      <c r="F279" s="100"/>
    </row>
    <row r="280" spans="2:6" ht="12.75" customHeight="1" x14ac:dyDescent="0.25">
      <c r="B280" s="100"/>
      <c r="E280" s="100"/>
      <c r="F280" s="100"/>
    </row>
    <row r="281" spans="2:6" ht="12.75" customHeight="1" x14ac:dyDescent="0.25">
      <c r="B281" s="100"/>
      <c r="E281" s="100"/>
      <c r="F281" s="100"/>
    </row>
    <row r="282" spans="2:6" ht="12.75" customHeight="1" x14ac:dyDescent="0.25">
      <c r="B282" s="100"/>
      <c r="E282" s="100"/>
      <c r="F282" s="100"/>
    </row>
    <row r="283" spans="2:6" ht="12.75" customHeight="1" x14ac:dyDescent="0.25">
      <c r="B283" s="100"/>
      <c r="E283" s="100"/>
      <c r="F283" s="100"/>
    </row>
    <row r="284" spans="2:6" ht="12.75" customHeight="1" x14ac:dyDescent="0.25">
      <c r="B284" s="100"/>
      <c r="E284" s="100"/>
      <c r="F284" s="100"/>
    </row>
    <row r="285" spans="2:6" ht="12.75" customHeight="1" x14ac:dyDescent="0.25">
      <c r="B285" s="100"/>
      <c r="E285" s="100"/>
      <c r="F285" s="100"/>
    </row>
    <row r="286" spans="2:6" ht="12.75" customHeight="1" x14ac:dyDescent="0.25">
      <c r="B286" s="100"/>
      <c r="E286" s="100"/>
      <c r="F286" s="100"/>
    </row>
    <row r="287" spans="2:6" ht="12.75" customHeight="1" x14ac:dyDescent="0.25">
      <c r="B287" s="100"/>
      <c r="E287" s="100"/>
      <c r="F287" s="100"/>
    </row>
    <row r="288" spans="2:6" ht="12.75" customHeight="1" x14ac:dyDescent="0.25">
      <c r="B288" s="100"/>
      <c r="E288" s="100"/>
      <c r="F288" s="100"/>
    </row>
    <row r="289" spans="2:6" ht="12.75" customHeight="1" x14ac:dyDescent="0.25">
      <c r="B289" s="100"/>
      <c r="E289" s="100"/>
      <c r="F289" s="100"/>
    </row>
    <row r="290" spans="2:6" ht="12.75" customHeight="1" x14ac:dyDescent="0.25">
      <c r="B290" s="100"/>
      <c r="E290" s="100"/>
      <c r="F290" s="100"/>
    </row>
    <row r="291" spans="2:6" ht="12.75" customHeight="1" x14ac:dyDescent="0.25">
      <c r="B291" s="100"/>
      <c r="E291" s="100"/>
      <c r="F291" s="100"/>
    </row>
    <row r="292" spans="2:6" ht="12.75" customHeight="1" x14ac:dyDescent="0.25">
      <c r="B292" s="100"/>
      <c r="E292" s="100"/>
      <c r="F292" s="100"/>
    </row>
    <row r="293" spans="2:6" ht="12.75" customHeight="1" x14ac:dyDescent="0.25">
      <c r="B293" s="100"/>
      <c r="E293" s="100"/>
      <c r="F293" s="100"/>
    </row>
    <row r="294" spans="2:6" ht="12.75" customHeight="1" x14ac:dyDescent="0.25">
      <c r="B294" s="100"/>
      <c r="E294" s="100"/>
      <c r="F294" s="100"/>
    </row>
    <row r="295" spans="2:6" ht="12.75" customHeight="1" x14ac:dyDescent="0.25">
      <c r="B295" s="100"/>
      <c r="E295" s="100"/>
      <c r="F295" s="100"/>
    </row>
    <row r="296" spans="2:6" ht="12.75" customHeight="1" x14ac:dyDescent="0.25">
      <c r="B296" s="100"/>
      <c r="E296" s="100"/>
      <c r="F296" s="100"/>
    </row>
    <row r="297" spans="2:6" ht="12.75" customHeight="1" x14ac:dyDescent="0.25">
      <c r="B297" s="100"/>
      <c r="E297" s="100"/>
      <c r="F297" s="100"/>
    </row>
    <row r="298" spans="2:6" ht="12.75" customHeight="1" x14ac:dyDescent="0.25">
      <c r="B298" s="100"/>
      <c r="E298" s="100"/>
      <c r="F298" s="100"/>
    </row>
    <row r="299" spans="2:6" ht="12.75" customHeight="1" x14ac:dyDescent="0.25">
      <c r="B299" s="100"/>
      <c r="E299" s="100"/>
      <c r="F299" s="100"/>
    </row>
    <row r="300" spans="2:6" ht="12.75" customHeight="1" x14ac:dyDescent="0.25">
      <c r="B300" s="100"/>
      <c r="E300" s="100"/>
      <c r="F300" s="100"/>
    </row>
    <row r="301" spans="2:6" ht="12.75" customHeight="1" x14ac:dyDescent="0.25">
      <c r="B301" s="100"/>
      <c r="E301" s="100"/>
      <c r="F301" s="100"/>
    </row>
    <row r="302" spans="2:6" ht="12.75" customHeight="1" x14ac:dyDescent="0.25">
      <c r="B302" s="100"/>
      <c r="E302" s="100"/>
      <c r="F302" s="100"/>
    </row>
    <row r="303" spans="2:6" ht="12.75" customHeight="1" x14ac:dyDescent="0.25">
      <c r="B303" s="100"/>
      <c r="E303" s="100"/>
      <c r="F303" s="100"/>
    </row>
    <row r="304" spans="2:6" ht="12.75" customHeight="1" x14ac:dyDescent="0.25">
      <c r="B304" s="100"/>
      <c r="E304" s="100"/>
      <c r="F304" s="100"/>
    </row>
    <row r="305" spans="2:6" ht="12.75" customHeight="1" x14ac:dyDescent="0.25">
      <c r="B305" s="100"/>
      <c r="E305" s="100"/>
      <c r="F305" s="100"/>
    </row>
    <row r="306" spans="2:6" ht="12.75" customHeight="1" x14ac:dyDescent="0.25">
      <c r="B306" s="100"/>
      <c r="E306" s="100"/>
      <c r="F306" s="100"/>
    </row>
    <row r="307" spans="2:6" ht="12.75" customHeight="1" x14ac:dyDescent="0.25">
      <c r="B307" s="100"/>
      <c r="E307" s="100"/>
      <c r="F307" s="100"/>
    </row>
    <row r="308" spans="2:6" ht="12.75" customHeight="1" x14ac:dyDescent="0.25">
      <c r="B308" s="100"/>
      <c r="E308" s="100"/>
      <c r="F308" s="100"/>
    </row>
    <row r="309" spans="2:6" ht="12.75" customHeight="1" x14ac:dyDescent="0.25">
      <c r="B309" s="100"/>
      <c r="E309" s="100"/>
      <c r="F309" s="100"/>
    </row>
    <row r="310" spans="2:6" ht="12.75" customHeight="1" x14ac:dyDescent="0.25">
      <c r="B310" s="100"/>
      <c r="E310" s="100"/>
      <c r="F310" s="100"/>
    </row>
    <row r="311" spans="2:6" ht="12.75" customHeight="1" x14ac:dyDescent="0.25">
      <c r="B311" s="100"/>
      <c r="E311" s="100"/>
      <c r="F311" s="100"/>
    </row>
    <row r="312" spans="2:6" ht="12.75" customHeight="1" x14ac:dyDescent="0.25">
      <c r="B312" s="100"/>
      <c r="E312" s="100"/>
      <c r="F312" s="100"/>
    </row>
    <row r="313" spans="2:6" ht="12.75" customHeight="1" x14ac:dyDescent="0.25">
      <c r="B313" s="100"/>
      <c r="E313" s="100"/>
      <c r="F313" s="100"/>
    </row>
    <row r="314" spans="2:6" ht="12.75" customHeight="1" x14ac:dyDescent="0.25">
      <c r="B314" s="100"/>
      <c r="E314" s="100"/>
      <c r="F314" s="100"/>
    </row>
    <row r="315" spans="2:6" ht="12.75" customHeight="1" x14ac:dyDescent="0.25">
      <c r="B315" s="100"/>
      <c r="E315" s="100"/>
      <c r="F315" s="100"/>
    </row>
    <row r="316" spans="2:6" ht="12.75" customHeight="1" x14ac:dyDescent="0.25">
      <c r="B316" s="100"/>
      <c r="E316" s="100"/>
      <c r="F316" s="100"/>
    </row>
    <row r="317" spans="2:6" ht="12.75" customHeight="1" x14ac:dyDescent="0.25">
      <c r="B317" s="100"/>
      <c r="E317" s="100"/>
      <c r="F317" s="100"/>
    </row>
    <row r="318" spans="2:6" ht="12.75" customHeight="1" x14ac:dyDescent="0.25">
      <c r="B318" s="100"/>
      <c r="E318" s="100"/>
      <c r="F318" s="100"/>
    </row>
    <row r="319" spans="2:6" ht="12.75" customHeight="1" x14ac:dyDescent="0.25">
      <c r="B319" s="100"/>
      <c r="E319" s="100"/>
      <c r="F319" s="100"/>
    </row>
    <row r="320" spans="2:6" ht="12.75" customHeight="1" x14ac:dyDescent="0.25">
      <c r="B320" s="100"/>
      <c r="E320" s="100"/>
      <c r="F320" s="100"/>
    </row>
    <row r="321" spans="2:6" ht="12.75" customHeight="1" x14ac:dyDescent="0.25">
      <c r="B321" s="100"/>
      <c r="E321" s="100"/>
      <c r="F321" s="100"/>
    </row>
    <row r="322" spans="2:6" ht="12.75" customHeight="1" x14ac:dyDescent="0.25">
      <c r="B322" s="100"/>
      <c r="E322" s="100"/>
      <c r="F322" s="100"/>
    </row>
    <row r="323" spans="2:6" ht="12.75" customHeight="1" x14ac:dyDescent="0.25">
      <c r="B323" s="100"/>
      <c r="E323" s="100"/>
      <c r="F323" s="100"/>
    </row>
    <row r="324" spans="2:6" ht="12.75" customHeight="1" x14ac:dyDescent="0.25">
      <c r="B324" s="100"/>
      <c r="E324" s="100"/>
      <c r="F324" s="100"/>
    </row>
    <row r="325" spans="2:6" ht="12.75" customHeight="1" x14ac:dyDescent="0.25">
      <c r="B325" s="100"/>
      <c r="E325" s="100"/>
      <c r="F325" s="100"/>
    </row>
    <row r="326" spans="2:6" ht="12.75" customHeight="1" x14ac:dyDescent="0.25">
      <c r="B326" s="100"/>
      <c r="E326" s="100"/>
      <c r="F326" s="100"/>
    </row>
    <row r="327" spans="2:6" ht="12.75" customHeight="1" x14ac:dyDescent="0.25">
      <c r="B327" s="100"/>
      <c r="E327" s="100"/>
      <c r="F327" s="100"/>
    </row>
    <row r="328" spans="2:6" ht="12.75" customHeight="1" x14ac:dyDescent="0.25">
      <c r="B328" s="100"/>
      <c r="E328" s="100"/>
      <c r="F328" s="100"/>
    </row>
    <row r="329" spans="2:6" ht="12.75" customHeight="1" x14ac:dyDescent="0.25">
      <c r="B329" s="100"/>
      <c r="E329" s="100"/>
      <c r="F329" s="100"/>
    </row>
    <row r="330" spans="2:6" ht="12.75" customHeight="1" x14ac:dyDescent="0.25">
      <c r="B330" s="100"/>
      <c r="E330" s="100"/>
      <c r="F330" s="100"/>
    </row>
    <row r="331" spans="2:6" ht="12.75" customHeight="1" x14ac:dyDescent="0.25">
      <c r="B331" s="100"/>
      <c r="E331" s="100"/>
      <c r="F331" s="100"/>
    </row>
    <row r="332" spans="2:6" ht="12.75" customHeight="1" x14ac:dyDescent="0.25">
      <c r="B332" s="100"/>
      <c r="E332" s="100"/>
      <c r="F332" s="100"/>
    </row>
    <row r="333" spans="2:6" ht="12.75" customHeight="1" x14ac:dyDescent="0.25">
      <c r="B333" s="100"/>
      <c r="E333" s="100"/>
      <c r="F333" s="100"/>
    </row>
    <row r="334" spans="2:6" ht="12.75" customHeight="1" x14ac:dyDescent="0.25">
      <c r="B334" s="100"/>
      <c r="E334" s="100"/>
      <c r="F334" s="100"/>
    </row>
    <row r="335" spans="2:6" ht="12.75" customHeight="1" x14ac:dyDescent="0.25">
      <c r="B335" s="100"/>
      <c r="E335" s="100"/>
      <c r="F335" s="100"/>
    </row>
    <row r="336" spans="2:6" ht="12.75" customHeight="1" x14ac:dyDescent="0.25">
      <c r="B336" s="100"/>
      <c r="E336" s="100"/>
      <c r="F336" s="100"/>
    </row>
    <row r="337" spans="2:6" ht="12.75" customHeight="1" x14ac:dyDescent="0.25">
      <c r="B337" s="100"/>
      <c r="E337" s="100"/>
      <c r="F337" s="100"/>
    </row>
    <row r="338" spans="2:6" ht="12.75" customHeight="1" x14ac:dyDescent="0.25">
      <c r="B338" s="100"/>
      <c r="E338" s="100"/>
      <c r="F338" s="100"/>
    </row>
    <row r="339" spans="2:6" ht="12.75" customHeight="1" x14ac:dyDescent="0.25">
      <c r="B339" s="100"/>
      <c r="E339" s="100"/>
      <c r="F339" s="100"/>
    </row>
    <row r="340" spans="2:6" ht="12.75" customHeight="1" x14ac:dyDescent="0.25">
      <c r="B340" s="100"/>
      <c r="E340" s="100"/>
      <c r="F340" s="100"/>
    </row>
    <row r="341" spans="2:6" ht="12.75" customHeight="1" x14ac:dyDescent="0.25">
      <c r="B341" s="100"/>
      <c r="E341" s="100"/>
      <c r="F341" s="100"/>
    </row>
    <row r="342" spans="2:6" ht="12.75" customHeight="1" x14ac:dyDescent="0.25">
      <c r="B342" s="100"/>
      <c r="E342" s="100"/>
      <c r="F342" s="100"/>
    </row>
    <row r="343" spans="2:6" ht="12.75" customHeight="1" x14ac:dyDescent="0.25">
      <c r="B343" s="100"/>
      <c r="E343" s="100"/>
      <c r="F343" s="100"/>
    </row>
    <row r="344" spans="2:6" ht="12.75" customHeight="1" x14ac:dyDescent="0.25">
      <c r="B344" s="100"/>
      <c r="E344" s="100"/>
      <c r="F344" s="100"/>
    </row>
    <row r="345" spans="2:6" ht="12.75" customHeight="1" x14ac:dyDescent="0.25">
      <c r="B345" s="100"/>
      <c r="E345" s="100"/>
      <c r="F345" s="100"/>
    </row>
    <row r="346" spans="2:6" ht="12.75" customHeight="1" x14ac:dyDescent="0.25">
      <c r="B346" s="100"/>
      <c r="E346" s="100"/>
      <c r="F346" s="100"/>
    </row>
    <row r="347" spans="2:6" ht="12.75" customHeight="1" x14ac:dyDescent="0.25">
      <c r="B347" s="100"/>
      <c r="E347" s="100"/>
      <c r="F347" s="100"/>
    </row>
    <row r="348" spans="2:6" ht="12.75" customHeight="1" x14ac:dyDescent="0.25">
      <c r="B348" s="100"/>
      <c r="E348" s="100"/>
      <c r="F348" s="100"/>
    </row>
    <row r="349" spans="2:6" ht="12.75" customHeight="1" x14ac:dyDescent="0.25">
      <c r="B349" s="100"/>
      <c r="E349" s="100"/>
      <c r="F349" s="100"/>
    </row>
    <row r="350" spans="2:6" ht="12.75" customHeight="1" x14ac:dyDescent="0.25">
      <c r="B350" s="100"/>
      <c r="E350" s="100"/>
      <c r="F350" s="100"/>
    </row>
    <row r="351" spans="2:6" ht="12.75" customHeight="1" x14ac:dyDescent="0.25">
      <c r="B351" s="100"/>
      <c r="E351" s="100"/>
      <c r="F351" s="100"/>
    </row>
    <row r="352" spans="2:6" ht="12.75" customHeight="1" x14ac:dyDescent="0.25">
      <c r="B352" s="100"/>
      <c r="E352" s="100"/>
      <c r="F352" s="100"/>
    </row>
    <row r="353" spans="2:6" ht="12.75" customHeight="1" x14ac:dyDescent="0.25">
      <c r="B353" s="100"/>
      <c r="E353" s="100"/>
      <c r="F353" s="100"/>
    </row>
    <row r="354" spans="2:6" ht="12.75" customHeight="1" x14ac:dyDescent="0.25">
      <c r="B354" s="100"/>
      <c r="E354" s="100"/>
      <c r="F354" s="100"/>
    </row>
    <row r="355" spans="2:6" ht="12.75" customHeight="1" x14ac:dyDescent="0.25">
      <c r="B355" s="100"/>
      <c r="E355" s="100"/>
      <c r="F355" s="100"/>
    </row>
    <row r="356" spans="2:6" ht="12.75" customHeight="1" x14ac:dyDescent="0.25">
      <c r="B356" s="100"/>
      <c r="E356" s="100"/>
      <c r="F356" s="100"/>
    </row>
    <row r="357" spans="2:6" ht="12.75" customHeight="1" x14ac:dyDescent="0.25">
      <c r="B357" s="100"/>
      <c r="E357" s="100"/>
      <c r="F357" s="100"/>
    </row>
    <row r="358" spans="2:6" ht="12.75" customHeight="1" x14ac:dyDescent="0.25">
      <c r="B358" s="100"/>
      <c r="E358" s="100"/>
      <c r="F358" s="100"/>
    </row>
    <row r="359" spans="2:6" ht="12.75" customHeight="1" x14ac:dyDescent="0.25">
      <c r="B359" s="100"/>
      <c r="E359" s="100"/>
      <c r="F359" s="100"/>
    </row>
    <row r="360" spans="2:6" ht="12.75" customHeight="1" x14ac:dyDescent="0.25">
      <c r="B360" s="100"/>
      <c r="E360" s="100"/>
      <c r="F360" s="100"/>
    </row>
    <row r="361" spans="2:6" ht="12.75" customHeight="1" x14ac:dyDescent="0.25">
      <c r="B361" s="100"/>
      <c r="E361" s="100"/>
      <c r="F361" s="100"/>
    </row>
    <row r="362" spans="2:6" ht="12.75" customHeight="1" x14ac:dyDescent="0.25">
      <c r="B362" s="100"/>
      <c r="E362" s="100"/>
      <c r="F362" s="100"/>
    </row>
    <row r="363" spans="2:6" ht="12.75" customHeight="1" x14ac:dyDescent="0.25">
      <c r="B363" s="100"/>
      <c r="E363" s="100"/>
      <c r="F363" s="100"/>
    </row>
    <row r="364" spans="2:6" ht="12.75" customHeight="1" x14ac:dyDescent="0.25">
      <c r="B364" s="100"/>
      <c r="E364" s="100"/>
      <c r="F364" s="100"/>
    </row>
    <row r="365" spans="2:6" ht="12.75" customHeight="1" x14ac:dyDescent="0.25">
      <c r="B365" s="100"/>
      <c r="E365" s="100"/>
      <c r="F365" s="100"/>
    </row>
    <row r="366" spans="2:6" ht="12.75" customHeight="1" x14ac:dyDescent="0.25">
      <c r="B366" s="100"/>
      <c r="E366" s="100"/>
      <c r="F366" s="100"/>
    </row>
    <row r="367" spans="2:6" ht="12.75" customHeight="1" x14ac:dyDescent="0.25">
      <c r="B367" s="100"/>
      <c r="E367" s="100"/>
      <c r="F367" s="100"/>
    </row>
    <row r="368" spans="2:6" ht="12.75" customHeight="1" x14ac:dyDescent="0.25">
      <c r="B368" s="100"/>
      <c r="E368" s="100"/>
      <c r="F368" s="100"/>
    </row>
    <row r="369" spans="2:6" ht="12.75" customHeight="1" x14ac:dyDescent="0.25">
      <c r="B369" s="100"/>
      <c r="E369" s="100"/>
      <c r="F369" s="100"/>
    </row>
    <row r="370" spans="2:6" ht="12.75" customHeight="1" x14ac:dyDescent="0.25">
      <c r="B370" s="100"/>
      <c r="E370" s="100"/>
      <c r="F370" s="100"/>
    </row>
    <row r="371" spans="2:6" ht="12.75" customHeight="1" x14ac:dyDescent="0.25">
      <c r="B371" s="100"/>
      <c r="E371" s="100"/>
      <c r="F371" s="100"/>
    </row>
    <row r="372" spans="2:6" ht="12.75" customHeight="1" x14ac:dyDescent="0.25">
      <c r="B372" s="100"/>
      <c r="E372" s="100"/>
      <c r="F372" s="100"/>
    </row>
    <row r="373" spans="2:6" ht="12.75" customHeight="1" x14ac:dyDescent="0.25">
      <c r="B373" s="100"/>
      <c r="E373" s="100"/>
      <c r="F373" s="100"/>
    </row>
    <row r="374" spans="2:6" ht="12.75" customHeight="1" x14ac:dyDescent="0.25">
      <c r="B374" s="100"/>
      <c r="E374" s="100"/>
      <c r="F374" s="100"/>
    </row>
    <row r="375" spans="2:6" ht="12.75" customHeight="1" x14ac:dyDescent="0.25">
      <c r="B375" s="100"/>
      <c r="E375" s="100"/>
      <c r="F375" s="100"/>
    </row>
    <row r="376" spans="2:6" ht="12.75" customHeight="1" x14ac:dyDescent="0.25">
      <c r="B376" s="100"/>
      <c r="E376" s="100"/>
      <c r="F376" s="100"/>
    </row>
    <row r="377" spans="2:6" ht="12.75" customHeight="1" x14ac:dyDescent="0.25">
      <c r="B377" s="100"/>
      <c r="E377" s="100"/>
      <c r="F377" s="100"/>
    </row>
    <row r="378" spans="2:6" ht="12.75" customHeight="1" x14ac:dyDescent="0.25">
      <c r="B378" s="100"/>
      <c r="E378" s="100"/>
      <c r="F378" s="100"/>
    </row>
    <row r="379" spans="2:6" ht="12.75" customHeight="1" x14ac:dyDescent="0.25">
      <c r="B379" s="100"/>
      <c r="E379" s="100"/>
      <c r="F379" s="100"/>
    </row>
    <row r="380" spans="2:6" ht="12.75" customHeight="1" x14ac:dyDescent="0.25">
      <c r="B380" s="100"/>
      <c r="E380" s="100"/>
      <c r="F380" s="100"/>
    </row>
    <row r="381" spans="2:6" ht="12.75" customHeight="1" x14ac:dyDescent="0.25">
      <c r="B381" s="100"/>
      <c r="E381" s="100"/>
      <c r="F381" s="100"/>
    </row>
    <row r="382" spans="2:6" ht="12.75" customHeight="1" x14ac:dyDescent="0.25">
      <c r="B382" s="100"/>
      <c r="E382" s="100"/>
      <c r="F382" s="100"/>
    </row>
    <row r="383" spans="2:6" ht="12.75" customHeight="1" x14ac:dyDescent="0.25">
      <c r="B383" s="100"/>
      <c r="E383" s="100"/>
      <c r="F383" s="100"/>
    </row>
    <row r="384" spans="2:6" ht="12.75" customHeight="1" x14ac:dyDescent="0.25">
      <c r="B384" s="100"/>
      <c r="E384" s="100"/>
      <c r="F384" s="100"/>
    </row>
    <row r="385" spans="2:6" ht="12.75" customHeight="1" x14ac:dyDescent="0.25">
      <c r="B385" s="100"/>
      <c r="E385" s="100"/>
      <c r="F385" s="100"/>
    </row>
    <row r="386" spans="2:6" ht="12.75" customHeight="1" x14ac:dyDescent="0.25">
      <c r="B386" s="100"/>
      <c r="E386" s="100"/>
      <c r="F386" s="100"/>
    </row>
    <row r="387" spans="2:6" ht="12.75" customHeight="1" x14ac:dyDescent="0.25">
      <c r="B387" s="100"/>
      <c r="E387" s="100"/>
      <c r="F387" s="100"/>
    </row>
    <row r="388" spans="2:6" ht="12.75" customHeight="1" x14ac:dyDescent="0.25">
      <c r="B388" s="100"/>
      <c r="E388" s="100"/>
      <c r="F388" s="100"/>
    </row>
    <row r="389" spans="2:6" ht="12.75" customHeight="1" x14ac:dyDescent="0.25">
      <c r="B389" s="100"/>
      <c r="E389" s="100"/>
      <c r="F389" s="100"/>
    </row>
    <row r="390" spans="2:6" ht="12.75" customHeight="1" x14ac:dyDescent="0.25">
      <c r="B390" s="100"/>
      <c r="E390" s="100"/>
      <c r="F390" s="100"/>
    </row>
    <row r="391" spans="2:6" ht="12.75" customHeight="1" x14ac:dyDescent="0.25">
      <c r="B391" s="100"/>
      <c r="E391" s="100"/>
      <c r="F391" s="100"/>
    </row>
    <row r="392" spans="2:6" ht="12.75" customHeight="1" x14ac:dyDescent="0.25">
      <c r="B392" s="100"/>
      <c r="E392" s="100"/>
      <c r="F392" s="100"/>
    </row>
    <row r="393" spans="2:6" ht="12.75" customHeight="1" x14ac:dyDescent="0.25">
      <c r="B393" s="100"/>
      <c r="E393" s="100"/>
      <c r="F393" s="100"/>
    </row>
    <row r="394" spans="2:6" ht="12.75" customHeight="1" x14ac:dyDescent="0.25">
      <c r="B394" s="100"/>
      <c r="E394" s="100"/>
      <c r="F394" s="100"/>
    </row>
    <row r="395" spans="2:6" ht="12.75" customHeight="1" x14ac:dyDescent="0.25">
      <c r="B395" s="100"/>
      <c r="E395" s="100"/>
      <c r="F395" s="100"/>
    </row>
    <row r="396" spans="2:6" ht="12.75" customHeight="1" x14ac:dyDescent="0.25">
      <c r="B396" s="100"/>
      <c r="E396" s="100"/>
      <c r="F396" s="100"/>
    </row>
    <row r="397" spans="2:6" ht="12.75" customHeight="1" x14ac:dyDescent="0.25">
      <c r="B397" s="100"/>
      <c r="E397" s="100"/>
      <c r="F397" s="100"/>
    </row>
    <row r="398" spans="2:6" ht="12.75" customHeight="1" x14ac:dyDescent="0.25">
      <c r="B398" s="100"/>
      <c r="E398" s="100"/>
      <c r="F398" s="100"/>
    </row>
    <row r="399" spans="2:6" ht="12.75" customHeight="1" x14ac:dyDescent="0.25">
      <c r="B399" s="100"/>
      <c r="E399" s="100"/>
      <c r="F399" s="100"/>
    </row>
    <row r="400" spans="2:6" ht="12.75" customHeight="1" x14ac:dyDescent="0.25">
      <c r="B400" s="100"/>
      <c r="E400" s="100"/>
      <c r="F400" s="100"/>
    </row>
    <row r="401" spans="2:6" ht="12.75" customHeight="1" x14ac:dyDescent="0.25">
      <c r="B401" s="100"/>
      <c r="E401" s="100"/>
      <c r="F401" s="100"/>
    </row>
    <row r="402" spans="2:6" ht="12.75" customHeight="1" x14ac:dyDescent="0.25">
      <c r="B402" s="100"/>
      <c r="E402" s="100"/>
      <c r="F402" s="100"/>
    </row>
    <row r="403" spans="2:6" ht="12.75" customHeight="1" x14ac:dyDescent="0.25">
      <c r="B403" s="100"/>
      <c r="E403" s="100"/>
      <c r="F403" s="100"/>
    </row>
    <row r="404" spans="2:6" ht="12.75" customHeight="1" x14ac:dyDescent="0.25">
      <c r="B404" s="100"/>
      <c r="E404" s="100"/>
      <c r="F404" s="100"/>
    </row>
    <row r="405" spans="2:6" ht="12.75" customHeight="1" x14ac:dyDescent="0.25">
      <c r="B405" s="100"/>
      <c r="E405" s="100"/>
      <c r="F405" s="100"/>
    </row>
    <row r="406" spans="2:6" ht="12.75" customHeight="1" x14ac:dyDescent="0.25">
      <c r="B406" s="100"/>
      <c r="E406" s="100"/>
      <c r="F406" s="100"/>
    </row>
    <row r="407" spans="2:6" ht="12.75" customHeight="1" x14ac:dyDescent="0.25">
      <c r="B407" s="100"/>
      <c r="E407" s="100"/>
      <c r="F407" s="100"/>
    </row>
    <row r="408" spans="2:6" ht="12.75" customHeight="1" x14ac:dyDescent="0.25">
      <c r="B408" s="100"/>
      <c r="E408" s="100"/>
      <c r="F408" s="100"/>
    </row>
    <row r="409" spans="2:6" ht="12.75" customHeight="1" x14ac:dyDescent="0.25">
      <c r="B409" s="100"/>
      <c r="E409" s="100"/>
      <c r="F409" s="100"/>
    </row>
    <row r="410" spans="2:6" ht="12.75" customHeight="1" x14ac:dyDescent="0.25">
      <c r="B410" s="100"/>
      <c r="E410" s="100"/>
      <c r="F410" s="100"/>
    </row>
    <row r="411" spans="2:6" ht="12.75" customHeight="1" x14ac:dyDescent="0.25">
      <c r="B411" s="100"/>
      <c r="E411" s="100"/>
      <c r="F411" s="100"/>
    </row>
    <row r="412" spans="2:6" ht="12.75" customHeight="1" x14ac:dyDescent="0.25">
      <c r="B412" s="100"/>
      <c r="E412" s="100"/>
      <c r="F412" s="100"/>
    </row>
    <row r="413" spans="2:6" ht="12.75" customHeight="1" x14ac:dyDescent="0.25">
      <c r="B413" s="100"/>
      <c r="E413" s="100"/>
      <c r="F413" s="100"/>
    </row>
    <row r="414" spans="2:6" ht="12.75" customHeight="1" x14ac:dyDescent="0.25">
      <c r="B414" s="100"/>
      <c r="E414" s="100"/>
      <c r="F414" s="100"/>
    </row>
    <row r="415" spans="2:6" ht="12.75" customHeight="1" x14ac:dyDescent="0.25">
      <c r="B415" s="100"/>
      <c r="E415" s="100"/>
      <c r="F415" s="100"/>
    </row>
    <row r="416" spans="2:6" ht="12.75" customHeight="1" x14ac:dyDescent="0.25">
      <c r="B416" s="100"/>
      <c r="E416" s="100"/>
      <c r="F416" s="100"/>
    </row>
    <row r="417" spans="2:6" ht="12.75" customHeight="1" x14ac:dyDescent="0.25">
      <c r="B417" s="100"/>
      <c r="E417" s="100"/>
      <c r="F417" s="100"/>
    </row>
    <row r="418" spans="2:6" ht="12.75" customHeight="1" x14ac:dyDescent="0.25">
      <c r="B418" s="100"/>
      <c r="E418" s="100"/>
      <c r="F418" s="100"/>
    </row>
    <row r="419" spans="2:6" ht="12.75" customHeight="1" x14ac:dyDescent="0.25">
      <c r="B419" s="100"/>
      <c r="E419" s="100"/>
      <c r="F419" s="100"/>
    </row>
    <row r="420" spans="2:6" ht="12.75" customHeight="1" x14ac:dyDescent="0.25">
      <c r="B420" s="100"/>
      <c r="E420" s="100"/>
      <c r="F420" s="100"/>
    </row>
    <row r="421" spans="2:6" ht="12.75" customHeight="1" x14ac:dyDescent="0.25">
      <c r="B421" s="100"/>
      <c r="E421" s="100"/>
      <c r="F421" s="100"/>
    </row>
    <row r="422" spans="2:6" ht="12.75" customHeight="1" x14ac:dyDescent="0.25">
      <c r="B422" s="100"/>
      <c r="E422" s="100"/>
      <c r="F422" s="100"/>
    </row>
    <row r="423" spans="2:6" ht="12.75" customHeight="1" x14ac:dyDescent="0.25">
      <c r="B423" s="100"/>
      <c r="E423" s="100"/>
      <c r="F423" s="100"/>
    </row>
    <row r="424" spans="2:6" ht="12.75" customHeight="1" x14ac:dyDescent="0.25">
      <c r="B424" s="100"/>
      <c r="E424" s="100"/>
      <c r="F424" s="100"/>
    </row>
    <row r="425" spans="2:6" ht="12.75" customHeight="1" x14ac:dyDescent="0.25">
      <c r="B425" s="100"/>
      <c r="E425" s="100"/>
      <c r="F425" s="100"/>
    </row>
    <row r="426" spans="2:6" ht="12.75" customHeight="1" x14ac:dyDescent="0.25">
      <c r="B426" s="100"/>
      <c r="E426" s="100"/>
      <c r="F426" s="100"/>
    </row>
    <row r="427" spans="2:6" ht="12.75" customHeight="1" x14ac:dyDescent="0.25">
      <c r="B427" s="100"/>
      <c r="E427" s="100"/>
      <c r="F427" s="100"/>
    </row>
    <row r="428" spans="2:6" ht="12.75" customHeight="1" x14ac:dyDescent="0.25">
      <c r="B428" s="100"/>
      <c r="E428" s="100"/>
      <c r="F428" s="100"/>
    </row>
    <row r="429" spans="2:6" ht="12.75" customHeight="1" x14ac:dyDescent="0.25">
      <c r="B429" s="100"/>
      <c r="E429" s="100"/>
      <c r="F429" s="100"/>
    </row>
    <row r="430" spans="2:6" ht="12.75" customHeight="1" x14ac:dyDescent="0.25">
      <c r="B430" s="100"/>
      <c r="E430" s="100"/>
      <c r="F430" s="100"/>
    </row>
    <row r="431" spans="2:6" ht="12.75" customHeight="1" x14ac:dyDescent="0.25">
      <c r="B431" s="100"/>
      <c r="E431" s="100"/>
      <c r="F431" s="100"/>
    </row>
    <row r="432" spans="2:6" ht="12.75" customHeight="1" x14ac:dyDescent="0.25">
      <c r="B432" s="100"/>
      <c r="E432" s="100"/>
      <c r="F432" s="100"/>
    </row>
    <row r="433" spans="2:6" ht="12.75" customHeight="1" x14ac:dyDescent="0.25">
      <c r="B433" s="100"/>
      <c r="E433" s="100"/>
      <c r="F433" s="100"/>
    </row>
    <row r="434" spans="2:6" ht="12.75" customHeight="1" x14ac:dyDescent="0.25">
      <c r="B434" s="100"/>
      <c r="E434" s="100"/>
      <c r="F434" s="100"/>
    </row>
    <row r="435" spans="2:6" ht="12.75" customHeight="1" x14ac:dyDescent="0.25">
      <c r="B435" s="100"/>
      <c r="E435" s="100"/>
      <c r="F435" s="100"/>
    </row>
    <row r="436" spans="2:6" ht="12.75" customHeight="1" x14ac:dyDescent="0.25">
      <c r="B436" s="100"/>
      <c r="E436" s="100"/>
      <c r="F436" s="100"/>
    </row>
    <row r="437" spans="2:6" ht="12.75" customHeight="1" x14ac:dyDescent="0.25">
      <c r="B437" s="100"/>
      <c r="E437" s="100"/>
      <c r="F437" s="100"/>
    </row>
    <row r="438" spans="2:6" ht="12.75" customHeight="1" x14ac:dyDescent="0.25">
      <c r="B438" s="100"/>
      <c r="E438" s="100"/>
      <c r="F438" s="100"/>
    </row>
    <row r="439" spans="2:6" ht="12.75" customHeight="1" x14ac:dyDescent="0.25">
      <c r="B439" s="100"/>
      <c r="E439" s="100"/>
      <c r="F439" s="100"/>
    </row>
    <row r="440" spans="2:6" ht="12.75" customHeight="1" x14ac:dyDescent="0.25">
      <c r="B440" s="100"/>
      <c r="E440" s="100"/>
      <c r="F440" s="100"/>
    </row>
    <row r="441" spans="2:6" ht="12.75" customHeight="1" x14ac:dyDescent="0.25">
      <c r="B441" s="100"/>
      <c r="E441" s="100"/>
      <c r="F441" s="100"/>
    </row>
    <row r="442" spans="2:6" ht="12.75" customHeight="1" x14ac:dyDescent="0.25">
      <c r="B442" s="100"/>
      <c r="E442" s="100"/>
      <c r="F442" s="100"/>
    </row>
    <row r="443" spans="2:6" ht="12.75" customHeight="1" x14ac:dyDescent="0.25">
      <c r="B443" s="100"/>
      <c r="E443" s="100"/>
      <c r="F443" s="100"/>
    </row>
    <row r="444" spans="2:6" ht="12.75" customHeight="1" x14ac:dyDescent="0.25">
      <c r="B444" s="100"/>
      <c r="E444" s="100"/>
      <c r="F444" s="100"/>
    </row>
    <row r="445" spans="2:6" ht="12.75" customHeight="1" x14ac:dyDescent="0.25">
      <c r="B445" s="100"/>
      <c r="E445" s="100"/>
      <c r="F445" s="100"/>
    </row>
    <row r="446" spans="2:6" ht="12.75" customHeight="1" x14ac:dyDescent="0.25">
      <c r="B446" s="100"/>
      <c r="E446" s="100"/>
      <c r="F446" s="100"/>
    </row>
    <row r="447" spans="2:6" ht="12.75" customHeight="1" x14ac:dyDescent="0.25">
      <c r="B447" s="100"/>
      <c r="E447" s="100"/>
      <c r="F447" s="100"/>
    </row>
    <row r="448" spans="2:6" ht="12.75" customHeight="1" x14ac:dyDescent="0.25">
      <c r="B448" s="100"/>
      <c r="E448" s="100"/>
      <c r="F448" s="100"/>
    </row>
    <row r="449" spans="2:6" ht="12.75" customHeight="1" x14ac:dyDescent="0.25">
      <c r="B449" s="100"/>
      <c r="E449" s="100"/>
      <c r="F449" s="100"/>
    </row>
    <row r="450" spans="2:6" ht="12.75" customHeight="1" x14ac:dyDescent="0.25">
      <c r="B450" s="100"/>
      <c r="E450" s="100"/>
      <c r="F450" s="100"/>
    </row>
    <row r="451" spans="2:6" ht="12.75" customHeight="1" x14ac:dyDescent="0.25">
      <c r="B451" s="100"/>
      <c r="E451" s="100"/>
      <c r="F451" s="100"/>
    </row>
    <row r="452" spans="2:6" ht="12.75" customHeight="1" x14ac:dyDescent="0.25">
      <c r="B452" s="100"/>
      <c r="E452" s="100"/>
      <c r="F452" s="100"/>
    </row>
    <row r="453" spans="2:6" ht="12.75" customHeight="1" x14ac:dyDescent="0.25">
      <c r="B453" s="100"/>
      <c r="E453" s="100"/>
      <c r="F453" s="100"/>
    </row>
    <row r="454" spans="2:6" ht="12.75" customHeight="1" x14ac:dyDescent="0.25">
      <c r="B454" s="100"/>
      <c r="E454" s="100"/>
      <c r="F454" s="100"/>
    </row>
    <row r="455" spans="2:6" ht="12.75" customHeight="1" x14ac:dyDescent="0.25">
      <c r="B455" s="100"/>
      <c r="E455" s="100"/>
      <c r="F455" s="100"/>
    </row>
    <row r="456" spans="2:6" ht="12.75" customHeight="1" x14ac:dyDescent="0.25">
      <c r="B456" s="100"/>
      <c r="E456" s="100"/>
      <c r="F456" s="100"/>
    </row>
    <row r="457" spans="2:6" ht="12.75" customHeight="1" x14ac:dyDescent="0.25">
      <c r="B457" s="100"/>
      <c r="E457" s="100"/>
      <c r="F457" s="100"/>
    </row>
    <row r="458" spans="2:6" ht="12.75" customHeight="1" x14ac:dyDescent="0.25">
      <c r="B458" s="100"/>
      <c r="E458" s="100"/>
      <c r="F458" s="100"/>
    </row>
    <row r="459" spans="2:6" ht="12.75" customHeight="1" x14ac:dyDescent="0.25">
      <c r="B459" s="100"/>
      <c r="E459" s="100"/>
      <c r="F459" s="100"/>
    </row>
    <row r="460" spans="2:6" ht="12.75" customHeight="1" x14ac:dyDescent="0.25">
      <c r="B460" s="100"/>
      <c r="E460" s="100"/>
      <c r="F460" s="100"/>
    </row>
    <row r="461" spans="2:6" ht="12.75" customHeight="1" x14ac:dyDescent="0.25">
      <c r="B461" s="100"/>
      <c r="E461" s="100"/>
      <c r="F461" s="100"/>
    </row>
    <row r="462" spans="2:6" ht="12.75" customHeight="1" x14ac:dyDescent="0.25">
      <c r="B462" s="100"/>
      <c r="E462" s="100"/>
      <c r="F462" s="100"/>
    </row>
    <row r="463" spans="2:6" ht="12.75" customHeight="1" x14ac:dyDescent="0.25">
      <c r="B463" s="100"/>
      <c r="E463" s="100"/>
      <c r="F463" s="100"/>
    </row>
    <row r="464" spans="2:6" ht="12.75" customHeight="1" x14ac:dyDescent="0.25">
      <c r="B464" s="100"/>
      <c r="E464" s="100"/>
      <c r="F464" s="100"/>
    </row>
    <row r="465" spans="2:6" ht="12.75" customHeight="1" x14ac:dyDescent="0.25">
      <c r="B465" s="100"/>
      <c r="E465" s="100"/>
      <c r="F465" s="100"/>
    </row>
    <row r="466" spans="2:6" ht="12.75" customHeight="1" x14ac:dyDescent="0.25">
      <c r="B466" s="100"/>
      <c r="E466" s="100"/>
      <c r="F466" s="100"/>
    </row>
    <row r="467" spans="2:6" ht="12.75" customHeight="1" x14ac:dyDescent="0.25">
      <c r="B467" s="100"/>
      <c r="E467" s="100"/>
      <c r="F467" s="100"/>
    </row>
    <row r="468" spans="2:6" ht="12.75" customHeight="1" x14ac:dyDescent="0.25">
      <c r="B468" s="100"/>
      <c r="E468" s="100"/>
      <c r="F468" s="100"/>
    </row>
    <row r="469" spans="2:6" ht="12.75" customHeight="1" x14ac:dyDescent="0.25">
      <c r="B469" s="100"/>
      <c r="E469" s="100"/>
      <c r="F469" s="100"/>
    </row>
    <row r="470" spans="2:6" ht="12.75" customHeight="1" x14ac:dyDescent="0.25">
      <c r="B470" s="100"/>
      <c r="E470" s="100"/>
      <c r="F470" s="100"/>
    </row>
    <row r="471" spans="2:6" ht="12.75" customHeight="1" x14ac:dyDescent="0.25">
      <c r="B471" s="100"/>
      <c r="E471" s="100"/>
      <c r="F471" s="100"/>
    </row>
    <row r="472" spans="2:6" ht="12.75" customHeight="1" x14ac:dyDescent="0.25">
      <c r="B472" s="100"/>
      <c r="E472" s="100"/>
      <c r="F472" s="100"/>
    </row>
    <row r="473" spans="2:6" ht="12.75" customHeight="1" x14ac:dyDescent="0.25">
      <c r="B473" s="100"/>
      <c r="E473" s="100"/>
      <c r="F473" s="100"/>
    </row>
    <row r="474" spans="2:6" ht="12.75" customHeight="1" x14ac:dyDescent="0.25">
      <c r="B474" s="100"/>
      <c r="E474" s="100"/>
      <c r="F474" s="100"/>
    </row>
    <row r="475" spans="2:6" ht="12.75" customHeight="1" x14ac:dyDescent="0.25">
      <c r="B475" s="100"/>
      <c r="E475" s="100"/>
      <c r="F475" s="100"/>
    </row>
    <row r="476" spans="2:6" ht="12.75" customHeight="1" x14ac:dyDescent="0.25">
      <c r="B476" s="100"/>
      <c r="E476" s="100"/>
      <c r="F476" s="100"/>
    </row>
    <row r="477" spans="2:6" ht="12.75" customHeight="1" x14ac:dyDescent="0.25">
      <c r="B477" s="100"/>
      <c r="E477" s="100"/>
      <c r="F477" s="100"/>
    </row>
    <row r="478" spans="2:6" ht="12.75" customHeight="1" x14ac:dyDescent="0.25">
      <c r="B478" s="100"/>
      <c r="E478" s="100"/>
      <c r="F478" s="100"/>
    </row>
    <row r="479" spans="2:6" ht="12.75" customHeight="1" x14ac:dyDescent="0.25">
      <c r="B479" s="100"/>
      <c r="E479" s="100"/>
      <c r="F479" s="100"/>
    </row>
    <row r="480" spans="2:6" ht="12.75" customHeight="1" x14ac:dyDescent="0.25">
      <c r="B480" s="100"/>
      <c r="E480" s="100"/>
      <c r="F480" s="100"/>
    </row>
    <row r="481" spans="2:6" ht="12.75" customHeight="1" x14ac:dyDescent="0.25">
      <c r="B481" s="100"/>
      <c r="E481" s="100"/>
      <c r="F481" s="100"/>
    </row>
    <row r="482" spans="2:6" ht="12.75" customHeight="1" x14ac:dyDescent="0.25">
      <c r="B482" s="100"/>
      <c r="E482" s="100"/>
      <c r="F482" s="100"/>
    </row>
    <row r="483" spans="2:6" ht="12.75" customHeight="1" x14ac:dyDescent="0.25">
      <c r="B483" s="100"/>
      <c r="E483" s="100"/>
      <c r="F483" s="100"/>
    </row>
    <row r="484" spans="2:6" ht="12.75" customHeight="1" x14ac:dyDescent="0.25">
      <c r="B484" s="100"/>
      <c r="E484" s="100"/>
      <c r="F484" s="100"/>
    </row>
    <row r="485" spans="2:6" ht="12.75" customHeight="1" x14ac:dyDescent="0.25">
      <c r="B485" s="100"/>
      <c r="E485" s="100"/>
      <c r="F485" s="100"/>
    </row>
    <row r="486" spans="2:6" ht="12.75" customHeight="1" x14ac:dyDescent="0.25">
      <c r="B486" s="100"/>
      <c r="E486" s="100"/>
      <c r="F486" s="100"/>
    </row>
    <row r="487" spans="2:6" ht="12.75" customHeight="1" x14ac:dyDescent="0.25">
      <c r="B487" s="100"/>
      <c r="E487" s="100"/>
      <c r="F487" s="100"/>
    </row>
    <row r="488" spans="2:6" ht="12.75" customHeight="1" x14ac:dyDescent="0.25">
      <c r="B488" s="100"/>
      <c r="E488" s="100"/>
      <c r="F488" s="100"/>
    </row>
    <row r="489" spans="2:6" ht="12.75" customHeight="1" x14ac:dyDescent="0.25">
      <c r="B489" s="100"/>
      <c r="E489" s="100"/>
      <c r="F489" s="100"/>
    </row>
    <row r="490" spans="2:6" ht="12.75" customHeight="1" x14ac:dyDescent="0.25">
      <c r="B490" s="100"/>
      <c r="E490" s="100"/>
      <c r="F490" s="100"/>
    </row>
    <row r="491" spans="2:6" ht="12.75" customHeight="1" x14ac:dyDescent="0.25">
      <c r="B491" s="100"/>
      <c r="E491" s="100"/>
      <c r="F491" s="100"/>
    </row>
    <row r="492" spans="2:6" ht="12.75" customHeight="1" x14ac:dyDescent="0.25">
      <c r="B492" s="100"/>
      <c r="E492" s="100"/>
      <c r="F492" s="100"/>
    </row>
    <row r="493" spans="2:6" ht="12.75" customHeight="1" x14ac:dyDescent="0.25">
      <c r="B493" s="100"/>
      <c r="E493" s="100"/>
      <c r="F493" s="100"/>
    </row>
    <row r="494" spans="2:6" ht="12.75" customHeight="1" x14ac:dyDescent="0.25">
      <c r="B494" s="100"/>
      <c r="E494" s="100"/>
      <c r="F494" s="100"/>
    </row>
    <row r="495" spans="2:6" ht="12.75" customHeight="1" x14ac:dyDescent="0.25">
      <c r="B495" s="100"/>
      <c r="E495" s="100"/>
      <c r="F495" s="100"/>
    </row>
    <row r="496" spans="2:6" ht="12.75" customHeight="1" x14ac:dyDescent="0.25">
      <c r="B496" s="100"/>
      <c r="E496" s="100"/>
      <c r="F496" s="100"/>
    </row>
    <row r="497" spans="2:6" ht="12.75" customHeight="1" x14ac:dyDescent="0.25">
      <c r="B497" s="100"/>
      <c r="E497" s="100"/>
      <c r="F497" s="100"/>
    </row>
    <row r="498" spans="2:6" ht="12.75" customHeight="1" x14ac:dyDescent="0.25">
      <c r="B498" s="100"/>
      <c r="E498" s="100"/>
      <c r="F498" s="100"/>
    </row>
    <row r="499" spans="2:6" ht="12.75" customHeight="1" x14ac:dyDescent="0.25">
      <c r="B499" s="100"/>
      <c r="E499" s="100"/>
      <c r="F499" s="100"/>
    </row>
    <row r="500" spans="2:6" ht="12.75" customHeight="1" x14ac:dyDescent="0.25">
      <c r="B500" s="100"/>
      <c r="E500" s="100"/>
      <c r="F500" s="100"/>
    </row>
    <row r="501" spans="2:6" ht="12.75" customHeight="1" x14ac:dyDescent="0.25">
      <c r="B501" s="100"/>
      <c r="E501" s="100"/>
      <c r="F501" s="100"/>
    </row>
    <row r="502" spans="2:6" ht="12.75" customHeight="1" x14ac:dyDescent="0.25">
      <c r="B502" s="100"/>
      <c r="E502" s="100"/>
      <c r="F502" s="100"/>
    </row>
    <row r="503" spans="2:6" ht="12.75" customHeight="1" x14ac:dyDescent="0.25">
      <c r="B503" s="100"/>
      <c r="E503" s="100"/>
      <c r="F503" s="100"/>
    </row>
    <row r="504" spans="2:6" ht="12.75" customHeight="1" x14ac:dyDescent="0.25">
      <c r="B504" s="100"/>
      <c r="E504" s="100"/>
      <c r="F504" s="100"/>
    </row>
    <row r="505" spans="2:6" ht="12.75" customHeight="1" x14ac:dyDescent="0.25">
      <c r="B505" s="100"/>
      <c r="E505" s="100"/>
      <c r="F505" s="100"/>
    </row>
    <row r="506" spans="2:6" ht="12.75" customHeight="1" x14ac:dyDescent="0.25">
      <c r="B506" s="100"/>
      <c r="E506" s="100"/>
      <c r="F506" s="100"/>
    </row>
    <row r="507" spans="2:6" ht="12.75" customHeight="1" x14ac:dyDescent="0.25">
      <c r="B507" s="100"/>
      <c r="E507" s="100"/>
      <c r="F507" s="100"/>
    </row>
    <row r="508" spans="2:6" ht="12.75" customHeight="1" x14ac:dyDescent="0.25">
      <c r="B508" s="100"/>
      <c r="E508" s="100"/>
      <c r="F508" s="100"/>
    </row>
    <row r="509" spans="2:6" ht="12.75" customHeight="1" x14ac:dyDescent="0.25">
      <c r="B509" s="100"/>
      <c r="E509" s="100"/>
      <c r="F509" s="100"/>
    </row>
    <row r="510" spans="2:6" ht="12.75" customHeight="1" x14ac:dyDescent="0.25">
      <c r="B510" s="100"/>
      <c r="E510" s="100"/>
      <c r="F510" s="100"/>
    </row>
    <row r="511" spans="2:6" ht="12.75" customHeight="1" x14ac:dyDescent="0.25">
      <c r="B511" s="100"/>
      <c r="E511" s="100"/>
      <c r="F511" s="100"/>
    </row>
    <row r="512" spans="2:6" ht="12.75" customHeight="1" x14ac:dyDescent="0.25">
      <c r="B512" s="100"/>
      <c r="E512" s="100"/>
      <c r="F512" s="100"/>
    </row>
    <row r="513" spans="2:6" ht="12.75" customHeight="1" x14ac:dyDescent="0.25">
      <c r="B513" s="100"/>
      <c r="E513" s="100"/>
      <c r="F513" s="100"/>
    </row>
    <row r="514" spans="2:6" ht="12.75" customHeight="1" x14ac:dyDescent="0.25">
      <c r="B514" s="100"/>
      <c r="E514" s="100"/>
      <c r="F514" s="100"/>
    </row>
    <row r="515" spans="2:6" ht="12.75" customHeight="1" x14ac:dyDescent="0.25">
      <c r="B515" s="100"/>
      <c r="E515" s="100"/>
      <c r="F515" s="100"/>
    </row>
    <row r="516" spans="2:6" ht="12.75" customHeight="1" x14ac:dyDescent="0.25">
      <c r="B516" s="100"/>
      <c r="E516" s="100"/>
      <c r="F516" s="100"/>
    </row>
    <row r="517" spans="2:6" ht="12.75" customHeight="1" x14ac:dyDescent="0.25">
      <c r="B517" s="100"/>
      <c r="E517" s="100"/>
      <c r="F517" s="100"/>
    </row>
    <row r="518" spans="2:6" ht="12.75" customHeight="1" x14ac:dyDescent="0.25">
      <c r="B518" s="100"/>
      <c r="E518" s="100"/>
      <c r="F518" s="100"/>
    </row>
    <row r="519" spans="2:6" ht="12.75" customHeight="1" x14ac:dyDescent="0.25">
      <c r="B519" s="100"/>
      <c r="E519" s="100"/>
      <c r="F519" s="100"/>
    </row>
    <row r="520" spans="2:6" ht="12.75" customHeight="1" x14ac:dyDescent="0.25">
      <c r="B520" s="100"/>
      <c r="E520" s="100"/>
      <c r="F520" s="100"/>
    </row>
    <row r="521" spans="2:6" ht="12.75" customHeight="1" x14ac:dyDescent="0.25">
      <c r="B521" s="100"/>
      <c r="E521" s="100"/>
      <c r="F521" s="100"/>
    </row>
    <row r="522" spans="2:6" ht="12.75" customHeight="1" x14ac:dyDescent="0.25">
      <c r="B522" s="100"/>
      <c r="E522" s="100"/>
      <c r="F522" s="100"/>
    </row>
    <row r="523" spans="2:6" ht="12.75" customHeight="1" x14ac:dyDescent="0.25">
      <c r="B523" s="100"/>
      <c r="E523" s="100"/>
      <c r="F523" s="100"/>
    </row>
    <row r="524" spans="2:6" ht="12.75" customHeight="1" x14ac:dyDescent="0.25">
      <c r="B524" s="100"/>
      <c r="E524" s="100"/>
      <c r="F524" s="100"/>
    </row>
    <row r="525" spans="2:6" ht="12.75" customHeight="1" x14ac:dyDescent="0.25">
      <c r="B525" s="100"/>
      <c r="E525" s="100"/>
      <c r="F525" s="100"/>
    </row>
    <row r="526" spans="2:6" ht="12.75" customHeight="1" x14ac:dyDescent="0.25">
      <c r="B526" s="100"/>
      <c r="E526" s="100"/>
      <c r="F526" s="100"/>
    </row>
    <row r="527" spans="2:6" ht="12.75" customHeight="1" x14ac:dyDescent="0.25">
      <c r="B527" s="100"/>
      <c r="E527" s="100"/>
      <c r="F527" s="100"/>
    </row>
    <row r="528" spans="2:6" ht="12.75" customHeight="1" x14ac:dyDescent="0.25">
      <c r="B528" s="100"/>
      <c r="E528" s="100"/>
      <c r="F528" s="100"/>
    </row>
    <row r="529" spans="2:6" ht="12.75" customHeight="1" x14ac:dyDescent="0.25">
      <c r="B529" s="100"/>
      <c r="E529" s="100"/>
      <c r="F529" s="100"/>
    </row>
    <row r="530" spans="2:6" ht="12.75" customHeight="1" x14ac:dyDescent="0.25">
      <c r="B530" s="100"/>
      <c r="E530" s="100"/>
      <c r="F530" s="100"/>
    </row>
    <row r="531" spans="2:6" ht="12.75" customHeight="1" x14ac:dyDescent="0.25">
      <c r="B531" s="100"/>
      <c r="E531" s="100"/>
      <c r="F531" s="100"/>
    </row>
    <row r="532" spans="2:6" ht="12.75" customHeight="1" x14ac:dyDescent="0.25">
      <c r="B532" s="100"/>
      <c r="E532" s="100"/>
      <c r="F532" s="100"/>
    </row>
    <row r="533" spans="2:6" ht="12.75" customHeight="1" x14ac:dyDescent="0.25">
      <c r="B533" s="100"/>
      <c r="E533" s="100"/>
      <c r="F533" s="100"/>
    </row>
    <row r="534" spans="2:6" ht="12.75" customHeight="1" x14ac:dyDescent="0.25">
      <c r="B534" s="100"/>
      <c r="E534" s="100"/>
      <c r="F534" s="100"/>
    </row>
    <row r="535" spans="2:6" ht="12.75" customHeight="1" x14ac:dyDescent="0.25">
      <c r="B535" s="100"/>
      <c r="E535" s="100"/>
      <c r="F535" s="100"/>
    </row>
    <row r="536" spans="2:6" ht="12.75" customHeight="1" x14ac:dyDescent="0.25">
      <c r="B536" s="100"/>
      <c r="E536" s="100"/>
      <c r="F536" s="100"/>
    </row>
    <row r="537" spans="2:6" ht="12.75" customHeight="1" x14ac:dyDescent="0.25">
      <c r="B537" s="100"/>
      <c r="E537" s="100"/>
      <c r="F537" s="100"/>
    </row>
    <row r="538" spans="2:6" ht="12.75" customHeight="1" x14ac:dyDescent="0.25">
      <c r="B538" s="100"/>
      <c r="E538" s="100"/>
      <c r="F538" s="100"/>
    </row>
    <row r="539" spans="2:6" ht="12.75" customHeight="1" x14ac:dyDescent="0.25">
      <c r="B539" s="100"/>
      <c r="E539" s="100"/>
      <c r="F539" s="100"/>
    </row>
    <row r="540" spans="2:6" ht="12.75" customHeight="1" x14ac:dyDescent="0.25">
      <c r="B540" s="100"/>
      <c r="E540" s="100"/>
      <c r="F540" s="100"/>
    </row>
    <row r="541" spans="2:6" ht="12.75" customHeight="1" x14ac:dyDescent="0.25">
      <c r="B541" s="100"/>
      <c r="E541" s="100"/>
      <c r="F541" s="100"/>
    </row>
    <row r="542" spans="2:6" ht="12.75" customHeight="1" x14ac:dyDescent="0.25">
      <c r="B542" s="100"/>
      <c r="E542" s="100"/>
      <c r="F542" s="100"/>
    </row>
    <row r="543" spans="2:6" ht="12.75" customHeight="1" x14ac:dyDescent="0.25">
      <c r="B543" s="100"/>
      <c r="E543" s="100"/>
      <c r="F543" s="100"/>
    </row>
    <row r="544" spans="2:6" ht="12.75" customHeight="1" x14ac:dyDescent="0.25">
      <c r="B544" s="100"/>
      <c r="E544" s="100"/>
      <c r="F544" s="100"/>
    </row>
    <row r="545" spans="2:6" ht="12.75" customHeight="1" x14ac:dyDescent="0.25">
      <c r="B545" s="100"/>
      <c r="E545" s="100"/>
      <c r="F545" s="100"/>
    </row>
    <row r="546" spans="2:6" ht="12.75" customHeight="1" x14ac:dyDescent="0.25">
      <c r="B546" s="100"/>
      <c r="E546" s="100"/>
      <c r="F546" s="100"/>
    </row>
    <row r="547" spans="2:6" ht="12.75" customHeight="1" x14ac:dyDescent="0.25">
      <c r="B547" s="100"/>
      <c r="E547" s="100"/>
      <c r="F547" s="100"/>
    </row>
    <row r="548" spans="2:6" ht="12.75" customHeight="1" x14ac:dyDescent="0.25">
      <c r="B548" s="100"/>
      <c r="E548" s="100"/>
      <c r="F548" s="100"/>
    </row>
    <row r="549" spans="2:6" ht="12.75" customHeight="1" x14ac:dyDescent="0.25">
      <c r="B549" s="100"/>
      <c r="E549" s="100"/>
      <c r="F549" s="100"/>
    </row>
    <row r="550" spans="2:6" ht="12.75" customHeight="1" x14ac:dyDescent="0.25">
      <c r="B550" s="100"/>
      <c r="E550" s="100"/>
      <c r="F550" s="100"/>
    </row>
    <row r="551" spans="2:6" ht="12.75" customHeight="1" x14ac:dyDescent="0.25">
      <c r="B551" s="100"/>
      <c r="E551" s="100"/>
      <c r="F551" s="100"/>
    </row>
    <row r="552" spans="2:6" ht="12.75" customHeight="1" x14ac:dyDescent="0.25">
      <c r="B552" s="100"/>
      <c r="E552" s="100"/>
      <c r="F552" s="100"/>
    </row>
    <row r="553" spans="2:6" ht="12.75" customHeight="1" x14ac:dyDescent="0.25">
      <c r="B553" s="100"/>
      <c r="E553" s="100"/>
      <c r="F553" s="100"/>
    </row>
    <row r="554" spans="2:6" ht="12.75" customHeight="1" x14ac:dyDescent="0.25">
      <c r="B554" s="100"/>
      <c r="E554" s="100"/>
      <c r="F554" s="100"/>
    </row>
    <row r="555" spans="2:6" ht="12.75" customHeight="1" x14ac:dyDescent="0.25">
      <c r="B555" s="100"/>
      <c r="E555" s="100"/>
      <c r="F555" s="100"/>
    </row>
    <row r="556" spans="2:6" ht="12.75" customHeight="1" x14ac:dyDescent="0.25">
      <c r="B556" s="100"/>
      <c r="E556" s="100"/>
      <c r="F556" s="100"/>
    </row>
    <row r="557" spans="2:6" ht="12.75" customHeight="1" x14ac:dyDescent="0.25">
      <c r="B557" s="100"/>
      <c r="E557" s="100"/>
      <c r="F557" s="100"/>
    </row>
    <row r="558" spans="2:6" ht="12.75" customHeight="1" x14ac:dyDescent="0.25">
      <c r="B558" s="100"/>
      <c r="E558" s="100"/>
      <c r="F558" s="100"/>
    </row>
    <row r="559" spans="2:6" ht="12.75" customHeight="1" x14ac:dyDescent="0.25">
      <c r="B559" s="100"/>
      <c r="E559" s="100"/>
      <c r="F559" s="100"/>
    </row>
    <row r="560" spans="2:6" ht="12.75" customHeight="1" x14ac:dyDescent="0.25">
      <c r="B560" s="100"/>
      <c r="E560" s="100"/>
      <c r="F560" s="100"/>
    </row>
    <row r="561" spans="2:6" ht="12.75" customHeight="1" x14ac:dyDescent="0.25">
      <c r="B561" s="100"/>
      <c r="E561" s="100"/>
      <c r="F561" s="100"/>
    </row>
    <row r="562" spans="2:6" ht="12.75" customHeight="1" x14ac:dyDescent="0.25">
      <c r="B562" s="100"/>
      <c r="E562" s="100"/>
      <c r="F562" s="100"/>
    </row>
    <row r="563" spans="2:6" ht="12.75" customHeight="1" x14ac:dyDescent="0.25">
      <c r="B563" s="100"/>
      <c r="E563" s="100"/>
      <c r="F563" s="100"/>
    </row>
    <row r="564" spans="2:6" ht="12.75" customHeight="1" x14ac:dyDescent="0.25">
      <c r="B564" s="100"/>
      <c r="E564" s="100"/>
      <c r="F564" s="100"/>
    </row>
    <row r="565" spans="2:6" ht="12.75" customHeight="1" x14ac:dyDescent="0.25">
      <c r="B565" s="100"/>
      <c r="E565" s="100"/>
      <c r="F565" s="100"/>
    </row>
    <row r="566" spans="2:6" ht="12.75" customHeight="1" x14ac:dyDescent="0.25">
      <c r="B566" s="100"/>
      <c r="E566" s="100"/>
      <c r="F566" s="100"/>
    </row>
    <row r="567" spans="2:6" ht="12.75" customHeight="1" x14ac:dyDescent="0.25">
      <c r="B567" s="100"/>
      <c r="E567" s="100"/>
      <c r="F567" s="100"/>
    </row>
    <row r="568" spans="2:6" ht="12.75" customHeight="1" x14ac:dyDescent="0.25">
      <c r="B568" s="100"/>
      <c r="E568" s="100"/>
      <c r="F568" s="100"/>
    </row>
    <row r="569" spans="2:6" ht="12.75" customHeight="1" x14ac:dyDescent="0.25">
      <c r="B569" s="100"/>
      <c r="E569" s="100"/>
      <c r="F569" s="100"/>
    </row>
    <row r="570" spans="2:6" ht="12.75" customHeight="1" x14ac:dyDescent="0.25">
      <c r="B570" s="100"/>
      <c r="E570" s="100"/>
      <c r="F570" s="100"/>
    </row>
    <row r="571" spans="2:6" ht="12.75" customHeight="1" x14ac:dyDescent="0.25">
      <c r="B571" s="100"/>
      <c r="E571" s="100"/>
      <c r="F571" s="100"/>
    </row>
    <row r="572" spans="2:6" ht="12.75" customHeight="1" x14ac:dyDescent="0.25">
      <c r="B572" s="100"/>
      <c r="E572" s="100"/>
      <c r="F572" s="100"/>
    </row>
    <row r="573" spans="2:6" ht="12.75" customHeight="1" x14ac:dyDescent="0.25">
      <c r="B573" s="100"/>
      <c r="E573" s="100"/>
      <c r="F573" s="100"/>
    </row>
    <row r="574" spans="2:6" ht="12.75" customHeight="1" x14ac:dyDescent="0.25">
      <c r="B574" s="100"/>
      <c r="E574" s="100"/>
      <c r="F574" s="100"/>
    </row>
    <row r="575" spans="2:6" ht="12.75" customHeight="1" x14ac:dyDescent="0.25">
      <c r="B575" s="100"/>
      <c r="E575" s="100"/>
      <c r="F575" s="100"/>
    </row>
    <row r="576" spans="2:6" ht="12.75" customHeight="1" x14ac:dyDescent="0.25">
      <c r="B576" s="100"/>
      <c r="E576" s="100"/>
      <c r="F576" s="100"/>
    </row>
    <row r="577" spans="2:6" ht="12.75" customHeight="1" x14ac:dyDescent="0.25">
      <c r="B577" s="100"/>
      <c r="E577" s="100"/>
      <c r="F577" s="100"/>
    </row>
    <row r="578" spans="2:6" ht="12.75" customHeight="1" x14ac:dyDescent="0.25">
      <c r="B578" s="100"/>
      <c r="E578" s="100"/>
      <c r="F578" s="100"/>
    </row>
    <row r="579" spans="2:6" ht="12.75" customHeight="1" x14ac:dyDescent="0.25">
      <c r="B579" s="100"/>
      <c r="E579" s="100"/>
      <c r="F579" s="100"/>
    </row>
    <row r="580" spans="2:6" ht="12.75" customHeight="1" x14ac:dyDescent="0.25">
      <c r="B580" s="100"/>
      <c r="E580" s="100"/>
      <c r="F580" s="100"/>
    </row>
    <row r="581" spans="2:6" ht="12.75" customHeight="1" x14ac:dyDescent="0.25">
      <c r="B581" s="100"/>
      <c r="E581" s="100"/>
      <c r="F581" s="100"/>
    </row>
    <row r="582" spans="2:6" ht="12.75" customHeight="1" x14ac:dyDescent="0.25">
      <c r="B582" s="100"/>
      <c r="E582" s="100"/>
      <c r="F582" s="100"/>
    </row>
    <row r="583" spans="2:6" ht="12.75" customHeight="1" x14ac:dyDescent="0.25">
      <c r="B583" s="100"/>
      <c r="E583" s="100"/>
      <c r="F583" s="100"/>
    </row>
    <row r="584" spans="2:6" ht="12.75" customHeight="1" x14ac:dyDescent="0.25">
      <c r="B584" s="100"/>
      <c r="E584" s="100"/>
      <c r="F584" s="100"/>
    </row>
    <row r="585" spans="2:6" ht="12.75" customHeight="1" x14ac:dyDescent="0.25">
      <c r="B585" s="100"/>
      <c r="E585" s="100"/>
      <c r="F585" s="100"/>
    </row>
    <row r="586" spans="2:6" ht="12.75" customHeight="1" x14ac:dyDescent="0.25">
      <c r="B586" s="100"/>
      <c r="E586" s="100"/>
      <c r="F586" s="100"/>
    </row>
    <row r="587" spans="2:6" ht="12.75" customHeight="1" x14ac:dyDescent="0.25">
      <c r="B587" s="100"/>
      <c r="E587" s="100"/>
      <c r="F587" s="100"/>
    </row>
    <row r="588" spans="2:6" ht="12.75" customHeight="1" x14ac:dyDescent="0.25">
      <c r="B588" s="100"/>
      <c r="E588" s="100"/>
      <c r="F588" s="100"/>
    </row>
    <row r="589" spans="2:6" ht="12.75" customHeight="1" x14ac:dyDescent="0.25">
      <c r="B589" s="100"/>
      <c r="E589" s="100"/>
      <c r="F589" s="100"/>
    </row>
    <row r="590" spans="2:6" ht="12.75" customHeight="1" x14ac:dyDescent="0.25">
      <c r="B590" s="100"/>
      <c r="E590" s="100"/>
      <c r="F590" s="100"/>
    </row>
    <row r="591" spans="2:6" ht="12.75" customHeight="1" x14ac:dyDescent="0.25">
      <c r="B591" s="100"/>
      <c r="E591" s="100"/>
      <c r="F591" s="100"/>
    </row>
    <row r="592" spans="2:6" ht="12.75" customHeight="1" x14ac:dyDescent="0.25">
      <c r="B592" s="100"/>
      <c r="E592" s="100"/>
      <c r="F592" s="100"/>
    </row>
    <row r="593" spans="2:6" ht="12.75" customHeight="1" x14ac:dyDescent="0.25">
      <c r="B593" s="100"/>
      <c r="E593" s="100"/>
      <c r="F593" s="100"/>
    </row>
    <row r="594" spans="2:6" ht="12.75" customHeight="1" x14ac:dyDescent="0.25">
      <c r="B594" s="100"/>
      <c r="E594" s="100"/>
      <c r="F594" s="100"/>
    </row>
    <row r="595" spans="2:6" ht="12.75" customHeight="1" x14ac:dyDescent="0.25">
      <c r="B595" s="100"/>
      <c r="E595" s="100"/>
      <c r="F595" s="100"/>
    </row>
    <row r="596" spans="2:6" ht="12.75" customHeight="1" x14ac:dyDescent="0.25">
      <c r="B596" s="100"/>
      <c r="E596" s="100"/>
      <c r="F596" s="100"/>
    </row>
    <row r="597" spans="2:6" ht="12.75" customHeight="1" x14ac:dyDescent="0.25">
      <c r="B597" s="100"/>
      <c r="E597" s="100"/>
      <c r="F597" s="100"/>
    </row>
    <row r="598" spans="2:6" ht="12.75" customHeight="1" x14ac:dyDescent="0.25">
      <c r="B598" s="100"/>
      <c r="E598" s="100"/>
      <c r="F598" s="100"/>
    </row>
    <row r="599" spans="2:6" ht="12.75" customHeight="1" x14ac:dyDescent="0.25">
      <c r="B599" s="100"/>
      <c r="E599" s="100"/>
      <c r="F599" s="100"/>
    </row>
    <row r="600" spans="2:6" ht="12.75" customHeight="1" x14ac:dyDescent="0.25">
      <c r="B600" s="100"/>
      <c r="E600" s="100"/>
      <c r="F600" s="100"/>
    </row>
    <row r="601" spans="2:6" ht="12.75" customHeight="1" x14ac:dyDescent="0.25">
      <c r="B601" s="100"/>
      <c r="E601" s="100"/>
      <c r="F601" s="100"/>
    </row>
    <row r="602" spans="2:6" ht="12.75" customHeight="1" x14ac:dyDescent="0.25">
      <c r="B602" s="100"/>
      <c r="E602" s="100"/>
      <c r="F602" s="100"/>
    </row>
    <row r="603" spans="2:6" ht="12.75" customHeight="1" x14ac:dyDescent="0.25">
      <c r="B603" s="100"/>
      <c r="E603" s="100"/>
      <c r="F603" s="100"/>
    </row>
    <row r="604" spans="2:6" ht="12.75" customHeight="1" x14ac:dyDescent="0.25">
      <c r="B604" s="100"/>
      <c r="E604" s="100"/>
      <c r="F604" s="100"/>
    </row>
    <row r="605" spans="2:6" ht="12.75" customHeight="1" x14ac:dyDescent="0.25">
      <c r="B605" s="100"/>
      <c r="E605" s="100"/>
      <c r="F605" s="100"/>
    </row>
    <row r="606" spans="2:6" ht="12.75" customHeight="1" x14ac:dyDescent="0.25">
      <c r="B606" s="100"/>
      <c r="E606" s="100"/>
      <c r="F606" s="100"/>
    </row>
    <row r="607" spans="2:6" ht="12.75" customHeight="1" x14ac:dyDescent="0.25">
      <c r="B607" s="100"/>
      <c r="E607" s="100"/>
      <c r="F607" s="100"/>
    </row>
    <row r="608" spans="2:6" ht="12.75" customHeight="1" x14ac:dyDescent="0.25">
      <c r="B608" s="100"/>
      <c r="E608" s="100"/>
      <c r="F608" s="100"/>
    </row>
    <row r="609" spans="2:6" ht="12.75" customHeight="1" x14ac:dyDescent="0.25">
      <c r="B609" s="100"/>
      <c r="E609" s="100"/>
      <c r="F609" s="100"/>
    </row>
    <row r="610" spans="2:6" ht="12.75" customHeight="1" x14ac:dyDescent="0.25">
      <c r="B610" s="100"/>
      <c r="E610" s="100"/>
      <c r="F610" s="100"/>
    </row>
    <row r="611" spans="2:6" ht="12.75" customHeight="1" x14ac:dyDescent="0.25">
      <c r="B611" s="100"/>
      <c r="E611" s="100"/>
      <c r="F611" s="100"/>
    </row>
    <row r="612" spans="2:6" ht="12.75" customHeight="1" x14ac:dyDescent="0.25">
      <c r="B612" s="100"/>
      <c r="E612" s="100"/>
      <c r="F612" s="100"/>
    </row>
    <row r="613" spans="2:6" ht="12.75" customHeight="1" x14ac:dyDescent="0.25">
      <c r="B613" s="100"/>
      <c r="E613" s="100"/>
      <c r="F613" s="100"/>
    </row>
    <row r="614" spans="2:6" ht="12.75" customHeight="1" x14ac:dyDescent="0.25">
      <c r="B614" s="100"/>
      <c r="E614" s="100"/>
      <c r="F614" s="100"/>
    </row>
    <row r="615" spans="2:6" ht="12.75" customHeight="1" x14ac:dyDescent="0.25">
      <c r="B615" s="100"/>
      <c r="E615" s="100"/>
      <c r="F615" s="100"/>
    </row>
    <row r="616" spans="2:6" ht="12.75" customHeight="1" x14ac:dyDescent="0.25">
      <c r="B616" s="100"/>
      <c r="E616" s="100"/>
      <c r="F616" s="100"/>
    </row>
    <row r="617" spans="2:6" ht="12.75" customHeight="1" x14ac:dyDescent="0.25">
      <c r="B617" s="100"/>
      <c r="E617" s="100"/>
      <c r="F617" s="100"/>
    </row>
    <row r="618" spans="2:6" ht="12.75" customHeight="1" x14ac:dyDescent="0.25">
      <c r="B618" s="100"/>
      <c r="E618" s="100"/>
      <c r="F618" s="100"/>
    </row>
    <row r="619" spans="2:6" ht="12.75" customHeight="1" x14ac:dyDescent="0.25">
      <c r="B619" s="100"/>
      <c r="E619" s="100"/>
      <c r="F619" s="100"/>
    </row>
    <row r="620" spans="2:6" ht="12.75" customHeight="1" x14ac:dyDescent="0.25">
      <c r="B620" s="100"/>
      <c r="E620" s="100"/>
      <c r="F620" s="100"/>
    </row>
    <row r="621" spans="2:6" ht="12.75" customHeight="1" x14ac:dyDescent="0.25">
      <c r="B621" s="100"/>
      <c r="E621" s="100"/>
      <c r="F621" s="100"/>
    </row>
    <row r="622" spans="2:6" ht="12.75" customHeight="1" x14ac:dyDescent="0.25">
      <c r="B622" s="100"/>
      <c r="E622" s="100"/>
      <c r="F622" s="100"/>
    </row>
    <row r="623" spans="2:6" ht="12.75" customHeight="1" x14ac:dyDescent="0.25">
      <c r="B623" s="100"/>
      <c r="E623" s="100"/>
      <c r="F623" s="100"/>
    </row>
    <row r="624" spans="2:6" ht="12.75" customHeight="1" x14ac:dyDescent="0.25">
      <c r="B624" s="100"/>
      <c r="E624" s="100"/>
      <c r="F624" s="100"/>
    </row>
    <row r="625" spans="2:6" ht="12.75" customHeight="1" x14ac:dyDescent="0.25">
      <c r="B625" s="100"/>
      <c r="E625" s="100"/>
      <c r="F625" s="100"/>
    </row>
    <row r="626" spans="2:6" ht="12.75" customHeight="1" x14ac:dyDescent="0.25">
      <c r="B626" s="100"/>
      <c r="E626" s="100"/>
      <c r="F626" s="100"/>
    </row>
    <row r="627" spans="2:6" ht="12.75" customHeight="1" x14ac:dyDescent="0.25">
      <c r="B627" s="100"/>
      <c r="E627" s="100"/>
      <c r="F627" s="100"/>
    </row>
    <row r="628" spans="2:6" ht="12.75" customHeight="1" x14ac:dyDescent="0.25">
      <c r="B628" s="100"/>
      <c r="E628" s="100"/>
      <c r="F628" s="100"/>
    </row>
    <row r="629" spans="2:6" ht="12.75" customHeight="1" x14ac:dyDescent="0.25">
      <c r="B629" s="100"/>
      <c r="E629" s="100"/>
      <c r="F629" s="100"/>
    </row>
    <row r="630" spans="2:6" ht="12.75" customHeight="1" x14ac:dyDescent="0.25">
      <c r="B630" s="100"/>
      <c r="E630" s="100"/>
      <c r="F630" s="100"/>
    </row>
    <row r="631" spans="2:6" ht="12.75" customHeight="1" x14ac:dyDescent="0.25">
      <c r="B631" s="100"/>
      <c r="E631" s="100"/>
      <c r="F631" s="100"/>
    </row>
    <row r="632" spans="2:6" ht="12.75" customHeight="1" x14ac:dyDescent="0.25">
      <c r="B632" s="100"/>
      <c r="E632" s="100"/>
      <c r="F632" s="100"/>
    </row>
    <row r="633" spans="2:6" ht="12.75" customHeight="1" x14ac:dyDescent="0.25">
      <c r="B633" s="100"/>
      <c r="E633" s="100"/>
      <c r="F633" s="100"/>
    </row>
    <row r="634" spans="2:6" ht="12.75" customHeight="1" x14ac:dyDescent="0.25">
      <c r="B634" s="100"/>
      <c r="E634" s="100"/>
      <c r="F634" s="100"/>
    </row>
    <row r="635" spans="2:6" ht="12.75" customHeight="1" x14ac:dyDescent="0.25">
      <c r="B635" s="100"/>
      <c r="E635" s="100"/>
      <c r="F635" s="100"/>
    </row>
    <row r="636" spans="2:6" ht="12.75" customHeight="1" x14ac:dyDescent="0.25">
      <c r="B636" s="100"/>
      <c r="E636" s="100"/>
      <c r="F636" s="100"/>
    </row>
    <row r="637" spans="2:6" ht="12.75" customHeight="1" x14ac:dyDescent="0.25">
      <c r="B637" s="100"/>
      <c r="E637" s="100"/>
      <c r="F637" s="100"/>
    </row>
    <row r="638" spans="2:6" ht="12.75" customHeight="1" x14ac:dyDescent="0.25">
      <c r="B638" s="100"/>
      <c r="E638" s="100"/>
      <c r="F638" s="100"/>
    </row>
    <row r="639" spans="2:6" ht="12.75" customHeight="1" x14ac:dyDescent="0.25">
      <c r="B639" s="100"/>
      <c r="E639" s="100"/>
      <c r="F639" s="100"/>
    </row>
    <row r="640" spans="2:6" ht="12.75" customHeight="1" x14ac:dyDescent="0.25">
      <c r="B640" s="100"/>
      <c r="E640" s="100"/>
      <c r="F640" s="100"/>
    </row>
    <row r="641" spans="2:6" ht="12.75" customHeight="1" x14ac:dyDescent="0.25">
      <c r="B641" s="100"/>
      <c r="E641" s="100"/>
      <c r="F641" s="100"/>
    </row>
    <row r="642" spans="2:6" ht="12.75" customHeight="1" x14ac:dyDescent="0.25">
      <c r="B642" s="100"/>
      <c r="E642" s="100"/>
      <c r="F642" s="100"/>
    </row>
    <row r="643" spans="2:6" ht="12.75" customHeight="1" x14ac:dyDescent="0.25">
      <c r="B643" s="100"/>
      <c r="E643" s="100"/>
      <c r="F643" s="100"/>
    </row>
    <row r="644" spans="2:6" ht="12.75" customHeight="1" x14ac:dyDescent="0.25">
      <c r="B644" s="100"/>
      <c r="E644" s="100"/>
      <c r="F644" s="100"/>
    </row>
    <row r="645" spans="2:6" ht="12.75" customHeight="1" x14ac:dyDescent="0.25">
      <c r="B645" s="100"/>
      <c r="E645" s="100"/>
      <c r="F645" s="100"/>
    </row>
    <row r="646" spans="2:6" ht="12.75" customHeight="1" x14ac:dyDescent="0.25">
      <c r="B646" s="100"/>
      <c r="E646" s="100"/>
      <c r="F646" s="100"/>
    </row>
    <row r="647" spans="2:6" ht="12.75" customHeight="1" x14ac:dyDescent="0.25">
      <c r="B647" s="100"/>
      <c r="E647" s="100"/>
      <c r="F647" s="100"/>
    </row>
    <row r="648" spans="2:6" ht="12.75" customHeight="1" x14ac:dyDescent="0.25">
      <c r="B648" s="100"/>
      <c r="E648" s="100"/>
      <c r="F648" s="100"/>
    </row>
    <row r="649" spans="2:6" ht="12.75" customHeight="1" x14ac:dyDescent="0.25">
      <c r="B649" s="100"/>
      <c r="E649" s="100"/>
      <c r="F649" s="100"/>
    </row>
    <row r="650" spans="2:6" ht="12.75" customHeight="1" x14ac:dyDescent="0.25">
      <c r="B650" s="100"/>
      <c r="E650" s="100"/>
      <c r="F650" s="100"/>
    </row>
    <row r="651" spans="2:6" ht="12.75" customHeight="1" x14ac:dyDescent="0.25">
      <c r="B651" s="100"/>
      <c r="E651" s="100"/>
      <c r="F651" s="100"/>
    </row>
    <row r="652" spans="2:6" ht="12.75" customHeight="1" x14ac:dyDescent="0.25">
      <c r="B652" s="100"/>
      <c r="E652" s="100"/>
      <c r="F652" s="100"/>
    </row>
    <row r="653" spans="2:6" ht="12.75" customHeight="1" x14ac:dyDescent="0.25">
      <c r="B653" s="100"/>
      <c r="E653" s="100"/>
      <c r="F653" s="100"/>
    </row>
    <row r="654" spans="2:6" ht="12.75" customHeight="1" x14ac:dyDescent="0.25">
      <c r="B654" s="100"/>
      <c r="E654" s="100"/>
      <c r="F654" s="100"/>
    </row>
    <row r="655" spans="2:6" ht="12.75" customHeight="1" x14ac:dyDescent="0.25">
      <c r="B655" s="100"/>
      <c r="E655" s="100"/>
      <c r="F655" s="100"/>
    </row>
    <row r="656" spans="2:6" ht="12.75" customHeight="1" x14ac:dyDescent="0.25">
      <c r="B656" s="100"/>
      <c r="E656" s="100"/>
      <c r="F656" s="100"/>
    </row>
    <row r="657" spans="2:6" ht="12.75" customHeight="1" x14ac:dyDescent="0.25">
      <c r="B657" s="100"/>
      <c r="E657" s="100"/>
      <c r="F657" s="100"/>
    </row>
    <row r="658" spans="2:6" ht="12.75" customHeight="1" x14ac:dyDescent="0.25">
      <c r="B658" s="100"/>
      <c r="E658" s="100"/>
      <c r="F658" s="100"/>
    </row>
    <row r="659" spans="2:6" ht="12.75" customHeight="1" x14ac:dyDescent="0.25">
      <c r="B659" s="100"/>
      <c r="E659" s="100"/>
      <c r="F659" s="100"/>
    </row>
    <row r="660" spans="2:6" ht="12.75" customHeight="1" x14ac:dyDescent="0.25">
      <c r="B660" s="100"/>
      <c r="E660" s="100"/>
      <c r="F660" s="100"/>
    </row>
    <row r="661" spans="2:6" ht="12.75" customHeight="1" x14ac:dyDescent="0.25">
      <c r="B661" s="100"/>
      <c r="E661" s="100"/>
      <c r="F661" s="100"/>
    </row>
    <row r="662" spans="2:6" ht="12.75" customHeight="1" x14ac:dyDescent="0.25">
      <c r="B662" s="100"/>
      <c r="E662" s="100"/>
      <c r="F662" s="100"/>
    </row>
    <row r="663" spans="2:6" ht="12.75" customHeight="1" x14ac:dyDescent="0.25">
      <c r="B663" s="100"/>
      <c r="E663" s="100"/>
      <c r="F663" s="100"/>
    </row>
    <row r="664" spans="2:6" ht="12.75" customHeight="1" x14ac:dyDescent="0.25">
      <c r="B664" s="100"/>
      <c r="E664" s="100"/>
      <c r="F664" s="100"/>
    </row>
    <row r="665" spans="2:6" ht="12.75" customHeight="1" x14ac:dyDescent="0.25">
      <c r="B665" s="100"/>
      <c r="E665" s="100"/>
      <c r="F665" s="100"/>
    </row>
    <row r="666" spans="2:6" ht="12.75" customHeight="1" x14ac:dyDescent="0.25">
      <c r="B666" s="100"/>
      <c r="E666" s="100"/>
      <c r="F666" s="100"/>
    </row>
    <row r="667" spans="2:6" ht="12.75" customHeight="1" x14ac:dyDescent="0.25">
      <c r="B667" s="100"/>
      <c r="E667" s="100"/>
      <c r="F667" s="100"/>
    </row>
    <row r="668" spans="2:6" ht="12.75" customHeight="1" x14ac:dyDescent="0.25">
      <c r="B668" s="100"/>
      <c r="E668" s="100"/>
      <c r="F668" s="100"/>
    </row>
    <row r="669" spans="2:6" ht="12.75" customHeight="1" x14ac:dyDescent="0.25">
      <c r="B669" s="100"/>
      <c r="E669" s="100"/>
      <c r="F669" s="100"/>
    </row>
    <row r="670" spans="2:6" ht="12.75" customHeight="1" x14ac:dyDescent="0.25">
      <c r="B670" s="100"/>
      <c r="E670" s="100"/>
      <c r="F670" s="100"/>
    </row>
    <row r="671" spans="2:6" ht="12.75" customHeight="1" x14ac:dyDescent="0.25">
      <c r="B671" s="100"/>
      <c r="E671" s="100"/>
      <c r="F671" s="100"/>
    </row>
    <row r="672" spans="2:6" ht="12.75" customHeight="1" x14ac:dyDescent="0.25">
      <c r="B672" s="100"/>
      <c r="E672" s="100"/>
      <c r="F672" s="100"/>
    </row>
    <row r="673" spans="2:6" ht="12.75" customHeight="1" x14ac:dyDescent="0.25">
      <c r="B673" s="100"/>
      <c r="E673" s="100"/>
      <c r="F673" s="100"/>
    </row>
    <row r="674" spans="2:6" ht="12.75" customHeight="1" x14ac:dyDescent="0.25">
      <c r="B674" s="100"/>
      <c r="E674" s="100"/>
      <c r="F674" s="100"/>
    </row>
    <row r="675" spans="2:6" ht="12.75" customHeight="1" x14ac:dyDescent="0.25">
      <c r="B675" s="100"/>
      <c r="E675" s="100"/>
      <c r="F675" s="100"/>
    </row>
    <row r="676" spans="2:6" ht="12.75" customHeight="1" x14ac:dyDescent="0.25">
      <c r="B676" s="100"/>
      <c r="E676" s="100"/>
      <c r="F676" s="100"/>
    </row>
    <row r="677" spans="2:6" ht="12.75" customHeight="1" x14ac:dyDescent="0.25">
      <c r="B677" s="100"/>
      <c r="E677" s="100"/>
      <c r="F677" s="100"/>
    </row>
    <row r="678" spans="2:6" ht="12.75" customHeight="1" x14ac:dyDescent="0.25">
      <c r="B678" s="100"/>
      <c r="E678" s="100"/>
      <c r="F678" s="100"/>
    </row>
    <row r="679" spans="2:6" ht="12.75" customHeight="1" x14ac:dyDescent="0.25">
      <c r="B679" s="100"/>
      <c r="E679" s="100"/>
      <c r="F679" s="100"/>
    </row>
    <row r="680" spans="2:6" ht="12.75" customHeight="1" x14ac:dyDescent="0.25">
      <c r="B680" s="100"/>
      <c r="E680" s="100"/>
      <c r="F680" s="100"/>
    </row>
    <row r="681" spans="2:6" ht="12.75" customHeight="1" x14ac:dyDescent="0.25">
      <c r="B681" s="100"/>
      <c r="E681" s="100"/>
      <c r="F681" s="100"/>
    </row>
    <row r="682" spans="2:6" ht="12.75" customHeight="1" x14ac:dyDescent="0.25">
      <c r="B682" s="100"/>
      <c r="E682" s="100"/>
      <c r="F682" s="100"/>
    </row>
    <row r="683" spans="2:6" ht="12.75" customHeight="1" x14ac:dyDescent="0.25">
      <c r="B683" s="100"/>
      <c r="E683" s="100"/>
      <c r="F683" s="100"/>
    </row>
    <row r="684" spans="2:6" ht="12.75" customHeight="1" x14ac:dyDescent="0.25">
      <c r="B684" s="100"/>
      <c r="E684" s="100"/>
      <c r="F684" s="100"/>
    </row>
    <row r="685" spans="2:6" ht="12.75" customHeight="1" x14ac:dyDescent="0.25">
      <c r="B685" s="100"/>
      <c r="E685" s="100"/>
      <c r="F685" s="100"/>
    </row>
    <row r="686" spans="2:6" ht="12.75" customHeight="1" x14ac:dyDescent="0.25">
      <c r="B686" s="100"/>
      <c r="E686" s="100"/>
      <c r="F686" s="100"/>
    </row>
    <row r="687" spans="2:6" ht="12.75" customHeight="1" x14ac:dyDescent="0.25">
      <c r="B687" s="100"/>
      <c r="E687" s="100"/>
      <c r="F687" s="100"/>
    </row>
    <row r="688" spans="2:6" ht="12.75" customHeight="1" x14ac:dyDescent="0.25">
      <c r="B688" s="100"/>
      <c r="E688" s="100"/>
      <c r="F688" s="100"/>
    </row>
    <row r="689" spans="2:6" ht="12.75" customHeight="1" x14ac:dyDescent="0.25">
      <c r="B689" s="100"/>
      <c r="E689" s="100"/>
      <c r="F689" s="100"/>
    </row>
    <row r="690" spans="2:6" ht="12.75" customHeight="1" x14ac:dyDescent="0.25">
      <c r="B690" s="100"/>
      <c r="E690" s="100"/>
      <c r="F690" s="100"/>
    </row>
    <row r="691" spans="2:6" ht="12.75" customHeight="1" x14ac:dyDescent="0.25">
      <c r="B691" s="100"/>
      <c r="E691" s="100"/>
      <c r="F691" s="100"/>
    </row>
    <row r="692" spans="2:6" ht="12.75" customHeight="1" x14ac:dyDescent="0.25">
      <c r="B692" s="100"/>
      <c r="E692" s="100"/>
      <c r="F692" s="100"/>
    </row>
    <row r="693" spans="2:6" ht="12.75" customHeight="1" x14ac:dyDescent="0.25">
      <c r="B693" s="100"/>
      <c r="E693" s="100"/>
      <c r="F693" s="100"/>
    </row>
    <row r="694" spans="2:6" ht="12.75" customHeight="1" x14ac:dyDescent="0.25">
      <c r="B694" s="100"/>
      <c r="E694" s="100"/>
      <c r="F694" s="100"/>
    </row>
    <row r="695" spans="2:6" ht="12.75" customHeight="1" x14ac:dyDescent="0.25">
      <c r="B695" s="100"/>
      <c r="E695" s="100"/>
      <c r="F695" s="100"/>
    </row>
    <row r="696" spans="2:6" ht="12.75" customHeight="1" x14ac:dyDescent="0.25">
      <c r="B696" s="100"/>
      <c r="E696" s="100"/>
      <c r="F696" s="100"/>
    </row>
    <row r="697" spans="2:6" ht="12.75" customHeight="1" x14ac:dyDescent="0.25">
      <c r="B697" s="100"/>
      <c r="E697" s="100"/>
      <c r="F697" s="100"/>
    </row>
    <row r="698" spans="2:6" ht="12.75" customHeight="1" x14ac:dyDescent="0.25">
      <c r="B698" s="100"/>
      <c r="E698" s="100"/>
      <c r="F698" s="100"/>
    </row>
    <row r="699" spans="2:6" ht="12.75" customHeight="1" x14ac:dyDescent="0.25">
      <c r="B699" s="100"/>
      <c r="E699" s="100"/>
      <c r="F699" s="100"/>
    </row>
    <row r="700" spans="2:6" ht="12.75" customHeight="1" x14ac:dyDescent="0.25">
      <c r="B700" s="100"/>
      <c r="E700" s="100"/>
      <c r="F700" s="100"/>
    </row>
    <row r="701" spans="2:6" ht="12.75" customHeight="1" x14ac:dyDescent="0.25">
      <c r="B701" s="100"/>
      <c r="E701" s="100"/>
      <c r="F701" s="100"/>
    </row>
    <row r="702" spans="2:6" ht="12.75" customHeight="1" x14ac:dyDescent="0.25">
      <c r="B702" s="100"/>
      <c r="E702" s="100"/>
      <c r="F702" s="100"/>
    </row>
    <row r="703" spans="2:6" ht="12.75" customHeight="1" x14ac:dyDescent="0.25">
      <c r="B703" s="100"/>
      <c r="E703" s="100"/>
      <c r="F703" s="100"/>
    </row>
    <row r="704" spans="2:6" ht="12.75" customHeight="1" x14ac:dyDescent="0.25">
      <c r="B704" s="100"/>
      <c r="E704" s="100"/>
      <c r="F704" s="100"/>
    </row>
    <row r="705" spans="2:6" ht="12.75" customHeight="1" x14ac:dyDescent="0.25">
      <c r="B705" s="100"/>
      <c r="E705" s="100"/>
      <c r="F705" s="100"/>
    </row>
    <row r="706" spans="2:6" ht="12.75" customHeight="1" x14ac:dyDescent="0.25">
      <c r="B706" s="100"/>
      <c r="E706" s="100"/>
      <c r="F706" s="100"/>
    </row>
    <row r="707" spans="2:6" ht="12.75" customHeight="1" x14ac:dyDescent="0.25">
      <c r="B707" s="100"/>
      <c r="E707" s="100"/>
      <c r="F707" s="100"/>
    </row>
    <row r="708" spans="2:6" ht="12.75" customHeight="1" x14ac:dyDescent="0.25">
      <c r="B708" s="100"/>
      <c r="E708" s="100"/>
      <c r="F708" s="100"/>
    </row>
    <row r="709" spans="2:6" ht="12.75" customHeight="1" x14ac:dyDescent="0.25">
      <c r="B709" s="100"/>
      <c r="E709" s="100"/>
      <c r="F709" s="100"/>
    </row>
    <row r="710" spans="2:6" ht="12.75" customHeight="1" x14ac:dyDescent="0.25">
      <c r="B710" s="100"/>
      <c r="E710" s="100"/>
      <c r="F710" s="100"/>
    </row>
    <row r="711" spans="2:6" ht="12.75" customHeight="1" x14ac:dyDescent="0.25">
      <c r="B711" s="100"/>
      <c r="E711" s="100"/>
      <c r="F711" s="100"/>
    </row>
    <row r="712" spans="2:6" ht="12.75" customHeight="1" x14ac:dyDescent="0.25">
      <c r="B712" s="100"/>
      <c r="E712" s="100"/>
      <c r="F712" s="100"/>
    </row>
    <row r="713" spans="2:6" ht="12.75" customHeight="1" x14ac:dyDescent="0.25">
      <c r="B713" s="100"/>
      <c r="E713" s="100"/>
      <c r="F713" s="100"/>
    </row>
    <row r="714" spans="2:6" ht="12.75" customHeight="1" x14ac:dyDescent="0.25">
      <c r="B714" s="100"/>
      <c r="E714" s="100"/>
      <c r="F714" s="100"/>
    </row>
    <row r="715" spans="2:6" ht="12.75" customHeight="1" x14ac:dyDescent="0.25">
      <c r="B715" s="100"/>
      <c r="E715" s="100"/>
      <c r="F715" s="100"/>
    </row>
    <row r="716" spans="2:6" ht="12.75" customHeight="1" x14ac:dyDescent="0.25">
      <c r="B716" s="100"/>
      <c r="E716" s="100"/>
      <c r="F716" s="100"/>
    </row>
    <row r="717" spans="2:6" ht="12.75" customHeight="1" x14ac:dyDescent="0.25">
      <c r="B717" s="100"/>
      <c r="E717" s="100"/>
      <c r="F717" s="100"/>
    </row>
    <row r="718" spans="2:6" ht="12.75" customHeight="1" x14ac:dyDescent="0.25">
      <c r="B718" s="100"/>
      <c r="E718" s="100"/>
      <c r="F718" s="100"/>
    </row>
    <row r="719" spans="2:6" ht="12.75" customHeight="1" x14ac:dyDescent="0.25">
      <c r="B719" s="100"/>
      <c r="E719" s="100"/>
      <c r="F719" s="100"/>
    </row>
    <row r="720" spans="2:6" ht="12.75" customHeight="1" x14ac:dyDescent="0.25">
      <c r="B720" s="100"/>
      <c r="E720" s="100"/>
      <c r="F720" s="100"/>
    </row>
    <row r="721" spans="2:6" ht="12.75" customHeight="1" x14ac:dyDescent="0.25">
      <c r="B721" s="100"/>
      <c r="E721" s="100"/>
      <c r="F721" s="100"/>
    </row>
    <row r="722" spans="2:6" ht="12.75" customHeight="1" x14ac:dyDescent="0.25">
      <c r="B722" s="100"/>
      <c r="E722" s="100"/>
      <c r="F722" s="100"/>
    </row>
    <row r="723" spans="2:6" ht="12.75" customHeight="1" x14ac:dyDescent="0.25">
      <c r="B723" s="100"/>
      <c r="E723" s="100"/>
      <c r="F723" s="100"/>
    </row>
    <row r="724" spans="2:6" ht="12.75" customHeight="1" x14ac:dyDescent="0.25">
      <c r="B724" s="100"/>
      <c r="E724" s="100"/>
      <c r="F724" s="100"/>
    </row>
    <row r="725" spans="2:6" ht="12.75" customHeight="1" x14ac:dyDescent="0.25">
      <c r="B725" s="100"/>
      <c r="E725" s="100"/>
      <c r="F725" s="100"/>
    </row>
    <row r="726" spans="2:6" ht="12.75" customHeight="1" x14ac:dyDescent="0.25">
      <c r="B726" s="100"/>
      <c r="E726" s="100"/>
      <c r="F726" s="100"/>
    </row>
    <row r="727" spans="2:6" ht="12.75" customHeight="1" x14ac:dyDescent="0.25">
      <c r="B727" s="100"/>
      <c r="E727" s="100"/>
      <c r="F727" s="100"/>
    </row>
    <row r="728" spans="2:6" ht="12.75" customHeight="1" x14ac:dyDescent="0.25">
      <c r="B728" s="100"/>
      <c r="E728" s="100"/>
      <c r="F728" s="100"/>
    </row>
    <row r="729" spans="2:6" ht="12.75" customHeight="1" x14ac:dyDescent="0.25">
      <c r="B729" s="100"/>
      <c r="E729" s="100"/>
      <c r="F729" s="100"/>
    </row>
    <row r="730" spans="2:6" ht="12.75" customHeight="1" x14ac:dyDescent="0.25">
      <c r="B730" s="100"/>
      <c r="E730" s="100"/>
      <c r="F730" s="100"/>
    </row>
    <row r="731" spans="2:6" ht="12.75" customHeight="1" x14ac:dyDescent="0.25">
      <c r="B731" s="100"/>
      <c r="E731" s="100"/>
      <c r="F731" s="100"/>
    </row>
    <row r="732" spans="2:6" ht="12.75" customHeight="1" x14ac:dyDescent="0.25">
      <c r="B732" s="100"/>
      <c r="E732" s="100"/>
      <c r="F732" s="100"/>
    </row>
    <row r="733" spans="2:6" ht="12.75" customHeight="1" x14ac:dyDescent="0.25">
      <c r="B733" s="100"/>
      <c r="E733" s="100"/>
      <c r="F733" s="100"/>
    </row>
    <row r="734" spans="2:6" ht="12.75" customHeight="1" x14ac:dyDescent="0.25">
      <c r="B734" s="100"/>
      <c r="E734" s="100"/>
      <c r="F734" s="100"/>
    </row>
    <row r="735" spans="2:6" ht="12.75" customHeight="1" x14ac:dyDescent="0.25">
      <c r="B735" s="100"/>
      <c r="E735" s="100"/>
      <c r="F735" s="100"/>
    </row>
    <row r="736" spans="2:6" ht="12.75" customHeight="1" x14ac:dyDescent="0.25">
      <c r="B736" s="100"/>
      <c r="E736" s="100"/>
      <c r="F736" s="100"/>
    </row>
    <row r="737" spans="2:6" ht="12.75" customHeight="1" x14ac:dyDescent="0.25">
      <c r="B737" s="100"/>
      <c r="E737" s="100"/>
      <c r="F737" s="100"/>
    </row>
    <row r="738" spans="2:6" ht="12.75" customHeight="1" x14ac:dyDescent="0.25">
      <c r="B738" s="100"/>
      <c r="E738" s="100"/>
      <c r="F738" s="100"/>
    </row>
    <row r="739" spans="2:6" ht="12.75" customHeight="1" x14ac:dyDescent="0.25">
      <c r="B739" s="100"/>
      <c r="E739" s="100"/>
      <c r="F739" s="100"/>
    </row>
    <row r="740" spans="2:6" ht="12.75" customHeight="1" x14ac:dyDescent="0.25">
      <c r="B740" s="100"/>
      <c r="E740" s="100"/>
      <c r="F740" s="100"/>
    </row>
    <row r="741" spans="2:6" ht="12.75" customHeight="1" x14ac:dyDescent="0.25">
      <c r="B741" s="100"/>
      <c r="E741" s="100"/>
      <c r="F741" s="100"/>
    </row>
    <row r="742" spans="2:6" ht="12.75" customHeight="1" x14ac:dyDescent="0.25">
      <c r="B742" s="100"/>
      <c r="E742" s="100"/>
      <c r="F742" s="100"/>
    </row>
    <row r="743" spans="2:6" ht="12.75" customHeight="1" x14ac:dyDescent="0.25">
      <c r="B743" s="100"/>
      <c r="E743" s="100"/>
      <c r="F743" s="100"/>
    </row>
    <row r="744" spans="2:6" ht="12.75" customHeight="1" x14ac:dyDescent="0.25">
      <c r="B744" s="100"/>
      <c r="E744" s="100"/>
      <c r="F744" s="100"/>
    </row>
    <row r="745" spans="2:6" ht="12.75" customHeight="1" x14ac:dyDescent="0.25">
      <c r="B745" s="100"/>
      <c r="E745" s="100"/>
      <c r="F745" s="100"/>
    </row>
    <row r="746" spans="2:6" ht="12.75" customHeight="1" x14ac:dyDescent="0.25">
      <c r="B746" s="100"/>
      <c r="E746" s="100"/>
      <c r="F746" s="100"/>
    </row>
    <row r="747" spans="2:6" ht="12.75" customHeight="1" x14ac:dyDescent="0.25">
      <c r="B747" s="100"/>
      <c r="E747" s="100"/>
      <c r="F747" s="100"/>
    </row>
    <row r="748" spans="2:6" ht="12.75" customHeight="1" x14ac:dyDescent="0.25">
      <c r="B748" s="100"/>
      <c r="E748" s="100"/>
      <c r="F748" s="100"/>
    </row>
    <row r="749" spans="2:6" ht="12.75" customHeight="1" x14ac:dyDescent="0.25">
      <c r="B749" s="100"/>
      <c r="E749" s="100"/>
      <c r="F749" s="100"/>
    </row>
    <row r="750" spans="2:6" ht="12.75" customHeight="1" x14ac:dyDescent="0.25">
      <c r="B750" s="100"/>
      <c r="E750" s="100"/>
      <c r="F750" s="100"/>
    </row>
    <row r="751" spans="2:6" ht="12.75" customHeight="1" x14ac:dyDescent="0.25">
      <c r="B751" s="100"/>
      <c r="E751" s="100"/>
      <c r="F751" s="100"/>
    </row>
    <row r="752" spans="2:6" ht="12.75" customHeight="1" x14ac:dyDescent="0.25">
      <c r="B752" s="100"/>
      <c r="E752" s="100"/>
      <c r="F752" s="100"/>
    </row>
    <row r="753" spans="2:6" ht="12.75" customHeight="1" x14ac:dyDescent="0.25">
      <c r="B753" s="100"/>
      <c r="E753" s="100"/>
      <c r="F753" s="100"/>
    </row>
    <row r="754" spans="2:6" ht="12.75" customHeight="1" x14ac:dyDescent="0.25">
      <c r="B754" s="100"/>
      <c r="E754" s="100"/>
      <c r="F754" s="100"/>
    </row>
    <row r="755" spans="2:6" ht="12.75" customHeight="1" x14ac:dyDescent="0.25">
      <c r="B755" s="100"/>
      <c r="E755" s="100"/>
      <c r="F755" s="100"/>
    </row>
    <row r="756" spans="2:6" ht="12.75" customHeight="1" x14ac:dyDescent="0.25">
      <c r="B756" s="100"/>
      <c r="E756" s="100"/>
      <c r="F756" s="100"/>
    </row>
    <row r="757" spans="2:6" ht="12.75" customHeight="1" x14ac:dyDescent="0.25">
      <c r="B757" s="100"/>
      <c r="E757" s="100"/>
      <c r="F757" s="100"/>
    </row>
    <row r="758" spans="2:6" ht="12.75" customHeight="1" x14ac:dyDescent="0.25">
      <c r="B758" s="100"/>
      <c r="E758" s="100"/>
      <c r="F758" s="100"/>
    </row>
    <row r="759" spans="2:6" ht="12.75" customHeight="1" x14ac:dyDescent="0.25">
      <c r="B759" s="100"/>
      <c r="E759" s="100"/>
      <c r="F759" s="100"/>
    </row>
    <row r="760" spans="2:6" ht="12.75" customHeight="1" x14ac:dyDescent="0.25">
      <c r="B760" s="100"/>
      <c r="E760" s="100"/>
      <c r="F760" s="100"/>
    </row>
    <row r="761" spans="2:6" ht="12.75" customHeight="1" x14ac:dyDescent="0.25">
      <c r="B761" s="100"/>
      <c r="E761" s="100"/>
      <c r="F761" s="100"/>
    </row>
    <row r="762" spans="2:6" ht="12.75" customHeight="1" x14ac:dyDescent="0.25">
      <c r="B762" s="100"/>
      <c r="E762" s="100"/>
      <c r="F762" s="100"/>
    </row>
    <row r="763" spans="2:6" ht="12.75" customHeight="1" x14ac:dyDescent="0.25">
      <c r="B763" s="100"/>
      <c r="E763" s="100"/>
      <c r="F763" s="100"/>
    </row>
    <row r="764" spans="2:6" ht="12.75" customHeight="1" x14ac:dyDescent="0.25">
      <c r="B764" s="100"/>
      <c r="E764" s="100"/>
      <c r="F764" s="100"/>
    </row>
    <row r="765" spans="2:6" ht="12.75" customHeight="1" x14ac:dyDescent="0.25">
      <c r="B765" s="100"/>
      <c r="E765" s="100"/>
      <c r="F765" s="100"/>
    </row>
    <row r="766" spans="2:6" ht="12.75" customHeight="1" x14ac:dyDescent="0.25">
      <c r="B766" s="100"/>
      <c r="E766" s="100"/>
      <c r="F766" s="100"/>
    </row>
    <row r="767" spans="2:6" ht="12.75" customHeight="1" x14ac:dyDescent="0.25">
      <c r="B767" s="100"/>
      <c r="E767" s="100"/>
      <c r="F767" s="100"/>
    </row>
    <row r="768" spans="2:6" ht="12.75" customHeight="1" x14ac:dyDescent="0.25">
      <c r="B768" s="100"/>
      <c r="E768" s="100"/>
      <c r="F768" s="100"/>
    </row>
    <row r="769" spans="2:6" ht="12.75" customHeight="1" x14ac:dyDescent="0.25">
      <c r="B769" s="100"/>
      <c r="E769" s="100"/>
      <c r="F769" s="100"/>
    </row>
    <row r="770" spans="2:6" ht="12.75" customHeight="1" x14ac:dyDescent="0.25">
      <c r="B770" s="100"/>
      <c r="E770" s="100"/>
      <c r="F770" s="100"/>
    </row>
    <row r="771" spans="2:6" ht="12.75" customHeight="1" x14ac:dyDescent="0.25">
      <c r="B771" s="100"/>
      <c r="E771" s="100"/>
      <c r="F771" s="100"/>
    </row>
    <row r="772" spans="2:6" ht="12.75" customHeight="1" x14ac:dyDescent="0.25">
      <c r="B772" s="100"/>
      <c r="E772" s="100"/>
      <c r="F772" s="100"/>
    </row>
    <row r="773" spans="2:6" ht="12.75" customHeight="1" x14ac:dyDescent="0.25">
      <c r="B773" s="100"/>
      <c r="E773" s="100"/>
      <c r="F773" s="100"/>
    </row>
    <row r="774" spans="2:6" ht="12.75" customHeight="1" x14ac:dyDescent="0.25">
      <c r="B774" s="100"/>
      <c r="E774" s="100"/>
      <c r="F774" s="100"/>
    </row>
    <row r="775" spans="2:6" ht="12.75" customHeight="1" x14ac:dyDescent="0.25">
      <c r="B775" s="100"/>
      <c r="E775" s="100"/>
      <c r="F775" s="100"/>
    </row>
    <row r="776" spans="2:6" ht="12.75" customHeight="1" x14ac:dyDescent="0.25">
      <c r="B776" s="100"/>
      <c r="E776" s="100"/>
      <c r="F776" s="100"/>
    </row>
    <row r="777" spans="2:6" ht="12.75" customHeight="1" x14ac:dyDescent="0.25">
      <c r="B777" s="100"/>
      <c r="E777" s="100"/>
      <c r="F777" s="100"/>
    </row>
    <row r="778" spans="2:6" ht="12.75" customHeight="1" x14ac:dyDescent="0.25">
      <c r="B778" s="100"/>
      <c r="E778" s="100"/>
      <c r="F778" s="100"/>
    </row>
    <row r="779" spans="2:6" ht="12.75" customHeight="1" x14ac:dyDescent="0.25">
      <c r="B779" s="100"/>
      <c r="E779" s="100"/>
      <c r="F779" s="100"/>
    </row>
    <row r="780" spans="2:6" ht="12.75" customHeight="1" x14ac:dyDescent="0.25">
      <c r="B780" s="100"/>
      <c r="E780" s="100"/>
      <c r="F780" s="100"/>
    </row>
    <row r="781" spans="2:6" ht="12.75" customHeight="1" x14ac:dyDescent="0.25">
      <c r="B781" s="100"/>
      <c r="E781" s="100"/>
      <c r="F781" s="100"/>
    </row>
    <row r="782" spans="2:6" ht="12.75" customHeight="1" x14ac:dyDescent="0.25">
      <c r="B782" s="100"/>
      <c r="E782" s="100"/>
      <c r="F782" s="100"/>
    </row>
    <row r="783" spans="2:6" ht="12.75" customHeight="1" x14ac:dyDescent="0.25">
      <c r="B783" s="100"/>
      <c r="E783" s="100"/>
      <c r="F783" s="100"/>
    </row>
    <row r="784" spans="2:6" ht="12.75" customHeight="1" x14ac:dyDescent="0.25">
      <c r="B784" s="100"/>
      <c r="E784" s="100"/>
      <c r="F784" s="100"/>
    </row>
    <row r="785" spans="2:6" ht="12.75" customHeight="1" x14ac:dyDescent="0.25">
      <c r="B785" s="100"/>
      <c r="E785" s="100"/>
      <c r="F785" s="100"/>
    </row>
    <row r="786" spans="2:6" ht="12.75" customHeight="1" x14ac:dyDescent="0.25">
      <c r="B786" s="100"/>
      <c r="E786" s="100"/>
      <c r="F786" s="100"/>
    </row>
    <row r="787" spans="2:6" ht="12.75" customHeight="1" x14ac:dyDescent="0.25">
      <c r="B787" s="100"/>
      <c r="E787" s="100"/>
      <c r="F787" s="100"/>
    </row>
    <row r="788" spans="2:6" ht="12.75" customHeight="1" x14ac:dyDescent="0.25">
      <c r="B788" s="100"/>
      <c r="E788" s="100"/>
      <c r="F788" s="100"/>
    </row>
    <row r="789" spans="2:6" ht="12.75" customHeight="1" x14ac:dyDescent="0.25">
      <c r="B789" s="100"/>
      <c r="E789" s="100"/>
      <c r="F789" s="100"/>
    </row>
    <row r="790" spans="2:6" ht="12.75" customHeight="1" x14ac:dyDescent="0.25">
      <c r="B790" s="100"/>
      <c r="E790" s="100"/>
      <c r="F790" s="100"/>
    </row>
    <row r="791" spans="2:6" ht="12.75" customHeight="1" x14ac:dyDescent="0.25">
      <c r="B791" s="100"/>
      <c r="E791" s="100"/>
      <c r="F791" s="100"/>
    </row>
    <row r="792" spans="2:6" ht="12.75" customHeight="1" x14ac:dyDescent="0.25">
      <c r="B792" s="100"/>
      <c r="E792" s="100"/>
      <c r="F792" s="100"/>
    </row>
    <row r="793" spans="2:6" ht="12.75" customHeight="1" x14ac:dyDescent="0.25">
      <c r="B793" s="100"/>
      <c r="E793" s="100"/>
      <c r="F793" s="100"/>
    </row>
    <row r="794" spans="2:6" ht="12.75" customHeight="1" x14ac:dyDescent="0.25">
      <c r="B794" s="100"/>
      <c r="E794" s="100"/>
      <c r="F794" s="100"/>
    </row>
    <row r="795" spans="2:6" ht="12.75" customHeight="1" x14ac:dyDescent="0.25">
      <c r="B795" s="100"/>
      <c r="E795" s="100"/>
      <c r="F795" s="100"/>
    </row>
    <row r="796" spans="2:6" ht="12.75" customHeight="1" x14ac:dyDescent="0.25">
      <c r="B796" s="100"/>
      <c r="E796" s="100"/>
      <c r="F796" s="100"/>
    </row>
    <row r="797" spans="2:6" ht="12.75" customHeight="1" x14ac:dyDescent="0.25">
      <c r="B797" s="100"/>
      <c r="E797" s="100"/>
      <c r="F797" s="100"/>
    </row>
    <row r="798" spans="2:6" ht="12.75" customHeight="1" x14ac:dyDescent="0.25">
      <c r="B798" s="100"/>
      <c r="E798" s="100"/>
      <c r="F798" s="100"/>
    </row>
    <row r="799" spans="2:6" ht="12.75" customHeight="1" x14ac:dyDescent="0.25">
      <c r="B799" s="100"/>
      <c r="E799" s="100"/>
      <c r="F799" s="100"/>
    </row>
    <row r="800" spans="2:6" ht="12.75" customHeight="1" x14ac:dyDescent="0.25">
      <c r="B800" s="100"/>
      <c r="E800" s="100"/>
      <c r="F800" s="100"/>
    </row>
    <row r="801" spans="2:6" ht="12.75" customHeight="1" x14ac:dyDescent="0.25">
      <c r="B801" s="100"/>
      <c r="E801" s="100"/>
      <c r="F801" s="100"/>
    </row>
    <row r="802" spans="2:6" ht="12.75" customHeight="1" x14ac:dyDescent="0.25">
      <c r="B802" s="100"/>
      <c r="E802" s="100"/>
      <c r="F802" s="100"/>
    </row>
    <row r="803" spans="2:6" ht="12.75" customHeight="1" x14ac:dyDescent="0.25">
      <c r="B803" s="100"/>
      <c r="E803" s="100"/>
      <c r="F803" s="100"/>
    </row>
    <row r="804" spans="2:6" ht="12.75" customHeight="1" x14ac:dyDescent="0.25">
      <c r="B804" s="100"/>
      <c r="E804" s="100"/>
      <c r="F804" s="100"/>
    </row>
    <row r="805" spans="2:6" ht="12.75" customHeight="1" x14ac:dyDescent="0.25">
      <c r="B805" s="100"/>
      <c r="E805" s="100"/>
      <c r="F805" s="100"/>
    </row>
    <row r="806" spans="2:6" ht="12.75" customHeight="1" x14ac:dyDescent="0.25">
      <c r="B806" s="100"/>
      <c r="E806" s="100"/>
      <c r="F806" s="100"/>
    </row>
    <row r="807" spans="2:6" ht="12.75" customHeight="1" x14ac:dyDescent="0.25">
      <c r="B807" s="100"/>
      <c r="E807" s="100"/>
      <c r="F807" s="100"/>
    </row>
    <row r="808" spans="2:6" ht="12.75" customHeight="1" x14ac:dyDescent="0.25">
      <c r="B808" s="100"/>
      <c r="E808" s="100"/>
      <c r="F808" s="100"/>
    </row>
    <row r="809" spans="2:6" ht="12.75" customHeight="1" x14ac:dyDescent="0.25">
      <c r="B809" s="100"/>
      <c r="E809" s="100"/>
      <c r="F809" s="100"/>
    </row>
    <row r="810" spans="2:6" ht="12.75" customHeight="1" x14ac:dyDescent="0.25">
      <c r="B810" s="100"/>
      <c r="E810" s="100"/>
      <c r="F810" s="100"/>
    </row>
    <row r="811" spans="2:6" ht="12.75" customHeight="1" x14ac:dyDescent="0.25">
      <c r="B811" s="100"/>
      <c r="E811" s="100"/>
      <c r="F811" s="100"/>
    </row>
    <row r="812" spans="2:6" ht="12.75" customHeight="1" x14ac:dyDescent="0.25">
      <c r="B812" s="100"/>
      <c r="E812" s="100"/>
      <c r="F812" s="100"/>
    </row>
    <row r="813" spans="2:6" ht="12.75" customHeight="1" x14ac:dyDescent="0.25">
      <c r="B813" s="100"/>
      <c r="E813" s="100"/>
      <c r="F813" s="100"/>
    </row>
    <row r="814" spans="2:6" ht="12.75" customHeight="1" x14ac:dyDescent="0.25">
      <c r="B814" s="100"/>
      <c r="E814" s="100"/>
      <c r="F814" s="100"/>
    </row>
    <row r="815" spans="2:6" ht="12.75" customHeight="1" x14ac:dyDescent="0.25">
      <c r="B815" s="100"/>
      <c r="E815" s="100"/>
      <c r="F815" s="100"/>
    </row>
    <row r="816" spans="2:6" ht="12.75" customHeight="1" x14ac:dyDescent="0.25">
      <c r="B816" s="100"/>
      <c r="E816" s="100"/>
      <c r="F816" s="100"/>
    </row>
    <row r="817" spans="2:6" ht="12.75" customHeight="1" x14ac:dyDescent="0.25">
      <c r="B817" s="100"/>
      <c r="E817" s="100"/>
      <c r="F817" s="100"/>
    </row>
    <row r="818" spans="2:6" ht="12.75" customHeight="1" x14ac:dyDescent="0.25">
      <c r="B818" s="100"/>
      <c r="E818" s="100"/>
      <c r="F818" s="100"/>
    </row>
    <row r="819" spans="2:6" ht="12.75" customHeight="1" x14ac:dyDescent="0.25">
      <c r="B819" s="100"/>
      <c r="E819" s="100"/>
      <c r="F819" s="100"/>
    </row>
    <row r="820" spans="2:6" ht="12.75" customHeight="1" x14ac:dyDescent="0.25">
      <c r="B820" s="100"/>
      <c r="E820" s="100"/>
      <c r="F820" s="100"/>
    </row>
    <row r="821" spans="2:6" ht="12.75" customHeight="1" x14ac:dyDescent="0.25">
      <c r="B821" s="100"/>
      <c r="E821" s="100"/>
      <c r="F821" s="100"/>
    </row>
    <row r="822" spans="2:6" ht="12.75" customHeight="1" x14ac:dyDescent="0.25">
      <c r="B822" s="100"/>
      <c r="E822" s="100"/>
      <c r="F822" s="100"/>
    </row>
    <row r="823" spans="2:6" ht="12.75" customHeight="1" x14ac:dyDescent="0.25">
      <c r="B823" s="100"/>
      <c r="E823" s="100"/>
      <c r="F823" s="100"/>
    </row>
    <row r="824" spans="2:6" ht="12.75" customHeight="1" x14ac:dyDescent="0.25">
      <c r="B824" s="100"/>
      <c r="E824" s="100"/>
      <c r="F824" s="100"/>
    </row>
    <row r="825" spans="2:6" ht="12.75" customHeight="1" x14ac:dyDescent="0.25">
      <c r="B825" s="100"/>
      <c r="E825" s="100"/>
      <c r="F825" s="100"/>
    </row>
    <row r="826" spans="2:6" ht="12.75" customHeight="1" x14ac:dyDescent="0.25">
      <c r="B826" s="100"/>
      <c r="E826" s="100"/>
      <c r="F826" s="100"/>
    </row>
    <row r="827" spans="2:6" ht="12.75" customHeight="1" x14ac:dyDescent="0.25">
      <c r="B827" s="100"/>
      <c r="E827" s="100"/>
      <c r="F827" s="100"/>
    </row>
    <row r="828" spans="2:6" ht="12.75" customHeight="1" x14ac:dyDescent="0.25">
      <c r="B828" s="100"/>
      <c r="E828" s="100"/>
      <c r="F828" s="100"/>
    </row>
    <row r="829" spans="2:6" ht="12.75" customHeight="1" x14ac:dyDescent="0.25">
      <c r="B829" s="100"/>
      <c r="E829" s="100"/>
      <c r="F829" s="100"/>
    </row>
    <row r="830" spans="2:6" ht="12.75" customHeight="1" x14ac:dyDescent="0.25">
      <c r="B830" s="100"/>
      <c r="E830" s="100"/>
      <c r="F830" s="100"/>
    </row>
    <row r="831" spans="2:6" ht="12.75" customHeight="1" x14ac:dyDescent="0.25">
      <c r="B831" s="100"/>
      <c r="E831" s="100"/>
      <c r="F831" s="100"/>
    </row>
    <row r="832" spans="2:6" ht="12.75" customHeight="1" x14ac:dyDescent="0.25">
      <c r="B832" s="100"/>
      <c r="E832" s="100"/>
      <c r="F832" s="100"/>
    </row>
    <row r="833" spans="2:6" ht="12.75" customHeight="1" x14ac:dyDescent="0.25">
      <c r="B833" s="100"/>
      <c r="E833" s="100"/>
      <c r="F833" s="100"/>
    </row>
    <row r="834" spans="2:6" ht="12.75" customHeight="1" x14ac:dyDescent="0.25">
      <c r="B834" s="100"/>
      <c r="E834" s="100"/>
      <c r="F834" s="100"/>
    </row>
    <row r="835" spans="2:6" ht="12.75" customHeight="1" x14ac:dyDescent="0.25">
      <c r="B835" s="100"/>
      <c r="E835" s="100"/>
      <c r="F835" s="100"/>
    </row>
    <row r="836" spans="2:6" ht="12.75" customHeight="1" x14ac:dyDescent="0.25">
      <c r="B836" s="100"/>
      <c r="E836" s="100"/>
      <c r="F836" s="100"/>
    </row>
    <row r="837" spans="2:6" ht="12.75" customHeight="1" x14ac:dyDescent="0.25">
      <c r="B837" s="100"/>
      <c r="E837" s="100"/>
      <c r="F837" s="100"/>
    </row>
    <row r="838" spans="2:6" ht="12.75" customHeight="1" x14ac:dyDescent="0.25">
      <c r="B838" s="100"/>
      <c r="E838" s="100"/>
      <c r="F838" s="100"/>
    </row>
    <row r="839" spans="2:6" ht="12.75" customHeight="1" x14ac:dyDescent="0.25">
      <c r="B839" s="100"/>
      <c r="E839" s="100"/>
      <c r="F839" s="100"/>
    </row>
    <row r="840" spans="2:6" ht="12.75" customHeight="1" x14ac:dyDescent="0.25">
      <c r="B840" s="100"/>
      <c r="E840" s="100"/>
      <c r="F840" s="100"/>
    </row>
    <row r="841" spans="2:6" ht="12.75" customHeight="1" x14ac:dyDescent="0.25">
      <c r="B841" s="100"/>
      <c r="E841" s="100"/>
      <c r="F841" s="100"/>
    </row>
    <row r="842" spans="2:6" ht="12.75" customHeight="1" x14ac:dyDescent="0.25">
      <c r="B842" s="100"/>
      <c r="E842" s="100"/>
      <c r="F842" s="100"/>
    </row>
    <row r="843" spans="2:6" ht="12.75" customHeight="1" x14ac:dyDescent="0.25">
      <c r="B843" s="100"/>
      <c r="E843" s="100"/>
      <c r="F843" s="100"/>
    </row>
    <row r="844" spans="2:6" ht="12.75" customHeight="1" x14ac:dyDescent="0.25">
      <c r="B844" s="100"/>
      <c r="E844" s="100"/>
      <c r="F844" s="100"/>
    </row>
    <row r="845" spans="2:6" ht="12.75" customHeight="1" x14ac:dyDescent="0.25">
      <c r="B845" s="100"/>
      <c r="E845" s="100"/>
      <c r="F845" s="100"/>
    </row>
    <row r="846" spans="2:6" ht="12.75" customHeight="1" x14ac:dyDescent="0.25">
      <c r="B846" s="100"/>
      <c r="E846" s="100"/>
      <c r="F846" s="100"/>
    </row>
    <row r="847" spans="2:6" ht="12.75" customHeight="1" x14ac:dyDescent="0.25">
      <c r="B847" s="100"/>
      <c r="E847" s="100"/>
      <c r="F847" s="100"/>
    </row>
    <row r="848" spans="2:6" ht="12.75" customHeight="1" x14ac:dyDescent="0.25">
      <c r="B848" s="100"/>
      <c r="E848" s="100"/>
      <c r="F848" s="100"/>
    </row>
    <row r="849" spans="2:6" ht="12.75" customHeight="1" x14ac:dyDescent="0.25">
      <c r="B849" s="100"/>
      <c r="E849" s="100"/>
      <c r="F849" s="100"/>
    </row>
    <row r="850" spans="2:6" ht="12.75" customHeight="1" x14ac:dyDescent="0.25">
      <c r="B850" s="100"/>
      <c r="E850" s="100"/>
      <c r="F850" s="100"/>
    </row>
    <row r="851" spans="2:6" ht="12.75" customHeight="1" x14ac:dyDescent="0.25">
      <c r="B851" s="100"/>
      <c r="E851" s="100"/>
      <c r="F851" s="100"/>
    </row>
    <row r="852" spans="2:6" ht="12.75" customHeight="1" x14ac:dyDescent="0.25">
      <c r="B852" s="100"/>
      <c r="E852" s="100"/>
      <c r="F852" s="100"/>
    </row>
    <row r="853" spans="2:6" ht="12.75" customHeight="1" x14ac:dyDescent="0.25">
      <c r="B853" s="100"/>
      <c r="E853" s="100"/>
      <c r="F853" s="100"/>
    </row>
    <row r="854" spans="2:6" ht="12.75" customHeight="1" x14ac:dyDescent="0.25">
      <c r="B854" s="100"/>
      <c r="E854" s="100"/>
      <c r="F854" s="100"/>
    </row>
    <row r="855" spans="2:6" ht="12.75" customHeight="1" x14ac:dyDescent="0.25">
      <c r="B855" s="100"/>
      <c r="E855" s="100"/>
      <c r="F855" s="100"/>
    </row>
    <row r="856" spans="2:6" ht="12.75" customHeight="1" x14ac:dyDescent="0.25">
      <c r="B856" s="100"/>
      <c r="E856" s="100"/>
      <c r="F856" s="100"/>
    </row>
    <row r="857" spans="2:6" ht="12.75" customHeight="1" x14ac:dyDescent="0.25">
      <c r="B857" s="100"/>
      <c r="E857" s="100"/>
      <c r="F857" s="100"/>
    </row>
    <row r="858" spans="2:6" ht="12.75" customHeight="1" x14ac:dyDescent="0.25">
      <c r="B858" s="100"/>
      <c r="E858" s="100"/>
      <c r="F858" s="100"/>
    </row>
    <row r="859" spans="2:6" ht="12.75" customHeight="1" x14ac:dyDescent="0.25">
      <c r="B859" s="100"/>
      <c r="E859" s="100"/>
      <c r="F859" s="100"/>
    </row>
    <row r="860" spans="2:6" ht="12.75" customHeight="1" x14ac:dyDescent="0.25">
      <c r="B860" s="100"/>
      <c r="E860" s="100"/>
      <c r="F860" s="100"/>
    </row>
    <row r="861" spans="2:6" ht="12.75" customHeight="1" x14ac:dyDescent="0.25">
      <c r="B861" s="100"/>
      <c r="E861" s="100"/>
      <c r="F861" s="100"/>
    </row>
    <row r="862" spans="2:6" ht="12.75" customHeight="1" x14ac:dyDescent="0.25">
      <c r="B862" s="100"/>
      <c r="E862" s="100"/>
      <c r="F862" s="100"/>
    </row>
    <row r="863" spans="2:6" ht="12.75" customHeight="1" x14ac:dyDescent="0.25">
      <c r="B863" s="100"/>
      <c r="E863" s="100"/>
      <c r="F863" s="100"/>
    </row>
    <row r="864" spans="2:6" ht="12.75" customHeight="1" x14ac:dyDescent="0.25">
      <c r="B864" s="100"/>
      <c r="E864" s="100"/>
      <c r="F864" s="100"/>
    </row>
    <row r="865" spans="2:6" ht="12.75" customHeight="1" x14ac:dyDescent="0.25">
      <c r="B865" s="100"/>
      <c r="E865" s="100"/>
      <c r="F865" s="100"/>
    </row>
    <row r="866" spans="2:6" ht="12.75" customHeight="1" x14ac:dyDescent="0.25">
      <c r="B866" s="100"/>
      <c r="E866" s="100"/>
      <c r="F866" s="100"/>
    </row>
    <row r="867" spans="2:6" ht="12.75" customHeight="1" x14ac:dyDescent="0.25">
      <c r="B867" s="100"/>
      <c r="E867" s="100"/>
      <c r="F867" s="100"/>
    </row>
    <row r="868" spans="2:6" ht="12.75" customHeight="1" x14ac:dyDescent="0.25">
      <c r="B868" s="100"/>
      <c r="E868" s="100"/>
      <c r="F868" s="100"/>
    </row>
    <row r="869" spans="2:6" ht="12.75" customHeight="1" x14ac:dyDescent="0.25">
      <c r="B869" s="100"/>
      <c r="E869" s="100"/>
      <c r="F869" s="100"/>
    </row>
    <row r="870" spans="2:6" ht="12.75" customHeight="1" x14ac:dyDescent="0.25">
      <c r="B870" s="100"/>
      <c r="E870" s="100"/>
      <c r="F870" s="100"/>
    </row>
    <row r="871" spans="2:6" ht="12.75" customHeight="1" x14ac:dyDescent="0.25">
      <c r="B871" s="100"/>
      <c r="E871" s="100"/>
      <c r="F871" s="100"/>
    </row>
    <row r="872" spans="2:6" ht="12.75" customHeight="1" x14ac:dyDescent="0.25">
      <c r="B872" s="100"/>
      <c r="E872" s="100"/>
      <c r="F872" s="100"/>
    </row>
    <row r="873" spans="2:6" ht="12.75" customHeight="1" x14ac:dyDescent="0.25">
      <c r="B873" s="100"/>
      <c r="E873" s="100"/>
      <c r="F873" s="100"/>
    </row>
    <row r="874" spans="2:6" ht="12.75" customHeight="1" x14ac:dyDescent="0.25">
      <c r="B874" s="100"/>
      <c r="E874" s="100"/>
      <c r="F874" s="100"/>
    </row>
    <row r="875" spans="2:6" ht="12.75" customHeight="1" x14ac:dyDescent="0.25">
      <c r="B875" s="100"/>
      <c r="E875" s="100"/>
      <c r="F875" s="100"/>
    </row>
    <row r="876" spans="2:6" ht="12.75" customHeight="1" x14ac:dyDescent="0.25">
      <c r="B876" s="100"/>
      <c r="E876" s="100"/>
      <c r="F876" s="100"/>
    </row>
    <row r="877" spans="2:6" ht="12.75" customHeight="1" x14ac:dyDescent="0.25">
      <c r="B877" s="100"/>
      <c r="E877" s="100"/>
      <c r="F877" s="100"/>
    </row>
    <row r="878" spans="2:6" ht="12.75" customHeight="1" x14ac:dyDescent="0.25">
      <c r="B878" s="100"/>
      <c r="E878" s="100"/>
      <c r="F878" s="100"/>
    </row>
    <row r="879" spans="2:6" ht="12.75" customHeight="1" x14ac:dyDescent="0.25">
      <c r="B879" s="100"/>
      <c r="E879" s="100"/>
      <c r="F879" s="100"/>
    </row>
    <row r="880" spans="2:6" ht="12.75" customHeight="1" x14ac:dyDescent="0.25">
      <c r="B880" s="100"/>
      <c r="E880" s="100"/>
      <c r="F880" s="100"/>
    </row>
    <row r="881" spans="2:6" ht="12.75" customHeight="1" x14ac:dyDescent="0.25">
      <c r="B881" s="100"/>
      <c r="E881" s="100"/>
      <c r="F881" s="100"/>
    </row>
    <row r="882" spans="2:6" ht="12.75" customHeight="1" x14ac:dyDescent="0.25">
      <c r="B882" s="100"/>
      <c r="E882" s="100"/>
      <c r="F882" s="100"/>
    </row>
    <row r="883" spans="2:6" ht="12.75" customHeight="1" x14ac:dyDescent="0.25">
      <c r="B883" s="100"/>
      <c r="E883" s="100"/>
      <c r="F883" s="100"/>
    </row>
    <row r="884" spans="2:6" ht="12.75" customHeight="1" x14ac:dyDescent="0.25">
      <c r="B884" s="100"/>
      <c r="E884" s="100"/>
      <c r="F884" s="100"/>
    </row>
    <row r="885" spans="2:6" ht="12.75" customHeight="1" x14ac:dyDescent="0.25">
      <c r="B885" s="100"/>
      <c r="E885" s="100"/>
      <c r="F885" s="100"/>
    </row>
    <row r="886" spans="2:6" ht="12.75" customHeight="1" x14ac:dyDescent="0.25">
      <c r="B886" s="100"/>
      <c r="E886" s="100"/>
      <c r="F886" s="100"/>
    </row>
    <row r="887" spans="2:6" ht="12.75" customHeight="1" x14ac:dyDescent="0.25">
      <c r="B887" s="100"/>
      <c r="E887" s="100"/>
      <c r="F887" s="100"/>
    </row>
    <row r="888" spans="2:6" ht="12.75" customHeight="1" x14ac:dyDescent="0.25">
      <c r="B888" s="100"/>
      <c r="E888" s="100"/>
      <c r="F888" s="100"/>
    </row>
    <row r="889" spans="2:6" ht="12.75" customHeight="1" x14ac:dyDescent="0.25">
      <c r="B889" s="100"/>
      <c r="E889" s="100"/>
      <c r="F889" s="100"/>
    </row>
    <row r="890" spans="2:6" ht="12.75" customHeight="1" x14ac:dyDescent="0.25">
      <c r="B890" s="100"/>
      <c r="E890" s="100"/>
      <c r="F890" s="100"/>
    </row>
    <row r="891" spans="2:6" ht="12.75" customHeight="1" x14ac:dyDescent="0.25">
      <c r="B891" s="100"/>
      <c r="E891" s="100"/>
      <c r="F891" s="100"/>
    </row>
    <row r="892" spans="2:6" ht="12.75" customHeight="1" x14ac:dyDescent="0.25">
      <c r="B892" s="100"/>
      <c r="E892" s="100"/>
      <c r="F892" s="100"/>
    </row>
    <row r="893" spans="2:6" ht="12.75" customHeight="1" x14ac:dyDescent="0.25">
      <c r="B893" s="100"/>
      <c r="E893" s="100"/>
      <c r="F893" s="100"/>
    </row>
    <row r="894" spans="2:6" ht="12.75" customHeight="1" x14ac:dyDescent="0.25">
      <c r="B894" s="100"/>
      <c r="E894" s="100"/>
      <c r="F894" s="100"/>
    </row>
    <row r="895" spans="2:6" ht="12.75" customHeight="1" x14ac:dyDescent="0.25">
      <c r="B895" s="100"/>
      <c r="E895" s="100"/>
      <c r="F895" s="100"/>
    </row>
    <row r="896" spans="2:6" ht="12.75" customHeight="1" x14ac:dyDescent="0.25">
      <c r="B896" s="100"/>
      <c r="E896" s="100"/>
      <c r="F896" s="100"/>
    </row>
    <row r="897" spans="2:6" ht="12.75" customHeight="1" x14ac:dyDescent="0.25">
      <c r="B897" s="100"/>
      <c r="E897" s="100"/>
      <c r="F897" s="100"/>
    </row>
    <row r="898" spans="2:6" ht="12.75" customHeight="1" x14ac:dyDescent="0.25">
      <c r="B898" s="100"/>
      <c r="E898" s="100"/>
      <c r="F898" s="100"/>
    </row>
    <row r="899" spans="2:6" ht="12.75" customHeight="1" x14ac:dyDescent="0.25">
      <c r="B899" s="100"/>
      <c r="E899" s="100"/>
      <c r="F899" s="100"/>
    </row>
    <row r="900" spans="2:6" ht="12.75" customHeight="1" x14ac:dyDescent="0.25">
      <c r="B900" s="100"/>
      <c r="E900" s="100"/>
      <c r="F900" s="100"/>
    </row>
    <row r="901" spans="2:6" ht="12.75" customHeight="1" x14ac:dyDescent="0.25">
      <c r="B901" s="100"/>
      <c r="E901" s="100"/>
      <c r="F901" s="100"/>
    </row>
    <row r="902" spans="2:6" ht="12.75" customHeight="1" x14ac:dyDescent="0.25">
      <c r="B902" s="100"/>
      <c r="E902" s="100"/>
      <c r="F902" s="100"/>
    </row>
    <row r="903" spans="2:6" ht="12.75" customHeight="1" x14ac:dyDescent="0.25">
      <c r="B903" s="100"/>
      <c r="E903" s="100"/>
      <c r="F903" s="100"/>
    </row>
    <row r="904" spans="2:6" ht="12.75" customHeight="1" x14ac:dyDescent="0.25">
      <c r="B904" s="100"/>
      <c r="E904" s="100"/>
      <c r="F904" s="100"/>
    </row>
    <row r="905" spans="2:6" ht="12.75" customHeight="1" x14ac:dyDescent="0.25">
      <c r="B905" s="100"/>
      <c r="E905" s="100"/>
      <c r="F905" s="100"/>
    </row>
    <row r="906" spans="2:6" ht="12.75" customHeight="1" x14ac:dyDescent="0.25">
      <c r="B906" s="100"/>
      <c r="E906" s="100"/>
      <c r="F906" s="100"/>
    </row>
    <row r="907" spans="2:6" ht="12.75" customHeight="1" x14ac:dyDescent="0.25">
      <c r="B907" s="100"/>
      <c r="E907" s="100"/>
      <c r="F907" s="100"/>
    </row>
    <row r="908" spans="2:6" ht="12.75" customHeight="1" x14ac:dyDescent="0.25">
      <c r="B908" s="100"/>
      <c r="E908" s="100"/>
      <c r="F908" s="100"/>
    </row>
    <row r="909" spans="2:6" ht="12.75" customHeight="1" x14ac:dyDescent="0.25">
      <c r="B909" s="100"/>
      <c r="E909" s="100"/>
      <c r="F909" s="100"/>
    </row>
    <row r="910" spans="2:6" ht="12.75" customHeight="1" x14ac:dyDescent="0.25">
      <c r="B910" s="100"/>
      <c r="E910" s="100"/>
      <c r="F910" s="100"/>
    </row>
    <row r="911" spans="2:6" ht="12.75" customHeight="1" x14ac:dyDescent="0.25">
      <c r="B911" s="100"/>
      <c r="E911" s="100"/>
      <c r="F911" s="100"/>
    </row>
    <row r="912" spans="2:6" ht="12.75" customHeight="1" x14ac:dyDescent="0.25">
      <c r="B912" s="100"/>
      <c r="E912" s="100"/>
      <c r="F912" s="100"/>
    </row>
    <row r="913" spans="2:6" ht="12.75" customHeight="1" x14ac:dyDescent="0.25">
      <c r="B913" s="100"/>
      <c r="E913" s="100"/>
      <c r="F913" s="100"/>
    </row>
    <row r="914" spans="2:6" ht="12.75" customHeight="1" x14ac:dyDescent="0.25">
      <c r="B914" s="100"/>
      <c r="E914" s="100"/>
      <c r="F914" s="100"/>
    </row>
    <row r="915" spans="2:6" ht="12.75" customHeight="1" x14ac:dyDescent="0.25">
      <c r="B915" s="100"/>
      <c r="E915" s="100"/>
      <c r="F915" s="100"/>
    </row>
    <row r="916" spans="2:6" ht="12.75" customHeight="1" x14ac:dyDescent="0.25">
      <c r="B916" s="100"/>
      <c r="E916" s="100"/>
      <c r="F916" s="100"/>
    </row>
    <row r="917" spans="2:6" ht="12.75" customHeight="1" x14ac:dyDescent="0.25">
      <c r="B917" s="100"/>
      <c r="E917" s="100"/>
      <c r="F917" s="100"/>
    </row>
    <row r="918" spans="2:6" ht="12.75" customHeight="1" x14ac:dyDescent="0.25">
      <c r="B918" s="100"/>
      <c r="E918" s="100"/>
      <c r="F918" s="100"/>
    </row>
    <row r="919" spans="2:6" ht="12.75" customHeight="1" x14ac:dyDescent="0.25">
      <c r="B919" s="100"/>
      <c r="E919" s="100"/>
      <c r="F919" s="100"/>
    </row>
    <row r="920" spans="2:6" ht="12.75" customHeight="1" x14ac:dyDescent="0.25">
      <c r="B920" s="100"/>
      <c r="E920" s="100"/>
      <c r="F920" s="100"/>
    </row>
    <row r="921" spans="2:6" ht="12.75" customHeight="1" x14ac:dyDescent="0.25">
      <c r="B921" s="100"/>
      <c r="E921" s="100"/>
      <c r="F921" s="100"/>
    </row>
    <row r="922" spans="2:6" ht="12.75" customHeight="1" x14ac:dyDescent="0.25">
      <c r="B922" s="100"/>
      <c r="E922" s="100"/>
      <c r="F922" s="100"/>
    </row>
    <row r="923" spans="2:6" ht="12.75" customHeight="1" x14ac:dyDescent="0.25">
      <c r="B923" s="100"/>
      <c r="E923" s="100"/>
      <c r="F923" s="100"/>
    </row>
    <row r="924" spans="2:6" ht="12.75" customHeight="1" x14ac:dyDescent="0.25">
      <c r="B924" s="100"/>
      <c r="E924" s="100"/>
      <c r="F924" s="100"/>
    </row>
    <row r="925" spans="2:6" ht="12.75" customHeight="1" x14ac:dyDescent="0.25">
      <c r="B925" s="100"/>
      <c r="E925" s="100"/>
      <c r="F925" s="100"/>
    </row>
    <row r="926" spans="2:6" ht="12.75" customHeight="1" x14ac:dyDescent="0.25">
      <c r="B926" s="100"/>
      <c r="E926" s="100"/>
      <c r="F926" s="100"/>
    </row>
    <row r="927" spans="2:6" ht="12.75" customHeight="1" x14ac:dyDescent="0.25">
      <c r="B927" s="100"/>
      <c r="E927" s="100"/>
      <c r="F927" s="100"/>
    </row>
    <row r="928" spans="2:6" ht="12.75" customHeight="1" x14ac:dyDescent="0.25">
      <c r="B928" s="100"/>
      <c r="E928" s="100"/>
      <c r="F928" s="100"/>
    </row>
    <row r="929" spans="2:6" ht="12.75" customHeight="1" x14ac:dyDescent="0.25">
      <c r="B929" s="100"/>
      <c r="E929" s="100"/>
      <c r="F929" s="100"/>
    </row>
    <row r="930" spans="2:6" ht="12.75" customHeight="1" x14ac:dyDescent="0.25">
      <c r="B930" s="100"/>
      <c r="E930" s="100"/>
      <c r="F930" s="100"/>
    </row>
    <row r="931" spans="2:6" ht="12.75" customHeight="1" x14ac:dyDescent="0.25">
      <c r="B931" s="100"/>
      <c r="E931" s="100"/>
      <c r="F931" s="100"/>
    </row>
    <row r="932" spans="2:6" ht="12.75" customHeight="1" x14ac:dyDescent="0.25">
      <c r="B932" s="100"/>
      <c r="E932" s="100"/>
      <c r="F932" s="100"/>
    </row>
    <row r="933" spans="2:6" ht="12.75" customHeight="1" x14ac:dyDescent="0.25">
      <c r="B933" s="100"/>
      <c r="E933" s="100"/>
      <c r="F933" s="100"/>
    </row>
    <row r="934" spans="2:6" ht="12.75" customHeight="1" x14ac:dyDescent="0.25">
      <c r="B934" s="100"/>
      <c r="E934" s="100"/>
      <c r="F934" s="100"/>
    </row>
    <row r="935" spans="2:6" ht="12.75" customHeight="1" x14ac:dyDescent="0.25">
      <c r="B935" s="100"/>
      <c r="E935" s="100"/>
      <c r="F935" s="100"/>
    </row>
    <row r="936" spans="2:6" ht="12.75" customHeight="1" x14ac:dyDescent="0.25">
      <c r="B936" s="100"/>
      <c r="E936" s="100"/>
      <c r="F936" s="100"/>
    </row>
    <row r="937" spans="2:6" ht="12.75" customHeight="1" x14ac:dyDescent="0.25">
      <c r="B937" s="100"/>
      <c r="E937" s="100"/>
      <c r="F937" s="100"/>
    </row>
    <row r="938" spans="2:6" ht="12.75" customHeight="1" x14ac:dyDescent="0.25">
      <c r="B938" s="100"/>
      <c r="E938" s="100"/>
      <c r="F938" s="100"/>
    </row>
    <row r="939" spans="2:6" ht="12.75" customHeight="1" x14ac:dyDescent="0.25">
      <c r="B939" s="100"/>
      <c r="E939" s="100"/>
      <c r="F939" s="100"/>
    </row>
    <row r="940" spans="2:6" ht="12.75" customHeight="1" x14ac:dyDescent="0.25">
      <c r="B940" s="100"/>
      <c r="E940" s="100"/>
      <c r="F940" s="100"/>
    </row>
    <row r="941" spans="2:6" ht="12.75" customHeight="1" x14ac:dyDescent="0.25">
      <c r="B941" s="100"/>
      <c r="E941" s="100"/>
      <c r="F941" s="100"/>
    </row>
    <row r="942" spans="2:6" ht="12.75" customHeight="1" x14ac:dyDescent="0.25">
      <c r="B942" s="100"/>
      <c r="E942" s="100"/>
      <c r="F942" s="100"/>
    </row>
    <row r="943" spans="2:6" ht="12.75" customHeight="1" x14ac:dyDescent="0.25">
      <c r="B943" s="100"/>
      <c r="E943" s="100"/>
      <c r="F943" s="100"/>
    </row>
    <row r="944" spans="2:6" ht="12.75" customHeight="1" x14ac:dyDescent="0.25">
      <c r="B944" s="100"/>
      <c r="E944" s="100"/>
      <c r="F944" s="100"/>
    </row>
    <row r="945" spans="2:6" ht="12.75" customHeight="1" x14ac:dyDescent="0.25">
      <c r="B945" s="100"/>
      <c r="E945" s="100"/>
      <c r="F945" s="100"/>
    </row>
    <row r="946" spans="2:6" ht="12.75" customHeight="1" x14ac:dyDescent="0.25">
      <c r="B946" s="100"/>
      <c r="E946" s="100"/>
      <c r="F946" s="100"/>
    </row>
    <row r="947" spans="2:6" ht="12.75" customHeight="1" x14ac:dyDescent="0.25">
      <c r="B947" s="100"/>
      <c r="E947" s="100"/>
      <c r="F947" s="100"/>
    </row>
    <row r="948" spans="2:6" ht="12.75" customHeight="1" x14ac:dyDescent="0.25">
      <c r="B948" s="100"/>
      <c r="E948" s="100"/>
      <c r="F948" s="100"/>
    </row>
    <row r="949" spans="2:6" ht="12.75" customHeight="1" x14ac:dyDescent="0.25">
      <c r="B949" s="100"/>
      <c r="E949" s="100"/>
      <c r="F949" s="100"/>
    </row>
    <row r="950" spans="2:6" ht="12.75" customHeight="1" x14ac:dyDescent="0.25">
      <c r="B950" s="100"/>
      <c r="E950" s="100"/>
      <c r="F950" s="100"/>
    </row>
    <row r="951" spans="2:6" ht="12.75" customHeight="1" x14ac:dyDescent="0.25">
      <c r="B951" s="100"/>
      <c r="E951" s="100"/>
      <c r="F951" s="100"/>
    </row>
    <row r="952" spans="2:6" ht="12.75" customHeight="1" x14ac:dyDescent="0.25">
      <c r="B952" s="100"/>
      <c r="E952" s="100"/>
      <c r="F952" s="100"/>
    </row>
    <row r="953" spans="2:6" ht="12.75" customHeight="1" x14ac:dyDescent="0.25">
      <c r="B953" s="100"/>
      <c r="E953" s="100"/>
      <c r="F953" s="100"/>
    </row>
    <row r="954" spans="2:6" ht="12.75" customHeight="1" x14ac:dyDescent="0.25">
      <c r="B954" s="100"/>
      <c r="E954" s="100"/>
      <c r="F954" s="100"/>
    </row>
    <row r="955" spans="2:6" ht="12.75" customHeight="1" x14ac:dyDescent="0.25">
      <c r="B955" s="100"/>
      <c r="E955" s="100"/>
      <c r="F955" s="100"/>
    </row>
    <row r="956" spans="2:6" ht="12.75" customHeight="1" x14ac:dyDescent="0.25">
      <c r="B956" s="100"/>
      <c r="E956" s="100"/>
      <c r="F956" s="100"/>
    </row>
    <row r="957" spans="2:6" ht="12.75" customHeight="1" x14ac:dyDescent="0.25">
      <c r="B957" s="100"/>
      <c r="E957" s="100"/>
      <c r="F957" s="100"/>
    </row>
    <row r="958" spans="2:6" ht="12.75" customHeight="1" x14ac:dyDescent="0.25">
      <c r="B958" s="100"/>
      <c r="E958" s="100"/>
      <c r="F958" s="100"/>
    </row>
    <row r="959" spans="2:6" ht="12.75" customHeight="1" x14ac:dyDescent="0.25">
      <c r="B959" s="100"/>
      <c r="E959" s="100"/>
      <c r="F959" s="100"/>
    </row>
    <row r="960" spans="2:6" ht="12.75" customHeight="1" x14ac:dyDescent="0.25">
      <c r="B960" s="100"/>
      <c r="E960" s="100"/>
      <c r="F960" s="100"/>
    </row>
    <row r="961" spans="2:6" ht="12.75" customHeight="1" x14ac:dyDescent="0.25">
      <c r="B961" s="100"/>
      <c r="E961" s="100"/>
      <c r="F961" s="100"/>
    </row>
    <row r="962" spans="2:6" ht="12.75" customHeight="1" x14ac:dyDescent="0.25">
      <c r="B962" s="100"/>
      <c r="E962" s="100"/>
      <c r="F962" s="100"/>
    </row>
    <row r="963" spans="2:6" ht="12.75" customHeight="1" x14ac:dyDescent="0.25">
      <c r="B963" s="100"/>
      <c r="E963" s="100"/>
      <c r="F963" s="100"/>
    </row>
    <row r="964" spans="2:6" ht="12.75" customHeight="1" x14ac:dyDescent="0.25">
      <c r="B964" s="100"/>
      <c r="E964" s="100"/>
      <c r="F964" s="100"/>
    </row>
    <row r="965" spans="2:6" ht="12.75" customHeight="1" x14ac:dyDescent="0.25">
      <c r="B965" s="100"/>
      <c r="E965" s="100"/>
      <c r="F965" s="100"/>
    </row>
    <row r="966" spans="2:6" ht="12.75" customHeight="1" x14ac:dyDescent="0.25">
      <c r="B966" s="100"/>
      <c r="E966" s="100"/>
      <c r="F966" s="100"/>
    </row>
    <row r="967" spans="2:6" ht="12.75" customHeight="1" x14ac:dyDescent="0.25">
      <c r="B967" s="100"/>
      <c r="E967" s="100"/>
      <c r="F967" s="100"/>
    </row>
    <row r="968" spans="2:6" ht="12.75" customHeight="1" x14ac:dyDescent="0.25">
      <c r="B968" s="100"/>
      <c r="E968" s="100"/>
      <c r="F968" s="100"/>
    </row>
    <row r="969" spans="2:6" ht="12.75" customHeight="1" x14ac:dyDescent="0.25">
      <c r="B969" s="100"/>
      <c r="E969" s="100"/>
      <c r="F969" s="100"/>
    </row>
    <row r="970" spans="2:6" ht="12.75" customHeight="1" x14ac:dyDescent="0.25">
      <c r="B970" s="100"/>
      <c r="E970" s="100"/>
      <c r="F970" s="100"/>
    </row>
    <row r="971" spans="2:6" ht="12.75" customHeight="1" x14ac:dyDescent="0.25">
      <c r="B971" s="100"/>
      <c r="E971" s="100"/>
      <c r="F971" s="100"/>
    </row>
    <row r="972" spans="2:6" ht="12.75" customHeight="1" x14ac:dyDescent="0.25">
      <c r="B972" s="100"/>
      <c r="E972" s="100"/>
      <c r="F972" s="100"/>
    </row>
    <row r="973" spans="2:6" ht="12.75" customHeight="1" x14ac:dyDescent="0.25"/>
  </sheetData>
  <mergeCells count="12">
    <mergeCell ref="B35:J35"/>
    <mergeCell ref="B36:J36"/>
    <mergeCell ref="B2:H3"/>
    <mergeCell ref="B41:J41"/>
    <mergeCell ref="R25:U25"/>
    <mergeCell ref="R26:U26"/>
    <mergeCell ref="B61:H61"/>
    <mergeCell ref="B80:H80"/>
    <mergeCell ref="B62:H62"/>
    <mergeCell ref="B79:H79"/>
    <mergeCell ref="B42:J42"/>
    <mergeCell ref="B56:J56"/>
  </mergeCells>
  <printOptions horizontalCentered="1"/>
  <pageMargins left="0.4" right="0.4" top="1" bottom="0.5" header="0.3" footer="0.511811023622047"/>
  <pageSetup paperSize="9" scale="45" orientation="landscape" r:id="rId1"/>
  <legacy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B36CA-2F54-4F3A-9110-69D13A526155}">
  <sheetPr codeName="Sheet85">
    <tabColor rgb="FFFFFF00"/>
    <outlinePr summaryBelow="0" summaryRight="0"/>
    <pageSetUpPr fitToPage="1"/>
  </sheetPr>
  <dimension ref="A1:AD962"/>
  <sheetViews>
    <sheetView topLeftCell="G1" zoomScale="55" zoomScaleNormal="55" workbookViewId="0">
      <selection activeCell="Z24" sqref="Z24"/>
    </sheetView>
  </sheetViews>
  <sheetFormatPr defaultColWidth="12.5" defaultRowHeight="13" x14ac:dyDescent="0.3"/>
  <cols>
    <col min="1" max="1" width="12.5" style="667"/>
    <col min="2" max="2" width="31.33203125" style="667" bestFit="1" customWidth="1"/>
    <col min="3" max="3" width="24" style="667" customWidth="1"/>
    <col min="4" max="4" width="19" style="667" customWidth="1"/>
    <col min="5" max="5" width="16.1640625" style="667" bestFit="1" customWidth="1"/>
    <col min="6" max="6" width="23" style="667" customWidth="1"/>
    <col min="7" max="7" width="25.1640625" style="667" customWidth="1"/>
    <col min="8" max="8" width="36.1640625" style="667" bestFit="1" customWidth="1"/>
    <col min="9" max="10" width="12.5" style="667"/>
    <col min="11" max="11" width="10.9140625" style="667" customWidth="1"/>
    <col min="12" max="12" width="8.33203125" style="667" customWidth="1"/>
    <col min="13" max="17" width="3.58203125" style="667" customWidth="1"/>
    <col min="18" max="19" width="12.5" style="667"/>
    <col min="20" max="24" width="4.4140625" style="667" customWidth="1"/>
    <col min="25" max="16384" width="12.5" style="667"/>
  </cols>
  <sheetData>
    <row r="1" spans="1:30" ht="28.5" customHeight="1" x14ac:dyDescent="0.3">
      <c r="A1" s="14"/>
      <c r="B1" s="658" t="s">
        <v>243</v>
      </c>
      <c r="C1" s="663">
        <v>1000</v>
      </c>
      <c r="D1" s="664" t="s">
        <v>244</v>
      </c>
      <c r="E1" s="665">
        <f>S29</f>
        <v>17130</v>
      </c>
      <c r="F1" s="658" t="s">
        <v>245</v>
      </c>
      <c r="G1" s="665">
        <f>E1/C1</f>
        <v>17.13</v>
      </c>
      <c r="H1" s="658" t="s">
        <v>246</v>
      </c>
      <c r="I1" s="770">
        <f>G1/K1</f>
        <v>16.96039603960396</v>
      </c>
      <c r="J1" s="771" t="s">
        <v>247</v>
      </c>
      <c r="K1" s="772">
        <v>1.01</v>
      </c>
      <c r="L1" s="666"/>
      <c r="M1" s="666"/>
      <c r="N1" s="666"/>
      <c r="O1" s="666"/>
      <c r="P1" s="666"/>
      <c r="Q1" s="666"/>
      <c r="R1" s="666"/>
      <c r="S1" s="666"/>
      <c r="T1" s="666"/>
      <c r="U1" s="666"/>
      <c r="V1" s="666"/>
      <c r="Y1" s="91" t="s">
        <v>479</v>
      </c>
      <c r="Z1" s="847">
        <v>17130</v>
      </c>
      <c r="AA1" s="91" t="s">
        <v>600</v>
      </c>
      <c r="AB1" s="847">
        <v>0</v>
      </c>
      <c r="AC1" s="91" t="s">
        <v>587</v>
      </c>
      <c r="AD1" s="847">
        <v>119</v>
      </c>
    </row>
    <row r="2" spans="1:30" ht="12.75" customHeight="1" x14ac:dyDescent="0.3">
      <c r="A2" s="330"/>
      <c r="B2" s="1441" t="s">
        <v>554</v>
      </c>
      <c r="C2" s="1441"/>
      <c r="D2" s="1441"/>
      <c r="E2" s="1441"/>
      <c r="F2" s="1441"/>
      <c r="G2" s="1441"/>
      <c r="H2" s="1441"/>
      <c r="I2" s="773"/>
      <c r="J2" s="773"/>
      <c r="K2" s="773"/>
      <c r="L2" s="666"/>
      <c r="M2" s="666"/>
      <c r="N2" s="666"/>
      <c r="O2" s="666"/>
      <c r="P2" s="666"/>
      <c r="Q2" s="666"/>
      <c r="R2" s="666"/>
      <c r="S2" s="666"/>
      <c r="T2" s="666"/>
      <c r="U2" s="666"/>
    </row>
    <row r="3" spans="1:30" ht="12.75" customHeight="1" x14ac:dyDescent="0.3">
      <c r="A3" s="330"/>
      <c r="B3" s="1442"/>
      <c r="C3" s="1442"/>
      <c r="D3" s="1442"/>
      <c r="E3" s="1442"/>
      <c r="F3" s="1442"/>
      <c r="G3" s="1442"/>
      <c r="H3" s="1442"/>
      <c r="I3" s="773"/>
      <c r="J3" s="773"/>
      <c r="K3" s="773"/>
      <c r="L3" s="666"/>
      <c r="M3" s="666"/>
      <c r="N3" s="666"/>
      <c r="O3" s="666"/>
      <c r="P3" s="666"/>
      <c r="Q3" s="666"/>
      <c r="R3" s="666"/>
      <c r="S3" s="666"/>
      <c r="T3" s="666"/>
      <c r="U3" s="666"/>
    </row>
    <row r="4" spans="1:30" ht="68.75" customHeight="1" x14ac:dyDescent="0.3">
      <c r="A4" s="91" t="s">
        <v>1</v>
      </c>
      <c r="B4" s="668" t="s">
        <v>253</v>
      </c>
      <c r="C4" s="669" t="s">
        <v>254</v>
      </c>
      <c r="D4" s="668" t="s">
        <v>243</v>
      </c>
      <c r="E4" s="670" t="s">
        <v>246</v>
      </c>
      <c r="F4" s="671" t="s">
        <v>255</v>
      </c>
      <c r="G4" s="668" t="s">
        <v>256</v>
      </c>
      <c r="H4" s="768" t="s">
        <v>550</v>
      </c>
      <c r="I4" s="91" t="s">
        <v>258</v>
      </c>
      <c r="J4" s="91" t="s">
        <v>259</v>
      </c>
      <c r="K4" s="91" t="s">
        <v>260</v>
      </c>
      <c r="L4" s="91" t="s">
        <v>261</v>
      </c>
      <c r="M4" s="666"/>
      <c r="N4" s="666"/>
      <c r="O4" s="666"/>
      <c r="P4" s="666"/>
      <c r="Q4" s="666"/>
      <c r="R4" s="666"/>
      <c r="S4" s="666"/>
      <c r="T4" s="666"/>
      <c r="U4" s="666"/>
    </row>
    <row r="5" spans="1:30" x14ac:dyDescent="0.3">
      <c r="A5" s="371"/>
      <c r="B5" s="774"/>
      <c r="C5" s="775"/>
      <c r="D5" s="774"/>
      <c r="E5" s="776"/>
      <c r="F5" s="774"/>
      <c r="G5" s="774"/>
      <c r="H5" s="777"/>
      <c r="I5" s="81"/>
      <c r="J5" s="119"/>
      <c r="K5" s="122"/>
      <c r="L5" s="122"/>
    </row>
    <row r="6" spans="1:30" ht="14.5" x14ac:dyDescent="0.3">
      <c r="B6" s="672" t="s">
        <v>555</v>
      </c>
      <c r="C6" s="673" t="s">
        <v>14</v>
      </c>
      <c r="D6" s="1128">
        <v>330</v>
      </c>
      <c r="E6" s="675">
        <f>$I$1</f>
        <v>16.96039603960396</v>
      </c>
      <c r="F6" s="676">
        <v>1</v>
      </c>
      <c r="G6" s="677">
        <f>D6*E6</f>
        <v>5596.9306930693065</v>
      </c>
      <c r="H6" s="769">
        <f>G6*F6</f>
        <v>5596.9306930693065</v>
      </c>
      <c r="I6" s="81">
        <f>VLOOKUP(B6,All_Ingredients!$A$1:$F$151,6,FALSE())</f>
        <v>1</v>
      </c>
      <c r="J6" s="119">
        <f>VLOOKUP(B6,All_Ingredients!$A$1:$J$151,10,FALSE())</f>
        <v>9.0740740740740726</v>
      </c>
      <c r="K6" s="122">
        <f t="shared" ref="K6" si="0">(H6/I6)/1000</f>
        <v>5.5969306930693064</v>
      </c>
      <c r="L6" s="122">
        <f t="shared" ref="L6" si="1">K6*J6</f>
        <v>50.786963696369625</v>
      </c>
    </row>
    <row r="7" spans="1:30" ht="14.5" x14ac:dyDescent="0.3">
      <c r="B7" s="672" t="s">
        <v>209</v>
      </c>
      <c r="C7" s="673" t="s">
        <v>211</v>
      </c>
      <c r="D7" s="674">
        <v>8</v>
      </c>
      <c r="E7" s="674">
        <f>$I$1</f>
        <v>16.96039603960396</v>
      </c>
      <c r="F7" s="676">
        <v>1</v>
      </c>
      <c r="G7" s="677">
        <f>D7*E7</f>
        <v>135.68316831683168</v>
      </c>
      <c r="H7" s="769">
        <f>G7*F7</f>
        <v>135.68316831683168</v>
      </c>
      <c r="I7" s="81">
        <f>VLOOKUP(B7,All_Ingredients!$A$1:$F$151,6,FALSE())</f>
        <v>1</v>
      </c>
      <c r="J7" s="119">
        <f>VLOOKUP(B7,All_Ingredients!$A$1:$J$151,10,FALSE())</f>
        <v>0</v>
      </c>
      <c r="K7" s="122">
        <f t="shared" ref="K7:K9" si="2">(H7/I7)/1000</f>
        <v>0.13568316831683169</v>
      </c>
      <c r="L7" s="122">
        <f t="shared" ref="L7:L9" si="3">K7*J7</f>
        <v>0</v>
      </c>
    </row>
    <row r="8" spans="1:30" ht="14.5" x14ac:dyDescent="0.3">
      <c r="B8" s="672" t="s">
        <v>96</v>
      </c>
      <c r="C8" s="673" t="s">
        <v>14</v>
      </c>
      <c r="D8" s="674">
        <v>10</v>
      </c>
      <c r="E8" s="674">
        <f>$I$1</f>
        <v>16.96039603960396</v>
      </c>
      <c r="F8" s="676">
        <v>1</v>
      </c>
      <c r="G8" s="677">
        <f>D8*E8</f>
        <v>169.60396039603961</v>
      </c>
      <c r="H8" s="769">
        <f>G8*F8</f>
        <v>169.60396039603961</v>
      </c>
      <c r="I8" s="81">
        <f>VLOOKUP(B8,All_Ingredients!$A$1:$F$151,6,FALSE())</f>
        <v>1</v>
      </c>
      <c r="J8" s="119">
        <f>VLOOKUP(B8,All_Ingredients!$A$1:$J$151,10,FALSE())</f>
        <v>0.74</v>
      </c>
      <c r="K8" s="122">
        <f t="shared" si="2"/>
        <v>0.16960396039603962</v>
      </c>
      <c r="L8" s="122">
        <f t="shared" si="3"/>
        <v>0.12550693069306931</v>
      </c>
    </row>
    <row r="9" spans="1:30" ht="14.5" x14ac:dyDescent="0.3">
      <c r="B9" s="672" t="s">
        <v>218</v>
      </c>
      <c r="C9" s="673" t="s">
        <v>14</v>
      </c>
      <c r="D9" s="674">
        <v>5</v>
      </c>
      <c r="E9" s="674">
        <f>$I$1</f>
        <v>16.96039603960396</v>
      </c>
      <c r="F9" s="676">
        <v>1</v>
      </c>
      <c r="G9" s="677">
        <f>D9*E9</f>
        <v>84.801980198019805</v>
      </c>
      <c r="H9" s="769">
        <f>G9*F9</f>
        <v>84.801980198019805</v>
      </c>
      <c r="I9" s="81">
        <f>VLOOKUP(B9,All_Ingredients!$A$1:$F$151,6,FALSE())</f>
        <v>1</v>
      </c>
      <c r="J9" s="119">
        <f>VLOOKUP(B9,All_Ingredients!$A$1:$J$151,10,FALSE())</f>
        <v>15.5</v>
      </c>
      <c r="K9" s="122">
        <f t="shared" si="2"/>
        <v>8.4801980198019808E-2</v>
      </c>
      <c r="L9" s="122">
        <f t="shared" si="3"/>
        <v>1.314430693069307</v>
      </c>
    </row>
    <row r="10" spans="1:30" ht="14.5" x14ac:dyDescent="0.3">
      <c r="B10" s="679"/>
      <c r="C10" s="680"/>
      <c r="D10" s="681"/>
      <c r="E10" s="682"/>
      <c r="F10" s="683"/>
      <c r="G10" s="684"/>
      <c r="H10" s="685"/>
    </row>
    <row r="11" spans="1:30" x14ac:dyDescent="0.3">
      <c r="E11" s="666"/>
      <c r="F11" s="666"/>
    </row>
    <row r="12" spans="1:30" x14ac:dyDescent="0.3">
      <c r="E12" s="666"/>
      <c r="F12" s="666"/>
    </row>
    <row r="13" spans="1:30" x14ac:dyDescent="0.3">
      <c r="E13" s="666"/>
      <c r="F13" s="666"/>
    </row>
    <row r="14" spans="1:30" x14ac:dyDescent="0.3">
      <c r="E14" s="666"/>
      <c r="F14" s="666"/>
    </row>
    <row r="15" spans="1:30" x14ac:dyDescent="0.3">
      <c r="E15" s="666"/>
      <c r="F15" s="666"/>
    </row>
    <row r="16" spans="1:30" x14ac:dyDescent="0.3">
      <c r="E16" s="666"/>
      <c r="F16" s="666"/>
    </row>
    <row r="17" spans="2:29" x14ac:dyDescent="0.3">
      <c r="E17" s="666"/>
      <c r="F17" s="666"/>
    </row>
    <row r="18" spans="2:29" x14ac:dyDescent="0.3">
      <c r="B18" s="666"/>
      <c r="E18" s="666"/>
      <c r="F18" s="666"/>
    </row>
    <row r="24" spans="2:29" x14ac:dyDescent="0.3">
      <c r="Z24" s="1305"/>
    </row>
    <row r="25" spans="2:29" ht="14" x14ac:dyDescent="0.3">
      <c r="R25" s="1443" t="s">
        <v>556</v>
      </c>
      <c r="S25" s="1443"/>
      <c r="Z25" s="141" t="s">
        <v>14</v>
      </c>
      <c r="AA25" s="142">
        <v>17130</v>
      </c>
      <c r="AB25" s="141" t="s">
        <v>261</v>
      </c>
      <c r="AC25" s="143">
        <f>(S30/S29)*AA25</f>
        <v>52.226901320132001</v>
      </c>
    </row>
    <row r="26" spans="2:29" ht="14" x14ac:dyDescent="0.3">
      <c r="R26" s="687" t="s">
        <v>266</v>
      </c>
      <c r="S26" s="687" t="s">
        <v>874</v>
      </c>
    </row>
    <row r="27" spans="2:29" ht="14" x14ac:dyDescent="0.3">
      <c r="R27" s="687" t="s">
        <v>549</v>
      </c>
      <c r="S27" s="795">
        <f>Z1</f>
        <v>17130</v>
      </c>
    </row>
    <row r="28" spans="2:29" ht="14" x14ac:dyDescent="0.3">
      <c r="R28" s="687" t="s">
        <v>277</v>
      </c>
      <c r="S28" s="794">
        <f>AB1</f>
        <v>0</v>
      </c>
    </row>
    <row r="29" spans="2:29" ht="15" thickBot="1" x14ac:dyDescent="0.35">
      <c r="R29" s="687" t="s">
        <v>269</v>
      </c>
      <c r="S29" s="689">
        <f>S27+S28</f>
        <v>17130</v>
      </c>
    </row>
    <row r="30" spans="2:29" ht="13.5" thickBot="1" x14ac:dyDescent="0.35">
      <c r="R30" s="163" t="s">
        <v>261</v>
      </c>
      <c r="S30" s="1144">
        <f>SUM(L5:L9)</f>
        <v>52.226901320132001</v>
      </c>
    </row>
    <row r="35" ht="14" customHeight="1" x14ac:dyDescent="0.3"/>
    <row r="36" ht="14" customHeight="1" x14ac:dyDescent="0.3"/>
    <row r="50" spans="1:8" ht="14.5" x14ac:dyDescent="0.35">
      <c r="B50" s="686"/>
      <c r="C50" s="686" t="s">
        <v>245</v>
      </c>
      <c r="D50" s="686" t="s">
        <v>291</v>
      </c>
    </row>
    <row r="51" spans="1:8" ht="14" x14ac:dyDescent="0.3">
      <c r="B51" s="180" t="s">
        <v>295</v>
      </c>
      <c r="C51" s="181">
        <f>10/$K$1</f>
        <v>9.9009900990099009</v>
      </c>
      <c r="D51" s="182">
        <f>$C$1*10</f>
        <v>10000</v>
      </c>
    </row>
    <row r="52" spans="1:8" ht="14.5" x14ac:dyDescent="0.35">
      <c r="B52" s="688" t="s">
        <v>269</v>
      </c>
      <c r="C52" s="659">
        <f>G1</f>
        <v>17.13</v>
      </c>
      <c r="D52" s="659">
        <f>E1</f>
        <v>17130</v>
      </c>
    </row>
    <row r="53" spans="1:8" ht="14.5" x14ac:dyDescent="0.35">
      <c r="B53" s="688" t="s">
        <v>296</v>
      </c>
      <c r="C53" s="660">
        <f>MIN($C$52, C51)</f>
        <v>9.9009900990099009</v>
      </c>
      <c r="D53" s="925">
        <f>(C53*$K$1)*$C$1</f>
        <v>10000</v>
      </c>
    </row>
    <row r="54" spans="1:8" ht="14.5" x14ac:dyDescent="0.35">
      <c r="B54" s="688" t="s">
        <v>297</v>
      </c>
      <c r="C54" s="660">
        <f>MIN(MAX($C$52-C53,0),$C$51)</f>
        <v>7.2290099009900981</v>
      </c>
      <c r="D54" s="925">
        <f>(C54*$K$1)*$C$1</f>
        <v>7301.2999999999993</v>
      </c>
    </row>
    <row r="55" spans="1:8" ht="14.5" x14ac:dyDescent="0.35">
      <c r="B55" s="688" t="s">
        <v>298</v>
      </c>
      <c r="C55" s="660">
        <f>MIN(MAX($C$52-C53-C54,0),$C$51)</f>
        <v>0</v>
      </c>
      <c r="D55" s="925">
        <f>(C55*$K$1)*$C$1</f>
        <v>0</v>
      </c>
    </row>
    <row r="56" spans="1:8" ht="14.5" x14ac:dyDescent="0.35">
      <c r="B56" s="688" t="s">
        <v>305</v>
      </c>
      <c r="C56" s="660">
        <f>MIN(MAX($C$52-C53-C54-C55,0),$C$51)</f>
        <v>0</v>
      </c>
      <c r="D56" s="661">
        <f>C56*$K$1</f>
        <v>0</v>
      </c>
    </row>
    <row r="57" spans="1:8" ht="14" customHeight="1" x14ac:dyDescent="0.3"/>
    <row r="58" spans="1:8" ht="14" customHeight="1" x14ac:dyDescent="0.3"/>
    <row r="62" spans="1:8" ht="14" x14ac:dyDescent="0.3">
      <c r="A62" s="942"/>
      <c r="B62" s="1382" t="s">
        <v>844</v>
      </c>
      <c r="C62" s="1383"/>
      <c r="D62" s="1383"/>
      <c r="E62" s="1383"/>
      <c r="F62" s="1383"/>
      <c r="G62" s="1383"/>
      <c r="H62" s="1383"/>
    </row>
    <row r="63" spans="1:8" ht="14" x14ac:dyDescent="0.3">
      <c r="A63" s="942"/>
      <c r="B63" s="1382" t="s">
        <v>845</v>
      </c>
      <c r="C63" s="1383"/>
      <c r="D63" s="1383"/>
      <c r="E63" s="1383"/>
      <c r="F63" s="1383"/>
      <c r="G63" s="1383"/>
      <c r="H63" s="1383"/>
    </row>
    <row r="64" spans="1:8" ht="46" customHeight="1" x14ac:dyDescent="0.3">
      <c r="A64" s="91" t="s">
        <v>1</v>
      </c>
      <c r="B64" s="243" t="s">
        <v>253</v>
      </c>
      <c r="C64" s="244" t="s">
        <v>254</v>
      </c>
      <c r="D64" s="245" t="s">
        <v>243</v>
      </c>
      <c r="E64" s="218" t="s">
        <v>246</v>
      </c>
      <c r="F64" s="218" t="s">
        <v>255</v>
      </c>
      <c r="G64" s="245" t="s">
        <v>256</v>
      </c>
      <c r="H64" s="218" t="s">
        <v>257</v>
      </c>
    </row>
    <row r="65" spans="1:8" ht="14.5" x14ac:dyDescent="0.3">
      <c r="A65" s="935"/>
      <c r="B65" s="672" t="str">
        <f t="shared" ref="B65:D68" si="4">B6</f>
        <v>Pasta Spaghettini  - مكرونة اسباجيتي</v>
      </c>
      <c r="C65" s="673" t="str">
        <f t="shared" si="4"/>
        <v>gm</v>
      </c>
      <c r="D65" s="690">
        <f t="shared" si="4"/>
        <v>330</v>
      </c>
      <c r="E65" s="674">
        <f>$C$52</f>
        <v>17.13</v>
      </c>
      <c r="F65" s="676">
        <f>F6</f>
        <v>1</v>
      </c>
      <c r="G65" s="677">
        <f>D65*E65</f>
        <v>5652.9</v>
      </c>
      <c r="H65" s="678">
        <f>G65*F65</f>
        <v>5652.9</v>
      </c>
    </row>
    <row r="66" spans="1:8" ht="14.5" x14ac:dyDescent="0.3">
      <c r="A66" s="935"/>
      <c r="B66" s="672" t="str">
        <f t="shared" si="4"/>
        <v>Water - ماء</v>
      </c>
      <c r="C66" s="673" t="str">
        <f t="shared" si="4"/>
        <v>L</v>
      </c>
      <c r="D66" s="690">
        <f t="shared" si="4"/>
        <v>8</v>
      </c>
      <c r="E66" s="674">
        <f t="shared" ref="E66:E68" si="5">$C$52</f>
        <v>17.13</v>
      </c>
      <c r="F66" s="676">
        <f>F7</f>
        <v>1</v>
      </c>
      <c r="G66" s="677">
        <f>D66*E66</f>
        <v>137.04</v>
      </c>
      <c r="H66" s="678">
        <f>G66*F66</f>
        <v>137.04</v>
      </c>
    </row>
    <row r="67" spans="1:8" ht="14.5" x14ac:dyDescent="0.3">
      <c r="A67" s="935"/>
      <c r="B67" s="672" t="str">
        <f t="shared" si="4"/>
        <v>Salt - ملح</v>
      </c>
      <c r="C67" s="673" t="str">
        <f t="shared" si="4"/>
        <v>gm</v>
      </c>
      <c r="D67" s="690">
        <f t="shared" si="4"/>
        <v>10</v>
      </c>
      <c r="E67" s="674">
        <f t="shared" si="5"/>
        <v>17.13</v>
      </c>
      <c r="F67" s="676">
        <f>F8</f>
        <v>1</v>
      </c>
      <c r="G67" s="677">
        <f>D67*E67</f>
        <v>171.29999999999998</v>
      </c>
      <c r="H67" s="678">
        <f>G67*F67</f>
        <v>171.29999999999998</v>
      </c>
    </row>
    <row r="68" spans="1:8" ht="14.5" x14ac:dyDescent="0.3">
      <c r="A68" s="935"/>
      <c r="B68" s="672" t="str">
        <f t="shared" si="4"/>
        <v>Olive Oil - زيت زيتون</v>
      </c>
      <c r="C68" s="673" t="str">
        <f t="shared" si="4"/>
        <v>gm</v>
      </c>
      <c r="D68" s="690">
        <f t="shared" si="4"/>
        <v>5</v>
      </c>
      <c r="E68" s="674">
        <f t="shared" si="5"/>
        <v>17.13</v>
      </c>
      <c r="F68" s="676">
        <f>F9</f>
        <v>1</v>
      </c>
      <c r="G68" s="677">
        <f>D68*E68</f>
        <v>85.649999999999991</v>
      </c>
      <c r="H68" s="678">
        <f>G68*F68</f>
        <v>85.649999999999991</v>
      </c>
    </row>
    <row r="69" spans="1:8" ht="15.5" x14ac:dyDescent="0.3">
      <c r="B69" s="198" t="s">
        <v>766</v>
      </c>
      <c r="C69" s="666"/>
      <c r="D69" s="666"/>
      <c r="E69" s="666"/>
      <c r="F69" s="666"/>
    </row>
    <row r="70" spans="1:8" ht="20" x14ac:dyDescent="0.4">
      <c r="B70" s="199">
        <f>$D$52</f>
        <v>17130</v>
      </c>
      <c r="F70" s="691"/>
    </row>
    <row r="71" spans="1:8" x14ac:dyDescent="0.3">
      <c r="B71" s="666"/>
      <c r="E71" s="666"/>
      <c r="F71" s="666"/>
    </row>
    <row r="72" spans="1:8" x14ac:dyDescent="0.3">
      <c r="B72" s="666"/>
      <c r="C72" s="666"/>
      <c r="D72" s="666"/>
      <c r="E72" s="666"/>
      <c r="F72" s="666"/>
      <c r="G72" s="666"/>
      <c r="H72" s="666"/>
    </row>
    <row r="73" spans="1:8" ht="18" x14ac:dyDescent="0.3">
      <c r="A73" s="14"/>
      <c r="B73" s="1428"/>
      <c r="C73" s="1422"/>
      <c r="D73" s="1422"/>
      <c r="E73" s="1422"/>
      <c r="F73" s="1422"/>
      <c r="G73" s="1422"/>
      <c r="H73" s="1422"/>
    </row>
    <row r="74" spans="1:8" ht="18" x14ac:dyDescent="0.3">
      <c r="A74" s="14"/>
      <c r="B74" s="1428"/>
      <c r="C74" s="1422"/>
      <c r="D74" s="1422"/>
      <c r="E74" s="1422"/>
      <c r="F74" s="1422"/>
      <c r="G74" s="1422"/>
      <c r="H74" s="1422"/>
    </row>
    <row r="75" spans="1:8" x14ac:dyDescent="0.3">
      <c r="A75" s="371"/>
      <c r="B75" s="1174"/>
      <c r="C75" s="1175"/>
      <c r="D75" s="1174"/>
      <c r="E75" s="1174"/>
      <c r="F75" s="1174"/>
      <c r="G75" s="1174"/>
      <c r="H75" s="1174"/>
    </row>
    <row r="76" spans="1:8" ht="14.5" x14ac:dyDescent="0.3">
      <c r="B76" s="679"/>
      <c r="C76" s="679"/>
      <c r="D76" s="679"/>
      <c r="E76" s="1176"/>
      <c r="F76" s="683"/>
      <c r="G76" s="1177"/>
      <c r="H76" s="685"/>
    </row>
    <row r="77" spans="1:8" ht="14.5" x14ac:dyDescent="0.3">
      <c r="B77" s="679"/>
      <c r="C77" s="679"/>
      <c r="D77" s="679"/>
      <c r="E77" s="1176"/>
      <c r="F77" s="683"/>
      <c r="G77" s="1177"/>
      <c r="H77" s="685"/>
    </row>
    <row r="78" spans="1:8" ht="14.5" x14ac:dyDescent="0.3">
      <c r="B78" s="679"/>
      <c r="C78" s="679"/>
      <c r="D78" s="679"/>
      <c r="E78" s="1176"/>
      <c r="F78" s="683"/>
      <c r="G78" s="1177"/>
      <c r="H78" s="685"/>
    </row>
    <row r="79" spans="1:8" ht="14.5" x14ac:dyDescent="0.3">
      <c r="B79" s="679"/>
      <c r="C79" s="679"/>
      <c r="D79" s="679"/>
      <c r="E79" s="1176"/>
      <c r="F79" s="683"/>
      <c r="G79" s="1177"/>
      <c r="H79" s="685"/>
    </row>
    <row r="80" spans="1:8" ht="15.5" x14ac:dyDescent="0.3">
      <c r="B80" s="204"/>
      <c r="E80" s="666"/>
      <c r="F80" s="666"/>
    </row>
    <row r="81" spans="1:8" ht="20" x14ac:dyDescent="0.4">
      <c r="B81" s="484"/>
      <c r="C81" s="666"/>
      <c r="D81" s="666"/>
      <c r="E81" s="666"/>
      <c r="F81" s="691"/>
    </row>
    <row r="82" spans="1:8" x14ac:dyDescent="0.3">
      <c r="B82" s="666"/>
      <c r="C82" s="666"/>
      <c r="D82" s="666"/>
      <c r="E82" s="666"/>
      <c r="F82" s="666"/>
      <c r="G82" s="666"/>
      <c r="H82" s="666"/>
    </row>
    <row r="83" spans="1:8" x14ac:dyDescent="0.3">
      <c r="B83" s="666"/>
      <c r="C83" s="666"/>
      <c r="D83" s="666"/>
      <c r="E83" s="666"/>
      <c r="F83" s="666"/>
      <c r="G83" s="666"/>
      <c r="H83" s="666"/>
    </row>
    <row r="84" spans="1:8" ht="18" x14ac:dyDescent="0.3">
      <c r="A84" s="14"/>
      <c r="B84" s="1428"/>
      <c r="C84" s="1422"/>
      <c r="D84" s="1422"/>
      <c r="E84" s="1422"/>
      <c r="F84" s="1422"/>
      <c r="G84" s="1422"/>
      <c r="H84" s="1422"/>
    </row>
    <row r="85" spans="1:8" ht="18" x14ac:dyDescent="0.3">
      <c r="A85" s="14"/>
      <c r="B85" s="1428"/>
      <c r="C85" s="1422"/>
      <c r="D85" s="1422"/>
      <c r="E85" s="1422"/>
      <c r="F85" s="1422"/>
      <c r="G85" s="1422"/>
      <c r="H85" s="1422"/>
    </row>
    <row r="86" spans="1:8" x14ac:dyDescent="0.3">
      <c r="A86" s="371"/>
      <c r="B86" s="1174"/>
      <c r="C86" s="1175"/>
      <c r="D86" s="1174"/>
      <c r="E86" s="1174"/>
      <c r="F86" s="1174"/>
      <c r="G86" s="1174"/>
      <c r="H86" s="1174"/>
    </row>
    <row r="87" spans="1:8" ht="14.5" x14ac:dyDescent="0.3">
      <c r="B87" s="679"/>
      <c r="C87" s="679"/>
      <c r="D87" s="679"/>
      <c r="E87" s="1178"/>
      <c r="F87" s="1179"/>
      <c r="G87" s="1177"/>
      <c r="H87" s="685"/>
    </row>
    <row r="88" spans="1:8" ht="14.5" x14ac:dyDescent="0.3">
      <c r="B88" s="679"/>
      <c r="C88" s="679"/>
      <c r="D88" s="679"/>
      <c r="E88" s="1178"/>
      <c r="F88" s="1179"/>
      <c r="G88" s="1177"/>
      <c r="H88" s="685"/>
    </row>
    <row r="89" spans="1:8" ht="14.5" x14ac:dyDescent="0.3">
      <c r="B89" s="679"/>
      <c r="C89" s="679"/>
      <c r="D89" s="679"/>
      <c r="E89" s="1178"/>
      <c r="F89" s="1179"/>
      <c r="G89" s="1177"/>
      <c r="H89" s="685"/>
    </row>
    <row r="90" spans="1:8" ht="14.5" x14ac:dyDescent="0.3">
      <c r="B90" s="679"/>
      <c r="C90" s="679"/>
      <c r="D90" s="679"/>
      <c r="E90" s="1178"/>
      <c r="F90" s="1179"/>
      <c r="G90" s="1177"/>
      <c r="H90" s="685"/>
    </row>
    <row r="91" spans="1:8" ht="15.5" x14ac:dyDescent="0.3">
      <c r="B91" s="204"/>
      <c r="E91" s="666"/>
      <c r="F91" s="666"/>
    </row>
    <row r="92" spans="1:8" ht="20" x14ac:dyDescent="0.4">
      <c r="B92" s="484"/>
    </row>
    <row r="93" spans="1:8" ht="18" x14ac:dyDescent="0.3">
      <c r="A93" s="14"/>
      <c r="B93" s="1428"/>
      <c r="C93" s="1422"/>
      <c r="D93" s="1422"/>
      <c r="E93" s="1422"/>
      <c r="F93" s="1422"/>
      <c r="G93" s="1422"/>
      <c r="H93" s="1422"/>
    </row>
    <row r="94" spans="1:8" ht="18" x14ac:dyDescent="0.3">
      <c r="A94" s="14"/>
      <c r="B94" s="1428"/>
      <c r="C94" s="1422"/>
      <c r="D94" s="1422"/>
      <c r="E94" s="1422"/>
      <c r="F94" s="1422"/>
      <c r="G94" s="1422"/>
      <c r="H94" s="1422"/>
    </row>
    <row r="95" spans="1:8" x14ac:dyDescent="0.3">
      <c r="A95" s="371"/>
      <c r="B95" s="1174"/>
      <c r="C95" s="1175"/>
      <c r="D95" s="1174"/>
      <c r="E95" s="1174"/>
      <c r="F95" s="1174"/>
      <c r="G95" s="1174"/>
      <c r="H95" s="1174"/>
    </row>
    <row r="96" spans="1:8" ht="14.5" x14ac:dyDescent="0.3">
      <c r="B96" s="679"/>
      <c r="C96" s="679"/>
      <c r="D96" s="679"/>
      <c r="E96" s="1178"/>
      <c r="F96" s="1179"/>
      <c r="G96" s="1177"/>
      <c r="H96" s="685"/>
    </row>
    <row r="97" spans="2:8" ht="14.5" x14ac:dyDescent="0.3">
      <c r="B97" s="679"/>
      <c r="C97" s="679"/>
      <c r="D97" s="679"/>
      <c r="E97" s="1178"/>
      <c r="F97" s="1179"/>
      <c r="G97" s="1177"/>
      <c r="H97" s="685"/>
    </row>
    <row r="98" spans="2:8" ht="14.5" x14ac:dyDescent="0.3">
      <c r="B98" s="679"/>
      <c r="C98" s="679"/>
      <c r="D98" s="679"/>
      <c r="E98" s="1178"/>
      <c r="F98" s="1179"/>
      <c r="G98" s="1177"/>
      <c r="H98" s="685"/>
    </row>
    <row r="99" spans="2:8" ht="14.5" x14ac:dyDescent="0.3">
      <c r="B99" s="679"/>
      <c r="C99" s="679"/>
      <c r="D99" s="679"/>
      <c r="E99" s="1178"/>
      <c r="F99" s="1179"/>
      <c r="G99" s="1177"/>
      <c r="H99" s="685"/>
    </row>
    <row r="100" spans="2:8" ht="15.5" x14ac:dyDescent="0.3">
      <c r="B100" s="204"/>
      <c r="E100" s="666"/>
      <c r="F100" s="666"/>
    </row>
    <row r="101" spans="2:8" ht="20" x14ac:dyDescent="0.4">
      <c r="B101" s="484"/>
      <c r="E101" s="666"/>
      <c r="F101" s="666"/>
    </row>
    <row r="102" spans="2:8" x14ac:dyDescent="0.3">
      <c r="B102" s="666"/>
      <c r="E102" s="666"/>
      <c r="F102" s="666"/>
    </row>
    <row r="103" spans="2:8" x14ac:dyDescent="0.3">
      <c r="B103" s="666"/>
      <c r="E103" s="666"/>
      <c r="F103" s="666"/>
    </row>
    <row r="104" spans="2:8" x14ac:dyDescent="0.3">
      <c r="B104" s="666"/>
      <c r="E104" s="666"/>
      <c r="F104" s="666"/>
    </row>
    <row r="105" spans="2:8" x14ac:dyDescent="0.3">
      <c r="B105" s="666"/>
      <c r="E105" s="666"/>
      <c r="F105" s="666"/>
    </row>
    <row r="106" spans="2:8" x14ac:dyDescent="0.3">
      <c r="B106" s="666"/>
      <c r="E106" s="666"/>
      <c r="F106" s="666"/>
    </row>
    <row r="107" spans="2:8" x14ac:dyDescent="0.3">
      <c r="B107" s="666"/>
      <c r="E107" s="666"/>
      <c r="F107" s="666"/>
    </row>
    <row r="108" spans="2:8" x14ac:dyDescent="0.3">
      <c r="B108" s="666"/>
      <c r="E108" s="666"/>
      <c r="F108" s="666"/>
    </row>
    <row r="109" spans="2:8" x14ac:dyDescent="0.3">
      <c r="B109" s="666"/>
      <c r="E109" s="666"/>
      <c r="F109" s="666"/>
    </row>
    <row r="110" spans="2:8" x14ac:dyDescent="0.3">
      <c r="B110" s="666"/>
      <c r="E110" s="666"/>
      <c r="F110" s="666"/>
    </row>
    <row r="111" spans="2:8" x14ac:dyDescent="0.3">
      <c r="B111" s="666"/>
      <c r="E111" s="666"/>
      <c r="F111" s="666"/>
    </row>
    <row r="112" spans="2:8" x14ac:dyDescent="0.3">
      <c r="B112" s="666"/>
      <c r="E112" s="666"/>
      <c r="F112" s="666"/>
    </row>
    <row r="113" spans="2:6" x14ac:dyDescent="0.3">
      <c r="B113" s="666"/>
      <c r="E113" s="666"/>
      <c r="F113" s="666"/>
    </row>
    <row r="114" spans="2:6" x14ac:dyDescent="0.3">
      <c r="B114" s="666"/>
      <c r="E114" s="666"/>
      <c r="F114" s="666"/>
    </row>
    <row r="115" spans="2:6" x14ac:dyDescent="0.3">
      <c r="B115" s="666"/>
      <c r="E115" s="666"/>
      <c r="F115" s="666"/>
    </row>
    <row r="116" spans="2:6" x14ac:dyDescent="0.3">
      <c r="B116" s="666"/>
      <c r="E116" s="666"/>
      <c r="F116" s="666"/>
    </row>
    <row r="117" spans="2:6" x14ac:dyDescent="0.3">
      <c r="B117" s="666"/>
      <c r="E117" s="666"/>
      <c r="F117" s="666"/>
    </row>
    <row r="118" spans="2:6" x14ac:dyDescent="0.3">
      <c r="B118" s="666"/>
      <c r="E118" s="666"/>
      <c r="F118" s="666"/>
    </row>
    <row r="119" spans="2:6" x14ac:dyDescent="0.3">
      <c r="B119" s="666"/>
      <c r="E119" s="666"/>
      <c r="F119" s="666"/>
    </row>
    <row r="120" spans="2:6" x14ac:dyDescent="0.3">
      <c r="B120" s="666"/>
      <c r="E120" s="666"/>
      <c r="F120" s="666"/>
    </row>
    <row r="121" spans="2:6" x14ac:dyDescent="0.3">
      <c r="B121" s="666"/>
      <c r="E121" s="666"/>
      <c r="F121" s="666"/>
    </row>
    <row r="122" spans="2:6" x14ac:dyDescent="0.3">
      <c r="B122" s="666"/>
      <c r="E122" s="666"/>
      <c r="F122" s="666"/>
    </row>
    <row r="123" spans="2:6" x14ac:dyDescent="0.3">
      <c r="B123" s="666"/>
      <c r="E123" s="666"/>
      <c r="F123" s="666"/>
    </row>
    <row r="124" spans="2:6" x14ac:dyDescent="0.3">
      <c r="B124" s="666"/>
      <c r="E124" s="666"/>
      <c r="F124" s="666"/>
    </row>
    <row r="125" spans="2:6" x14ac:dyDescent="0.3">
      <c r="B125" s="666"/>
      <c r="E125" s="666"/>
      <c r="F125" s="666"/>
    </row>
    <row r="126" spans="2:6" x14ac:dyDescent="0.3">
      <c r="B126" s="666"/>
      <c r="E126" s="666"/>
      <c r="F126" s="666"/>
    </row>
    <row r="127" spans="2:6" x14ac:dyDescent="0.3">
      <c r="B127" s="666"/>
      <c r="E127" s="666"/>
      <c r="F127" s="666"/>
    </row>
    <row r="128" spans="2:6" x14ac:dyDescent="0.3">
      <c r="B128" s="666"/>
      <c r="E128" s="666"/>
      <c r="F128" s="666"/>
    </row>
    <row r="129" spans="2:6" x14ac:dyDescent="0.3">
      <c r="B129" s="666"/>
      <c r="E129" s="666"/>
      <c r="F129" s="666"/>
    </row>
    <row r="130" spans="2:6" x14ac:dyDescent="0.3">
      <c r="B130" s="666"/>
      <c r="E130" s="666"/>
      <c r="F130" s="666"/>
    </row>
    <row r="131" spans="2:6" x14ac:dyDescent="0.3">
      <c r="B131" s="666"/>
      <c r="E131" s="666"/>
      <c r="F131" s="666"/>
    </row>
    <row r="132" spans="2:6" x14ac:dyDescent="0.3">
      <c r="B132" s="666"/>
      <c r="E132" s="666"/>
      <c r="F132" s="666"/>
    </row>
    <row r="133" spans="2:6" x14ac:dyDescent="0.3">
      <c r="B133" s="666"/>
      <c r="E133" s="666"/>
      <c r="F133" s="666"/>
    </row>
    <row r="134" spans="2:6" x14ac:dyDescent="0.3">
      <c r="B134" s="666"/>
      <c r="E134" s="666"/>
      <c r="F134" s="666"/>
    </row>
    <row r="135" spans="2:6" x14ac:dyDescent="0.3">
      <c r="B135" s="666"/>
      <c r="E135" s="666"/>
      <c r="F135" s="666"/>
    </row>
    <row r="136" spans="2:6" x14ac:dyDescent="0.3">
      <c r="B136" s="666"/>
      <c r="E136" s="666"/>
      <c r="F136" s="666"/>
    </row>
    <row r="137" spans="2:6" x14ac:dyDescent="0.3">
      <c r="B137" s="666"/>
      <c r="E137" s="666"/>
      <c r="F137" s="666"/>
    </row>
    <row r="138" spans="2:6" x14ac:dyDescent="0.3">
      <c r="B138" s="666"/>
      <c r="E138" s="666"/>
      <c r="F138" s="666"/>
    </row>
    <row r="139" spans="2:6" x14ac:dyDescent="0.3">
      <c r="B139" s="666"/>
      <c r="E139" s="666"/>
      <c r="F139" s="666"/>
    </row>
    <row r="140" spans="2:6" x14ac:dyDescent="0.3">
      <c r="B140" s="666"/>
      <c r="E140" s="666"/>
      <c r="F140" s="666"/>
    </row>
    <row r="141" spans="2:6" x14ac:dyDescent="0.3">
      <c r="B141" s="666"/>
      <c r="E141" s="666"/>
      <c r="F141" s="666"/>
    </row>
    <row r="142" spans="2:6" x14ac:dyDescent="0.3">
      <c r="B142" s="666"/>
      <c r="E142" s="666"/>
      <c r="F142" s="666"/>
    </row>
    <row r="143" spans="2:6" x14ac:dyDescent="0.3">
      <c r="B143" s="666"/>
      <c r="E143" s="666"/>
      <c r="F143" s="666"/>
    </row>
    <row r="144" spans="2:6" x14ac:dyDescent="0.3">
      <c r="B144" s="666"/>
      <c r="E144" s="666"/>
      <c r="F144" s="666"/>
    </row>
    <row r="145" spans="2:6" x14ac:dyDescent="0.3">
      <c r="B145" s="666"/>
      <c r="E145" s="666"/>
      <c r="F145" s="666"/>
    </row>
    <row r="146" spans="2:6" x14ac:dyDescent="0.3">
      <c r="B146" s="666"/>
      <c r="E146" s="666"/>
      <c r="F146" s="666"/>
    </row>
    <row r="147" spans="2:6" x14ac:dyDescent="0.3">
      <c r="B147" s="666"/>
      <c r="E147" s="666"/>
      <c r="F147" s="666"/>
    </row>
    <row r="148" spans="2:6" x14ac:dyDescent="0.3">
      <c r="B148" s="666"/>
      <c r="E148" s="666"/>
      <c r="F148" s="666"/>
    </row>
    <row r="149" spans="2:6" x14ac:dyDescent="0.3">
      <c r="B149" s="666"/>
      <c r="E149" s="666"/>
      <c r="F149" s="666"/>
    </row>
    <row r="150" spans="2:6" x14ac:dyDescent="0.3">
      <c r="B150" s="666"/>
      <c r="E150" s="666"/>
      <c r="F150" s="666"/>
    </row>
    <row r="151" spans="2:6" x14ac:dyDescent="0.3">
      <c r="B151" s="666"/>
      <c r="E151" s="666"/>
      <c r="F151" s="666"/>
    </row>
    <row r="152" spans="2:6" x14ac:dyDescent="0.3">
      <c r="B152" s="666"/>
      <c r="E152" s="666"/>
      <c r="F152" s="666"/>
    </row>
    <row r="153" spans="2:6" x14ac:dyDescent="0.3">
      <c r="B153" s="666"/>
      <c r="E153" s="666"/>
      <c r="F153" s="666"/>
    </row>
    <row r="154" spans="2:6" x14ac:dyDescent="0.3">
      <c r="B154" s="666"/>
      <c r="E154" s="666"/>
      <c r="F154" s="666"/>
    </row>
    <row r="155" spans="2:6" x14ac:dyDescent="0.3">
      <c r="B155" s="666"/>
      <c r="E155" s="666"/>
      <c r="F155" s="666"/>
    </row>
    <row r="156" spans="2:6" x14ac:dyDescent="0.3">
      <c r="B156" s="666"/>
      <c r="E156" s="666"/>
      <c r="F156" s="666"/>
    </row>
    <row r="157" spans="2:6" x14ac:dyDescent="0.3">
      <c r="B157" s="666"/>
      <c r="E157" s="666"/>
      <c r="F157" s="666"/>
    </row>
    <row r="158" spans="2:6" x14ac:dyDescent="0.3">
      <c r="B158" s="666"/>
      <c r="E158" s="666"/>
      <c r="F158" s="666"/>
    </row>
    <row r="159" spans="2:6" x14ac:dyDescent="0.3">
      <c r="B159" s="666"/>
      <c r="E159" s="666"/>
      <c r="F159" s="666"/>
    </row>
    <row r="160" spans="2:6" x14ac:dyDescent="0.3">
      <c r="B160" s="666"/>
      <c r="E160" s="666"/>
      <c r="F160" s="666"/>
    </row>
    <row r="161" spans="2:6" x14ac:dyDescent="0.3">
      <c r="B161" s="666"/>
      <c r="E161" s="666"/>
      <c r="F161" s="666"/>
    </row>
    <row r="162" spans="2:6" x14ac:dyDescent="0.3">
      <c r="B162" s="666"/>
      <c r="E162" s="666"/>
      <c r="F162" s="666"/>
    </row>
    <row r="163" spans="2:6" x14ac:dyDescent="0.3">
      <c r="B163" s="666"/>
      <c r="E163" s="666"/>
      <c r="F163" s="666"/>
    </row>
    <row r="164" spans="2:6" x14ac:dyDescent="0.3">
      <c r="B164" s="666"/>
      <c r="E164" s="666"/>
      <c r="F164" s="666"/>
    </row>
    <row r="165" spans="2:6" x14ac:dyDescent="0.3">
      <c r="B165" s="666"/>
      <c r="E165" s="666"/>
      <c r="F165" s="666"/>
    </row>
    <row r="166" spans="2:6" x14ac:dyDescent="0.3">
      <c r="B166" s="666"/>
      <c r="E166" s="666"/>
      <c r="F166" s="666"/>
    </row>
    <row r="167" spans="2:6" x14ac:dyDescent="0.3">
      <c r="B167" s="666"/>
      <c r="E167" s="666"/>
      <c r="F167" s="666"/>
    </row>
    <row r="168" spans="2:6" x14ac:dyDescent="0.3">
      <c r="B168" s="666"/>
      <c r="E168" s="666"/>
      <c r="F168" s="666"/>
    </row>
    <row r="169" spans="2:6" x14ac:dyDescent="0.3">
      <c r="B169" s="666"/>
      <c r="E169" s="666"/>
      <c r="F169" s="666"/>
    </row>
    <row r="170" spans="2:6" x14ac:dyDescent="0.3">
      <c r="B170" s="666"/>
      <c r="E170" s="666"/>
      <c r="F170" s="666"/>
    </row>
    <row r="171" spans="2:6" x14ac:dyDescent="0.3">
      <c r="B171" s="666"/>
      <c r="E171" s="666"/>
      <c r="F171" s="666"/>
    </row>
    <row r="172" spans="2:6" x14ac:dyDescent="0.3">
      <c r="B172" s="666"/>
      <c r="E172" s="666"/>
      <c r="F172" s="666"/>
    </row>
    <row r="173" spans="2:6" x14ac:dyDescent="0.3">
      <c r="B173" s="666"/>
      <c r="E173" s="666"/>
      <c r="F173" s="666"/>
    </row>
    <row r="174" spans="2:6" x14ac:dyDescent="0.3">
      <c r="B174" s="666"/>
      <c r="E174" s="666"/>
      <c r="F174" s="666"/>
    </row>
    <row r="175" spans="2:6" x14ac:dyDescent="0.3">
      <c r="B175" s="666"/>
      <c r="E175" s="666"/>
      <c r="F175" s="666"/>
    </row>
    <row r="176" spans="2:6" x14ac:dyDescent="0.3">
      <c r="B176" s="666"/>
      <c r="E176" s="666"/>
      <c r="F176" s="666"/>
    </row>
    <row r="177" spans="2:6" x14ac:dyDescent="0.3">
      <c r="B177" s="666"/>
      <c r="E177" s="666"/>
      <c r="F177" s="666"/>
    </row>
    <row r="178" spans="2:6" x14ac:dyDescent="0.3">
      <c r="B178" s="666"/>
      <c r="E178" s="666"/>
      <c r="F178" s="666"/>
    </row>
    <row r="179" spans="2:6" x14ac:dyDescent="0.3">
      <c r="B179" s="666"/>
      <c r="E179" s="666"/>
      <c r="F179" s="666"/>
    </row>
    <row r="180" spans="2:6" x14ac:dyDescent="0.3">
      <c r="B180" s="666"/>
      <c r="E180" s="666"/>
      <c r="F180" s="666"/>
    </row>
    <row r="181" spans="2:6" x14ac:dyDescent="0.3">
      <c r="B181" s="666"/>
      <c r="E181" s="666"/>
      <c r="F181" s="666"/>
    </row>
    <row r="182" spans="2:6" x14ac:dyDescent="0.3">
      <c r="B182" s="666"/>
      <c r="E182" s="666"/>
      <c r="F182" s="666"/>
    </row>
    <row r="183" spans="2:6" x14ac:dyDescent="0.3">
      <c r="B183" s="666"/>
      <c r="E183" s="666"/>
      <c r="F183" s="666"/>
    </row>
    <row r="184" spans="2:6" x14ac:dyDescent="0.3">
      <c r="B184" s="666"/>
      <c r="E184" s="666"/>
      <c r="F184" s="666"/>
    </row>
    <row r="185" spans="2:6" x14ac:dyDescent="0.3">
      <c r="B185" s="666"/>
      <c r="E185" s="666"/>
      <c r="F185" s="666"/>
    </row>
    <row r="186" spans="2:6" x14ac:dyDescent="0.3">
      <c r="B186" s="666"/>
      <c r="E186" s="666"/>
      <c r="F186" s="666"/>
    </row>
    <row r="187" spans="2:6" x14ac:dyDescent="0.3">
      <c r="B187" s="666"/>
      <c r="E187" s="666"/>
      <c r="F187" s="666"/>
    </row>
    <row r="188" spans="2:6" x14ac:dyDescent="0.3">
      <c r="B188" s="666"/>
      <c r="E188" s="666"/>
      <c r="F188" s="666"/>
    </row>
    <row r="189" spans="2:6" x14ac:dyDescent="0.3">
      <c r="B189" s="666"/>
      <c r="E189" s="666"/>
      <c r="F189" s="666"/>
    </row>
    <row r="190" spans="2:6" x14ac:dyDescent="0.3">
      <c r="B190" s="666"/>
      <c r="E190" s="666"/>
      <c r="F190" s="666"/>
    </row>
    <row r="191" spans="2:6" x14ac:dyDescent="0.3">
      <c r="B191" s="666"/>
      <c r="E191" s="666"/>
      <c r="F191" s="666"/>
    </row>
    <row r="192" spans="2:6" x14ac:dyDescent="0.3">
      <c r="B192" s="666"/>
      <c r="E192" s="666"/>
      <c r="F192" s="666"/>
    </row>
    <row r="193" spans="2:6" x14ac:dyDescent="0.3">
      <c r="B193" s="666"/>
      <c r="E193" s="666"/>
      <c r="F193" s="666"/>
    </row>
    <row r="194" spans="2:6" x14ac:dyDescent="0.3">
      <c r="B194" s="666"/>
      <c r="E194" s="666"/>
      <c r="F194" s="666"/>
    </row>
    <row r="195" spans="2:6" x14ac:dyDescent="0.3">
      <c r="B195" s="666"/>
      <c r="E195" s="666"/>
      <c r="F195" s="666"/>
    </row>
    <row r="196" spans="2:6" x14ac:dyDescent="0.3">
      <c r="B196" s="666"/>
      <c r="E196" s="666"/>
      <c r="F196" s="666"/>
    </row>
    <row r="197" spans="2:6" x14ac:dyDescent="0.3">
      <c r="B197" s="666"/>
      <c r="E197" s="666"/>
      <c r="F197" s="666"/>
    </row>
    <row r="198" spans="2:6" x14ac:dyDescent="0.3">
      <c r="B198" s="666"/>
      <c r="E198" s="666"/>
      <c r="F198" s="666"/>
    </row>
    <row r="199" spans="2:6" x14ac:dyDescent="0.3">
      <c r="B199" s="666"/>
      <c r="E199" s="666"/>
      <c r="F199" s="666"/>
    </row>
    <row r="200" spans="2:6" x14ac:dyDescent="0.3">
      <c r="B200" s="666"/>
      <c r="E200" s="666"/>
      <c r="F200" s="666"/>
    </row>
    <row r="201" spans="2:6" x14ac:dyDescent="0.3">
      <c r="B201" s="666"/>
      <c r="E201" s="666"/>
      <c r="F201" s="666"/>
    </row>
    <row r="202" spans="2:6" x14ac:dyDescent="0.3">
      <c r="B202" s="666"/>
      <c r="E202" s="666"/>
      <c r="F202" s="666"/>
    </row>
    <row r="203" spans="2:6" x14ac:dyDescent="0.3">
      <c r="B203" s="666"/>
      <c r="E203" s="666"/>
      <c r="F203" s="666"/>
    </row>
    <row r="204" spans="2:6" x14ac:dyDescent="0.3">
      <c r="B204" s="666"/>
      <c r="E204" s="666"/>
      <c r="F204" s="666"/>
    </row>
    <row r="205" spans="2:6" x14ac:dyDescent="0.3">
      <c r="B205" s="666"/>
      <c r="E205" s="666"/>
      <c r="F205" s="666"/>
    </row>
    <row r="206" spans="2:6" x14ac:dyDescent="0.3">
      <c r="B206" s="666"/>
      <c r="E206" s="666"/>
      <c r="F206" s="666"/>
    </row>
    <row r="207" spans="2:6" x14ac:dyDescent="0.3">
      <c r="B207" s="666"/>
      <c r="E207" s="666"/>
      <c r="F207" s="666"/>
    </row>
    <row r="208" spans="2:6" x14ac:dyDescent="0.3">
      <c r="B208" s="666"/>
      <c r="E208" s="666"/>
      <c r="F208" s="666"/>
    </row>
    <row r="209" spans="2:6" x14ac:dyDescent="0.3">
      <c r="B209" s="666"/>
      <c r="E209" s="666"/>
      <c r="F209" s="666"/>
    </row>
    <row r="210" spans="2:6" x14ac:dyDescent="0.3">
      <c r="B210" s="666"/>
      <c r="E210" s="666"/>
      <c r="F210" s="666"/>
    </row>
    <row r="211" spans="2:6" x14ac:dyDescent="0.3">
      <c r="B211" s="666"/>
      <c r="E211" s="666"/>
      <c r="F211" s="666"/>
    </row>
    <row r="212" spans="2:6" x14ac:dyDescent="0.3">
      <c r="B212" s="666"/>
      <c r="E212" s="666"/>
      <c r="F212" s="666"/>
    </row>
    <row r="213" spans="2:6" x14ac:dyDescent="0.3">
      <c r="B213" s="666"/>
      <c r="E213" s="666"/>
      <c r="F213" s="666"/>
    </row>
    <row r="214" spans="2:6" x14ac:dyDescent="0.3">
      <c r="B214" s="666"/>
      <c r="E214" s="666"/>
      <c r="F214" s="666"/>
    </row>
    <row r="215" spans="2:6" x14ac:dyDescent="0.3">
      <c r="B215" s="666"/>
      <c r="E215" s="666"/>
      <c r="F215" s="666"/>
    </row>
    <row r="216" spans="2:6" x14ac:dyDescent="0.3">
      <c r="B216" s="666"/>
      <c r="E216" s="666"/>
      <c r="F216" s="666"/>
    </row>
    <row r="217" spans="2:6" x14ac:dyDescent="0.3">
      <c r="B217" s="666"/>
      <c r="E217" s="666"/>
      <c r="F217" s="666"/>
    </row>
    <row r="218" spans="2:6" x14ac:dyDescent="0.3">
      <c r="B218" s="666"/>
      <c r="E218" s="666"/>
      <c r="F218" s="666"/>
    </row>
    <row r="219" spans="2:6" x14ac:dyDescent="0.3">
      <c r="B219" s="666"/>
      <c r="E219" s="666"/>
      <c r="F219" s="666"/>
    </row>
    <row r="220" spans="2:6" x14ac:dyDescent="0.3">
      <c r="B220" s="666"/>
      <c r="E220" s="666"/>
      <c r="F220" s="666"/>
    </row>
    <row r="221" spans="2:6" x14ac:dyDescent="0.3">
      <c r="B221" s="666"/>
      <c r="E221" s="666"/>
      <c r="F221" s="666"/>
    </row>
    <row r="222" spans="2:6" x14ac:dyDescent="0.3">
      <c r="B222" s="666"/>
      <c r="E222" s="666"/>
      <c r="F222" s="666"/>
    </row>
    <row r="223" spans="2:6" x14ac:dyDescent="0.3">
      <c r="B223" s="666"/>
      <c r="E223" s="666"/>
      <c r="F223" s="666"/>
    </row>
    <row r="224" spans="2:6" x14ac:dyDescent="0.3">
      <c r="B224" s="666"/>
      <c r="E224" s="666"/>
      <c r="F224" s="666"/>
    </row>
    <row r="225" spans="2:6" x14ac:dyDescent="0.3">
      <c r="B225" s="666"/>
      <c r="E225" s="666"/>
      <c r="F225" s="666"/>
    </row>
    <row r="226" spans="2:6" x14ac:dyDescent="0.3">
      <c r="B226" s="666"/>
      <c r="E226" s="666"/>
      <c r="F226" s="666"/>
    </row>
    <row r="227" spans="2:6" x14ac:dyDescent="0.3">
      <c r="B227" s="666"/>
      <c r="E227" s="666"/>
      <c r="F227" s="666"/>
    </row>
    <row r="228" spans="2:6" x14ac:dyDescent="0.3">
      <c r="B228" s="666"/>
      <c r="E228" s="666"/>
      <c r="F228" s="666"/>
    </row>
    <row r="229" spans="2:6" x14ac:dyDescent="0.3">
      <c r="B229" s="666"/>
      <c r="E229" s="666"/>
      <c r="F229" s="666"/>
    </row>
    <row r="230" spans="2:6" x14ac:dyDescent="0.3">
      <c r="B230" s="666"/>
      <c r="E230" s="666"/>
      <c r="F230" s="666"/>
    </row>
    <row r="231" spans="2:6" x14ac:dyDescent="0.3">
      <c r="B231" s="666"/>
      <c r="E231" s="666"/>
      <c r="F231" s="666"/>
    </row>
    <row r="232" spans="2:6" x14ac:dyDescent="0.3">
      <c r="B232" s="666"/>
      <c r="E232" s="666"/>
      <c r="F232" s="666"/>
    </row>
    <row r="233" spans="2:6" x14ac:dyDescent="0.3">
      <c r="B233" s="666"/>
      <c r="E233" s="666"/>
      <c r="F233" s="666"/>
    </row>
    <row r="234" spans="2:6" x14ac:dyDescent="0.3">
      <c r="B234" s="666"/>
      <c r="E234" s="666"/>
      <c r="F234" s="666"/>
    </row>
    <row r="235" spans="2:6" x14ac:dyDescent="0.3">
      <c r="B235" s="666"/>
      <c r="E235" s="666"/>
      <c r="F235" s="666"/>
    </row>
    <row r="236" spans="2:6" x14ac:dyDescent="0.3">
      <c r="B236" s="666"/>
      <c r="E236" s="666"/>
      <c r="F236" s="666"/>
    </row>
    <row r="237" spans="2:6" x14ac:dyDescent="0.3">
      <c r="B237" s="666"/>
      <c r="E237" s="666"/>
      <c r="F237" s="666"/>
    </row>
    <row r="238" spans="2:6" x14ac:dyDescent="0.3">
      <c r="B238" s="666"/>
      <c r="E238" s="666"/>
      <c r="F238" s="666"/>
    </row>
    <row r="239" spans="2:6" x14ac:dyDescent="0.3">
      <c r="B239" s="666"/>
      <c r="E239" s="666"/>
      <c r="F239" s="666"/>
    </row>
    <row r="240" spans="2:6" x14ac:dyDescent="0.3">
      <c r="B240" s="666"/>
      <c r="E240" s="666"/>
      <c r="F240" s="666"/>
    </row>
    <row r="241" spans="2:6" x14ac:dyDescent="0.3">
      <c r="B241" s="666"/>
      <c r="E241" s="666"/>
      <c r="F241" s="666"/>
    </row>
    <row r="242" spans="2:6" x14ac:dyDescent="0.3">
      <c r="B242" s="666"/>
      <c r="E242" s="666"/>
      <c r="F242" s="666"/>
    </row>
    <row r="243" spans="2:6" x14ac:dyDescent="0.3">
      <c r="B243" s="666"/>
      <c r="E243" s="666"/>
      <c r="F243" s="666"/>
    </row>
    <row r="244" spans="2:6" x14ac:dyDescent="0.3">
      <c r="B244" s="666"/>
      <c r="E244" s="666"/>
      <c r="F244" s="666"/>
    </row>
    <row r="245" spans="2:6" x14ac:dyDescent="0.3">
      <c r="B245" s="666"/>
      <c r="E245" s="666"/>
      <c r="F245" s="666"/>
    </row>
    <row r="246" spans="2:6" x14ac:dyDescent="0.3">
      <c r="B246" s="666"/>
      <c r="E246" s="666"/>
      <c r="F246" s="666"/>
    </row>
    <row r="247" spans="2:6" x14ac:dyDescent="0.3">
      <c r="B247" s="666"/>
      <c r="E247" s="666"/>
      <c r="F247" s="666"/>
    </row>
    <row r="248" spans="2:6" x14ac:dyDescent="0.3">
      <c r="B248" s="666"/>
      <c r="E248" s="666"/>
      <c r="F248" s="666"/>
    </row>
    <row r="249" spans="2:6" x14ac:dyDescent="0.3">
      <c r="B249" s="666"/>
      <c r="E249" s="666"/>
      <c r="F249" s="666"/>
    </row>
    <row r="250" spans="2:6" x14ac:dyDescent="0.3">
      <c r="B250" s="666"/>
      <c r="E250" s="666"/>
      <c r="F250" s="666"/>
    </row>
    <row r="251" spans="2:6" x14ac:dyDescent="0.3">
      <c r="B251" s="666"/>
      <c r="E251" s="666"/>
      <c r="F251" s="666"/>
    </row>
    <row r="252" spans="2:6" x14ac:dyDescent="0.3">
      <c r="B252" s="666"/>
      <c r="E252" s="666"/>
      <c r="F252" s="666"/>
    </row>
    <row r="253" spans="2:6" x14ac:dyDescent="0.3">
      <c r="B253" s="666"/>
      <c r="E253" s="666"/>
      <c r="F253" s="666"/>
    </row>
    <row r="254" spans="2:6" x14ac:dyDescent="0.3">
      <c r="B254" s="666"/>
      <c r="E254" s="666"/>
      <c r="F254" s="666"/>
    </row>
    <row r="255" spans="2:6" x14ac:dyDescent="0.3">
      <c r="B255" s="666"/>
      <c r="E255" s="666"/>
      <c r="F255" s="666"/>
    </row>
    <row r="256" spans="2:6" x14ac:dyDescent="0.3">
      <c r="B256" s="666"/>
      <c r="E256" s="666"/>
      <c r="F256" s="666"/>
    </row>
    <row r="257" spans="2:6" x14ac:dyDescent="0.3">
      <c r="B257" s="666"/>
      <c r="E257" s="666"/>
      <c r="F257" s="666"/>
    </row>
    <row r="258" spans="2:6" x14ac:dyDescent="0.3">
      <c r="B258" s="666"/>
      <c r="E258" s="666"/>
      <c r="F258" s="666"/>
    </row>
    <row r="259" spans="2:6" x14ac:dyDescent="0.3">
      <c r="B259" s="666"/>
      <c r="E259" s="666"/>
      <c r="F259" s="666"/>
    </row>
    <row r="260" spans="2:6" x14ac:dyDescent="0.3">
      <c r="B260" s="666"/>
      <c r="E260" s="666"/>
      <c r="F260" s="666"/>
    </row>
    <row r="261" spans="2:6" x14ac:dyDescent="0.3">
      <c r="B261" s="666"/>
      <c r="E261" s="666"/>
      <c r="F261" s="666"/>
    </row>
    <row r="262" spans="2:6" x14ac:dyDescent="0.3">
      <c r="B262" s="666"/>
      <c r="E262" s="666"/>
      <c r="F262" s="666"/>
    </row>
    <row r="263" spans="2:6" x14ac:dyDescent="0.3">
      <c r="B263" s="666"/>
      <c r="E263" s="666"/>
      <c r="F263" s="666"/>
    </row>
    <row r="264" spans="2:6" x14ac:dyDescent="0.3">
      <c r="B264" s="666"/>
      <c r="E264" s="666"/>
      <c r="F264" s="666"/>
    </row>
    <row r="265" spans="2:6" x14ac:dyDescent="0.3">
      <c r="B265" s="666"/>
      <c r="E265" s="666"/>
      <c r="F265" s="666"/>
    </row>
    <row r="266" spans="2:6" x14ac:dyDescent="0.3">
      <c r="B266" s="666"/>
      <c r="E266" s="666"/>
      <c r="F266" s="666"/>
    </row>
    <row r="267" spans="2:6" x14ac:dyDescent="0.3">
      <c r="B267" s="666"/>
      <c r="E267" s="666"/>
      <c r="F267" s="666"/>
    </row>
    <row r="268" spans="2:6" x14ac:dyDescent="0.3">
      <c r="B268" s="666"/>
      <c r="E268" s="666"/>
      <c r="F268" s="666"/>
    </row>
    <row r="269" spans="2:6" x14ac:dyDescent="0.3">
      <c r="B269" s="666"/>
      <c r="E269" s="666"/>
      <c r="F269" s="666"/>
    </row>
    <row r="270" spans="2:6" x14ac:dyDescent="0.3">
      <c r="B270" s="666"/>
      <c r="E270" s="666"/>
      <c r="F270" s="666"/>
    </row>
    <row r="271" spans="2:6" x14ac:dyDescent="0.3">
      <c r="B271" s="666"/>
      <c r="E271" s="666"/>
      <c r="F271" s="666"/>
    </row>
    <row r="272" spans="2:6" x14ac:dyDescent="0.3">
      <c r="B272" s="666"/>
      <c r="E272" s="666"/>
      <c r="F272" s="666"/>
    </row>
    <row r="273" spans="2:6" x14ac:dyDescent="0.3">
      <c r="B273" s="666"/>
      <c r="E273" s="666"/>
      <c r="F273" s="666"/>
    </row>
    <row r="274" spans="2:6" x14ac:dyDescent="0.3">
      <c r="B274" s="666"/>
      <c r="E274" s="666"/>
      <c r="F274" s="666"/>
    </row>
    <row r="275" spans="2:6" x14ac:dyDescent="0.3">
      <c r="B275" s="666"/>
      <c r="E275" s="666"/>
      <c r="F275" s="666"/>
    </row>
    <row r="276" spans="2:6" x14ac:dyDescent="0.3">
      <c r="B276" s="666"/>
      <c r="E276" s="666"/>
      <c r="F276" s="666"/>
    </row>
    <row r="277" spans="2:6" x14ac:dyDescent="0.3">
      <c r="B277" s="666"/>
      <c r="E277" s="666"/>
      <c r="F277" s="666"/>
    </row>
    <row r="278" spans="2:6" x14ac:dyDescent="0.3">
      <c r="B278" s="666"/>
      <c r="E278" s="666"/>
      <c r="F278" s="666"/>
    </row>
    <row r="279" spans="2:6" x14ac:dyDescent="0.3">
      <c r="B279" s="666"/>
      <c r="E279" s="666"/>
      <c r="F279" s="666"/>
    </row>
    <row r="280" spans="2:6" x14ac:dyDescent="0.3">
      <c r="B280" s="666"/>
      <c r="E280" s="666"/>
      <c r="F280" s="666"/>
    </row>
    <row r="281" spans="2:6" x14ac:dyDescent="0.3">
      <c r="B281" s="666"/>
      <c r="E281" s="666"/>
      <c r="F281" s="666"/>
    </row>
    <row r="282" spans="2:6" x14ac:dyDescent="0.3">
      <c r="B282" s="666"/>
      <c r="E282" s="666"/>
      <c r="F282" s="666"/>
    </row>
    <row r="283" spans="2:6" x14ac:dyDescent="0.3">
      <c r="B283" s="666"/>
      <c r="E283" s="666"/>
      <c r="F283" s="666"/>
    </row>
    <row r="284" spans="2:6" x14ac:dyDescent="0.3">
      <c r="B284" s="666"/>
      <c r="E284" s="666"/>
      <c r="F284" s="666"/>
    </row>
    <row r="285" spans="2:6" x14ac:dyDescent="0.3">
      <c r="B285" s="666"/>
      <c r="E285" s="666"/>
      <c r="F285" s="666"/>
    </row>
    <row r="286" spans="2:6" x14ac:dyDescent="0.3">
      <c r="B286" s="666"/>
      <c r="E286" s="666"/>
      <c r="F286" s="666"/>
    </row>
    <row r="287" spans="2:6" x14ac:dyDescent="0.3">
      <c r="B287" s="666"/>
      <c r="E287" s="666"/>
      <c r="F287" s="666"/>
    </row>
    <row r="288" spans="2:6" x14ac:dyDescent="0.3">
      <c r="B288" s="666"/>
      <c r="E288" s="666"/>
      <c r="F288" s="666"/>
    </row>
    <row r="289" spans="2:6" x14ac:dyDescent="0.3">
      <c r="B289" s="666"/>
      <c r="E289" s="666"/>
      <c r="F289" s="666"/>
    </row>
    <row r="290" spans="2:6" x14ac:dyDescent="0.3">
      <c r="B290" s="666"/>
      <c r="E290" s="666"/>
      <c r="F290" s="666"/>
    </row>
    <row r="291" spans="2:6" x14ac:dyDescent="0.3">
      <c r="B291" s="666"/>
      <c r="E291" s="666"/>
      <c r="F291" s="666"/>
    </row>
    <row r="292" spans="2:6" x14ac:dyDescent="0.3">
      <c r="B292" s="666"/>
      <c r="E292" s="666"/>
      <c r="F292" s="666"/>
    </row>
    <row r="293" spans="2:6" x14ac:dyDescent="0.3">
      <c r="B293" s="666"/>
      <c r="E293" s="666"/>
      <c r="F293" s="666"/>
    </row>
    <row r="294" spans="2:6" x14ac:dyDescent="0.3">
      <c r="B294" s="666"/>
      <c r="E294" s="666"/>
      <c r="F294" s="666"/>
    </row>
    <row r="295" spans="2:6" x14ac:dyDescent="0.3">
      <c r="B295" s="666"/>
      <c r="E295" s="666"/>
      <c r="F295" s="666"/>
    </row>
    <row r="296" spans="2:6" x14ac:dyDescent="0.3">
      <c r="B296" s="666"/>
      <c r="E296" s="666"/>
      <c r="F296" s="666"/>
    </row>
    <row r="297" spans="2:6" x14ac:dyDescent="0.3">
      <c r="B297" s="666"/>
      <c r="E297" s="666"/>
      <c r="F297" s="666"/>
    </row>
    <row r="298" spans="2:6" x14ac:dyDescent="0.3">
      <c r="B298" s="666"/>
      <c r="E298" s="666"/>
      <c r="F298" s="666"/>
    </row>
    <row r="299" spans="2:6" x14ac:dyDescent="0.3">
      <c r="B299" s="666"/>
      <c r="E299" s="666"/>
      <c r="F299" s="666"/>
    </row>
    <row r="300" spans="2:6" x14ac:dyDescent="0.3">
      <c r="B300" s="666"/>
      <c r="E300" s="666"/>
      <c r="F300" s="666"/>
    </row>
    <row r="301" spans="2:6" x14ac:dyDescent="0.3">
      <c r="B301" s="666"/>
      <c r="E301" s="666"/>
      <c r="F301" s="666"/>
    </row>
    <row r="302" spans="2:6" x14ac:dyDescent="0.3">
      <c r="B302" s="666"/>
      <c r="E302" s="666"/>
      <c r="F302" s="666"/>
    </row>
    <row r="303" spans="2:6" x14ac:dyDescent="0.3">
      <c r="B303" s="666"/>
      <c r="E303" s="666"/>
      <c r="F303" s="666"/>
    </row>
    <row r="304" spans="2:6" x14ac:dyDescent="0.3">
      <c r="B304" s="666"/>
      <c r="E304" s="666"/>
      <c r="F304" s="666"/>
    </row>
    <row r="305" spans="2:6" x14ac:dyDescent="0.3">
      <c r="B305" s="666"/>
      <c r="E305" s="666"/>
      <c r="F305" s="666"/>
    </row>
    <row r="306" spans="2:6" x14ac:dyDescent="0.3">
      <c r="B306" s="666"/>
      <c r="E306" s="666"/>
      <c r="F306" s="666"/>
    </row>
    <row r="307" spans="2:6" x14ac:dyDescent="0.3">
      <c r="B307" s="666"/>
      <c r="E307" s="666"/>
      <c r="F307" s="666"/>
    </row>
    <row r="308" spans="2:6" x14ac:dyDescent="0.3">
      <c r="B308" s="666"/>
      <c r="E308" s="666"/>
      <c r="F308" s="666"/>
    </row>
    <row r="309" spans="2:6" x14ac:dyDescent="0.3">
      <c r="B309" s="666"/>
      <c r="E309" s="666"/>
      <c r="F309" s="666"/>
    </row>
    <row r="310" spans="2:6" x14ac:dyDescent="0.3">
      <c r="B310" s="666"/>
      <c r="E310" s="666"/>
      <c r="F310" s="666"/>
    </row>
    <row r="311" spans="2:6" x14ac:dyDescent="0.3">
      <c r="B311" s="666"/>
      <c r="E311" s="666"/>
      <c r="F311" s="666"/>
    </row>
    <row r="312" spans="2:6" x14ac:dyDescent="0.3">
      <c r="B312" s="666"/>
      <c r="E312" s="666"/>
      <c r="F312" s="666"/>
    </row>
    <row r="313" spans="2:6" x14ac:dyDescent="0.3">
      <c r="B313" s="666"/>
      <c r="E313" s="666"/>
      <c r="F313" s="666"/>
    </row>
    <row r="314" spans="2:6" x14ac:dyDescent="0.3">
      <c r="B314" s="666"/>
      <c r="E314" s="666"/>
      <c r="F314" s="666"/>
    </row>
    <row r="315" spans="2:6" x14ac:dyDescent="0.3">
      <c r="B315" s="666"/>
      <c r="E315" s="666"/>
      <c r="F315" s="666"/>
    </row>
    <row r="316" spans="2:6" x14ac:dyDescent="0.3">
      <c r="B316" s="666"/>
      <c r="E316" s="666"/>
      <c r="F316" s="666"/>
    </row>
    <row r="317" spans="2:6" x14ac:dyDescent="0.3">
      <c r="B317" s="666"/>
      <c r="E317" s="666"/>
      <c r="F317" s="666"/>
    </row>
    <row r="318" spans="2:6" x14ac:dyDescent="0.3">
      <c r="B318" s="666"/>
      <c r="E318" s="666"/>
      <c r="F318" s="666"/>
    </row>
    <row r="319" spans="2:6" x14ac:dyDescent="0.3">
      <c r="B319" s="666"/>
      <c r="E319" s="666"/>
      <c r="F319" s="666"/>
    </row>
    <row r="320" spans="2:6" x14ac:dyDescent="0.3">
      <c r="B320" s="666"/>
      <c r="E320" s="666"/>
      <c r="F320" s="666"/>
    </row>
    <row r="321" spans="2:6" x14ac:dyDescent="0.3">
      <c r="B321" s="666"/>
      <c r="E321" s="666"/>
      <c r="F321" s="666"/>
    </row>
    <row r="322" spans="2:6" x14ac:dyDescent="0.3">
      <c r="B322" s="666"/>
      <c r="E322" s="666"/>
      <c r="F322" s="666"/>
    </row>
    <row r="323" spans="2:6" x14ac:dyDescent="0.3">
      <c r="B323" s="666"/>
      <c r="E323" s="666"/>
      <c r="F323" s="666"/>
    </row>
    <row r="324" spans="2:6" x14ac:dyDescent="0.3">
      <c r="B324" s="666"/>
      <c r="E324" s="666"/>
      <c r="F324" s="666"/>
    </row>
    <row r="325" spans="2:6" x14ac:dyDescent="0.3">
      <c r="B325" s="666"/>
      <c r="E325" s="666"/>
      <c r="F325" s="666"/>
    </row>
    <row r="326" spans="2:6" x14ac:dyDescent="0.3">
      <c r="B326" s="666"/>
      <c r="E326" s="666"/>
      <c r="F326" s="666"/>
    </row>
    <row r="327" spans="2:6" x14ac:dyDescent="0.3">
      <c r="B327" s="666"/>
      <c r="E327" s="666"/>
      <c r="F327" s="666"/>
    </row>
    <row r="328" spans="2:6" x14ac:dyDescent="0.3">
      <c r="B328" s="666"/>
      <c r="E328" s="666"/>
      <c r="F328" s="666"/>
    </row>
    <row r="329" spans="2:6" x14ac:dyDescent="0.3">
      <c r="B329" s="666"/>
      <c r="E329" s="666"/>
      <c r="F329" s="666"/>
    </row>
    <row r="330" spans="2:6" x14ac:dyDescent="0.3">
      <c r="B330" s="666"/>
      <c r="E330" s="666"/>
      <c r="F330" s="666"/>
    </row>
    <row r="331" spans="2:6" x14ac:dyDescent="0.3">
      <c r="B331" s="666"/>
      <c r="E331" s="666"/>
      <c r="F331" s="666"/>
    </row>
    <row r="332" spans="2:6" x14ac:dyDescent="0.3">
      <c r="B332" s="666"/>
      <c r="E332" s="666"/>
      <c r="F332" s="666"/>
    </row>
    <row r="333" spans="2:6" x14ac:dyDescent="0.3">
      <c r="B333" s="666"/>
      <c r="E333" s="666"/>
      <c r="F333" s="666"/>
    </row>
    <row r="334" spans="2:6" x14ac:dyDescent="0.3">
      <c r="B334" s="666"/>
      <c r="E334" s="666"/>
      <c r="F334" s="666"/>
    </row>
    <row r="335" spans="2:6" x14ac:dyDescent="0.3">
      <c r="B335" s="666"/>
      <c r="E335" s="666"/>
      <c r="F335" s="666"/>
    </row>
    <row r="336" spans="2:6" x14ac:dyDescent="0.3">
      <c r="B336" s="666"/>
      <c r="E336" s="666"/>
      <c r="F336" s="666"/>
    </row>
    <row r="337" spans="2:6" x14ac:dyDescent="0.3">
      <c r="B337" s="666"/>
      <c r="E337" s="666"/>
      <c r="F337" s="666"/>
    </row>
    <row r="338" spans="2:6" x14ac:dyDescent="0.3">
      <c r="B338" s="666"/>
      <c r="E338" s="666"/>
      <c r="F338" s="666"/>
    </row>
    <row r="339" spans="2:6" x14ac:dyDescent="0.3">
      <c r="B339" s="666"/>
      <c r="E339" s="666"/>
      <c r="F339" s="666"/>
    </row>
    <row r="340" spans="2:6" x14ac:dyDescent="0.3">
      <c r="B340" s="666"/>
      <c r="E340" s="666"/>
      <c r="F340" s="666"/>
    </row>
    <row r="341" spans="2:6" x14ac:dyDescent="0.3">
      <c r="B341" s="666"/>
      <c r="E341" s="666"/>
      <c r="F341" s="666"/>
    </row>
    <row r="342" spans="2:6" x14ac:dyDescent="0.3">
      <c r="B342" s="666"/>
      <c r="E342" s="666"/>
      <c r="F342" s="666"/>
    </row>
    <row r="343" spans="2:6" x14ac:dyDescent="0.3">
      <c r="B343" s="666"/>
      <c r="E343" s="666"/>
      <c r="F343" s="666"/>
    </row>
    <row r="344" spans="2:6" x14ac:dyDescent="0.3">
      <c r="B344" s="666"/>
      <c r="E344" s="666"/>
      <c r="F344" s="666"/>
    </row>
    <row r="345" spans="2:6" x14ac:dyDescent="0.3">
      <c r="B345" s="666"/>
      <c r="E345" s="666"/>
      <c r="F345" s="666"/>
    </row>
    <row r="346" spans="2:6" x14ac:dyDescent="0.3">
      <c r="B346" s="666"/>
      <c r="E346" s="666"/>
      <c r="F346" s="666"/>
    </row>
    <row r="347" spans="2:6" x14ac:dyDescent="0.3">
      <c r="B347" s="666"/>
      <c r="E347" s="666"/>
      <c r="F347" s="666"/>
    </row>
    <row r="348" spans="2:6" x14ac:dyDescent="0.3">
      <c r="B348" s="666"/>
      <c r="E348" s="666"/>
      <c r="F348" s="666"/>
    </row>
    <row r="349" spans="2:6" x14ac:dyDescent="0.3">
      <c r="B349" s="666"/>
      <c r="E349" s="666"/>
      <c r="F349" s="666"/>
    </row>
    <row r="350" spans="2:6" x14ac:dyDescent="0.3">
      <c r="B350" s="666"/>
      <c r="E350" s="666"/>
      <c r="F350" s="666"/>
    </row>
    <row r="351" spans="2:6" x14ac:dyDescent="0.3">
      <c r="B351" s="666"/>
      <c r="E351" s="666"/>
      <c r="F351" s="666"/>
    </row>
    <row r="352" spans="2:6" x14ac:dyDescent="0.3">
      <c r="B352" s="666"/>
      <c r="E352" s="666"/>
      <c r="F352" s="666"/>
    </row>
    <row r="353" spans="2:6" x14ac:dyDescent="0.3">
      <c r="B353" s="666"/>
      <c r="E353" s="666"/>
      <c r="F353" s="666"/>
    </row>
    <row r="354" spans="2:6" x14ac:dyDescent="0.3">
      <c r="B354" s="666"/>
      <c r="E354" s="666"/>
      <c r="F354" s="666"/>
    </row>
    <row r="355" spans="2:6" x14ac:dyDescent="0.3">
      <c r="B355" s="666"/>
      <c r="E355" s="666"/>
      <c r="F355" s="666"/>
    </row>
    <row r="356" spans="2:6" x14ac:dyDescent="0.3">
      <c r="B356" s="666"/>
      <c r="E356" s="666"/>
      <c r="F356" s="666"/>
    </row>
    <row r="357" spans="2:6" x14ac:dyDescent="0.3">
      <c r="B357" s="666"/>
      <c r="E357" s="666"/>
      <c r="F357" s="666"/>
    </row>
    <row r="358" spans="2:6" x14ac:dyDescent="0.3">
      <c r="B358" s="666"/>
      <c r="E358" s="666"/>
      <c r="F358" s="666"/>
    </row>
    <row r="359" spans="2:6" x14ac:dyDescent="0.3">
      <c r="B359" s="666"/>
      <c r="E359" s="666"/>
      <c r="F359" s="666"/>
    </row>
    <row r="360" spans="2:6" x14ac:dyDescent="0.3">
      <c r="B360" s="666"/>
      <c r="E360" s="666"/>
      <c r="F360" s="666"/>
    </row>
    <row r="361" spans="2:6" x14ac:dyDescent="0.3">
      <c r="B361" s="666"/>
      <c r="E361" s="666"/>
      <c r="F361" s="666"/>
    </row>
    <row r="362" spans="2:6" x14ac:dyDescent="0.3">
      <c r="B362" s="666"/>
      <c r="E362" s="666"/>
      <c r="F362" s="666"/>
    </row>
    <row r="363" spans="2:6" x14ac:dyDescent="0.3">
      <c r="B363" s="666"/>
      <c r="E363" s="666"/>
      <c r="F363" s="666"/>
    </row>
    <row r="364" spans="2:6" x14ac:dyDescent="0.3">
      <c r="B364" s="666"/>
      <c r="E364" s="666"/>
      <c r="F364" s="666"/>
    </row>
    <row r="365" spans="2:6" x14ac:dyDescent="0.3">
      <c r="B365" s="666"/>
      <c r="E365" s="666"/>
      <c r="F365" s="666"/>
    </row>
    <row r="366" spans="2:6" x14ac:dyDescent="0.3">
      <c r="B366" s="666"/>
      <c r="E366" s="666"/>
      <c r="F366" s="666"/>
    </row>
    <row r="367" spans="2:6" x14ac:dyDescent="0.3">
      <c r="B367" s="666"/>
      <c r="E367" s="666"/>
      <c r="F367" s="666"/>
    </row>
    <row r="368" spans="2:6" x14ac:dyDescent="0.3">
      <c r="B368" s="666"/>
      <c r="E368" s="666"/>
      <c r="F368" s="666"/>
    </row>
    <row r="369" spans="2:6" x14ac:dyDescent="0.3">
      <c r="B369" s="666"/>
      <c r="E369" s="666"/>
      <c r="F369" s="666"/>
    </row>
    <row r="370" spans="2:6" x14ac:dyDescent="0.3">
      <c r="B370" s="666"/>
      <c r="E370" s="666"/>
      <c r="F370" s="666"/>
    </row>
    <row r="371" spans="2:6" x14ac:dyDescent="0.3">
      <c r="B371" s="666"/>
      <c r="E371" s="666"/>
      <c r="F371" s="666"/>
    </row>
    <row r="372" spans="2:6" x14ac:dyDescent="0.3">
      <c r="B372" s="666"/>
      <c r="E372" s="666"/>
      <c r="F372" s="666"/>
    </row>
    <row r="373" spans="2:6" x14ac:dyDescent="0.3">
      <c r="B373" s="666"/>
      <c r="E373" s="666"/>
      <c r="F373" s="666"/>
    </row>
    <row r="374" spans="2:6" x14ac:dyDescent="0.3">
      <c r="B374" s="666"/>
      <c r="E374" s="666"/>
      <c r="F374" s="666"/>
    </row>
    <row r="375" spans="2:6" x14ac:dyDescent="0.3">
      <c r="B375" s="666"/>
      <c r="E375" s="666"/>
      <c r="F375" s="666"/>
    </row>
    <row r="376" spans="2:6" x14ac:dyDescent="0.3">
      <c r="B376" s="666"/>
      <c r="E376" s="666"/>
      <c r="F376" s="666"/>
    </row>
    <row r="377" spans="2:6" x14ac:dyDescent="0.3">
      <c r="B377" s="666"/>
      <c r="E377" s="666"/>
      <c r="F377" s="666"/>
    </row>
    <row r="378" spans="2:6" x14ac:dyDescent="0.3">
      <c r="B378" s="666"/>
      <c r="E378" s="666"/>
      <c r="F378" s="666"/>
    </row>
    <row r="379" spans="2:6" x14ac:dyDescent="0.3">
      <c r="B379" s="666"/>
      <c r="E379" s="666"/>
      <c r="F379" s="666"/>
    </row>
    <row r="380" spans="2:6" x14ac:dyDescent="0.3">
      <c r="B380" s="666"/>
      <c r="E380" s="666"/>
      <c r="F380" s="666"/>
    </row>
    <row r="381" spans="2:6" x14ac:dyDescent="0.3">
      <c r="B381" s="666"/>
      <c r="E381" s="666"/>
      <c r="F381" s="666"/>
    </row>
    <row r="382" spans="2:6" x14ac:dyDescent="0.3">
      <c r="B382" s="666"/>
      <c r="E382" s="666"/>
      <c r="F382" s="666"/>
    </row>
    <row r="383" spans="2:6" x14ac:dyDescent="0.3">
      <c r="B383" s="666"/>
      <c r="E383" s="666"/>
      <c r="F383" s="666"/>
    </row>
    <row r="384" spans="2:6" x14ac:dyDescent="0.3">
      <c r="B384" s="666"/>
      <c r="E384" s="666"/>
      <c r="F384" s="666"/>
    </row>
    <row r="385" spans="2:6" x14ac:dyDescent="0.3">
      <c r="B385" s="666"/>
      <c r="E385" s="666"/>
      <c r="F385" s="666"/>
    </row>
    <row r="386" spans="2:6" x14ac:dyDescent="0.3">
      <c r="B386" s="666"/>
      <c r="E386" s="666"/>
      <c r="F386" s="666"/>
    </row>
    <row r="387" spans="2:6" x14ac:dyDescent="0.3">
      <c r="B387" s="666"/>
      <c r="E387" s="666"/>
      <c r="F387" s="666"/>
    </row>
    <row r="388" spans="2:6" x14ac:dyDescent="0.3">
      <c r="B388" s="666"/>
      <c r="E388" s="666"/>
      <c r="F388" s="666"/>
    </row>
    <row r="389" spans="2:6" x14ac:dyDescent="0.3">
      <c r="B389" s="666"/>
      <c r="E389" s="666"/>
      <c r="F389" s="666"/>
    </row>
    <row r="390" spans="2:6" x14ac:dyDescent="0.3">
      <c r="B390" s="666"/>
      <c r="E390" s="666"/>
      <c r="F390" s="666"/>
    </row>
    <row r="391" spans="2:6" x14ac:dyDescent="0.3">
      <c r="B391" s="666"/>
      <c r="E391" s="666"/>
      <c r="F391" s="666"/>
    </row>
    <row r="392" spans="2:6" x14ac:dyDescent="0.3">
      <c r="B392" s="666"/>
      <c r="E392" s="666"/>
      <c r="F392" s="666"/>
    </row>
    <row r="393" spans="2:6" x14ac:dyDescent="0.3">
      <c r="B393" s="666"/>
      <c r="E393" s="666"/>
      <c r="F393" s="666"/>
    </row>
    <row r="394" spans="2:6" x14ac:dyDescent="0.3">
      <c r="B394" s="666"/>
      <c r="E394" s="666"/>
      <c r="F394" s="666"/>
    </row>
    <row r="395" spans="2:6" x14ac:dyDescent="0.3">
      <c r="B395" s="666"/>
      <c r="E395" s="666"/>
      <c r="F395" s="666"/>
    </row>
    <row r="396" spans="2:6" x14ac:dyDescent="0.3">
      <c r="B396" s="666"/>
      <c r="E396" s="666"/>
      <c r="F396" s="666"/>
    </row>
    <row r="397" spans="2:6" x14ac:dyDescent="0.3">
      <c r="B397" s="666"/>
      <c r="E397" s="666"/>
      <c r="F397" s="666"/>
    </row>
    <row r="398" spans="2:6" x14ac:dyDescent="0.3">
      <c r="B398" s="666"/>
      <c r="E398" s="666"/>
      <c r="F398" s="666"/>
    </row>
    <row r="399" spans="2:6" x14ac:dyDescent="0.3">
      <c r="B399" s="666"/>
      <c r="E399" s="666"/>
      <c r="F399" s="666"/>
    </row>
    <row r="400" spans="2:6" x14ac:dyDescent="0.3">
      <c r="B400" s="666"/>
      <c r="E400" s="666"/>
      <c r="F400" s="666"/>
    </row>
    <row r="401" spans="2:6" x14ac:dyDescent="0.3">
      <c r="B401" s="666"/>
      <c r="E401" s="666"/>
      <c r="F401" s="666"/>
    </row>
    <row r="402" spans="2:6" x14ac:dyDescent="0.3">
      <c r="B402" s="666"/>
      <c r="E402" s="666"/>
      <c r="F402" s="666"/>
    </row>
    <row r="403" spans="2:6" x14ac:dyDescent="0.3">
      <c r="B403" s="666"/>
      <c r="E403" s="666"/>
      <c r="F403" s="666"/>
    </row>
    <row r="404" spans="2:6" x14ac:dyDescent="0.3">
      <c r="B404" s="666"/>
      <c r="E404" s="666"/>
      <c r="F404" s="666"/>
    </row>
    <row r="405" spans="2:6" x14ac:dyDescent="0.3">
      <c r="B405" s="666"/>
      <c r="E405" s="666"/>
      <c r="F405" s="666"/>
    </row>
    <row r="406" spans="2:6" x14ac:dyDescent="0.3">
      <c r="B406" s="666"/>
      <c r="E406" s="666"/>
      <c r="F406" s="666"/>
    </row>
    <row r="407" spans="2:6" x14ac:dyDescent="0.3">
      <c r="B407" s="666"/>
      <c r="E407" s="666"/>
      <c r="F407" s="666"/>
    </row>
    <row r="408" spans="2:6" x14ac:dyDescent="0.3">
      <c r="B408" s="666"/>
      <c r="E408" s="666"/>
      <c r="F408" s="666"/>
    </row>
    <row r="409" spans="2:6" x14ac:dyDescent="0.3">
      <c r="B409" s="666"/>
      <c r="E409" s="666"/>
      <c r="F409" s="666"/>
    </row>
    <row r="410" spans="2:6" x14ac:dyDescent="0.3">
      <c r="B410" s="666"/>
      <c r="E410" s="666"/>
      <c r="F410" s="666"/>
    </row>
    <row r="411" spans="2:6" x14ac:dyDescent="0.3">
      <c r="B411" s="666"/>
      <c r="E411" s="666"/>
      <c r="F411" s="666"/>
    </row>
    <row r="412" spans="2:6" x14ac:dyDescent="0.3">
      <c r="B412" s="666"/>
      <c r="E412" s="666"/>
      <c r="F412" s="666"/>
    </row>
    <row r="413" spans="2:6" x14ac:dyDescent="0.3">
      <c r="B413" s="666"/>
      <c r="E413" s="666"/>
      <c r="F413" s="666"/>
    </row>
    <row r="414" spans="2:6" x14ac:dyDescent="0.3">
      <c r="B414" s="666"/>
      <c r="E414" s="666"/>
      <c r="F414" s="666"/>
    </row>
    <row r="415" spans="2:6" x14ac:dyDescent="0.3">
      <c r="B415" s="666"/>
      <c r="E415" s="666"/>
      <c r="F415" s="666"/>
    </row>
    <row r="416" spans="2:6" x14ac:dyDescent="0.3">
      <c r="B416" s="666"/>
      <c r="E416" s="666"/>
      <c r="F416" s="666"/>
    </row>
    <row r="417" spans="2:6" x14ac:dyDescent="0.3">
      <c r="B417" s="666"/>
      <c r="E417" s="666"/>
      <c r="F417" s="666"/>
    </row>
    <row r="418" spans="2:6" x14ac:dyDescent="0.3">
      <c r="B418" s="666"/>
      <c r="E418" s="666"/>
      <c r="F418" s="666"/>
    </row>
    <row r="419" spans="2:6" x14ac:dyDescent="0.3">
      <c r="B419" s="666"/>
      <c r="E419" s="666"/>
      <c r="F419" s="666"/>
    </row>
    <row r="420" spans="2:6" x14ac:dyDescent="0.3">
      <c r="B420" s="666"/>
      <c r="E420" s="666"/>
      <c r="F420" s="666"/>
    </row>
    <row r="421" spans="2:6" x14ac:dyDescent="0.3">
      <c r="B421" s="666"/>
      <c r="E421" s="666"/>
      <c r="F421" s="666"/>
    </row>
    <row r="422" spans="2:6" x14ac:dyDescent="0.3">
      <c r="B422" s="666"/>
      <c r="E422" s="666"/>
      <c r="F422" s="666"/>
    </row>
    <row r="423" spans="2:6" x14ac:dyDescent="0.3">
      <c r="B423" s="666"/>
      <c r="E423" s="666"/>
      <c r="F423" s="666"/>
    </row>
    <row r="424" spans="2:6" x14ac:dyDescent="0.3">
      <c r="B424" s="666"/>
      <c r="E424" s="666"/>
      <c r="F424" s="666"/>
    </row>
    <row r="425" spans="2:6" x14ac:dyDescent="0.3">
      <c r="B425" s="666"/>
      <c r="E425" s="666"/>
      <c r="F425" s="666"/>
    </row>
    <row r="426" spans="2:6" x14ac:dyDescent="0.3">
      <c r="B426" s="666"/>
      <c r="E426" s="666"/>
      <c r="F426" s="666"/>
    </row>
    <row r="427" spans="2:6" x14ac:dyDescent="0.3">
      <c r="B427" s="666"/>
      <c r="E427" s="666"/>
      <c r="F427" s="666"/>
    </row>
    <row r="428" spans="2:6" x14ac:dyDescent="0.3">
      <c r="B428" s="666"/>
      <c r="E428" s="666"/>
      <c r="F428" s="666"/>
    </row>
    <row r="429" spans="2:6" x14ac:dyDescent="0.3">
      <c r="B429" s="666"/>
      <c r="E429" s="666"/>
      <c r="F429" s="666"/>
    </row>
    <row r="430" spans="2:6" x14ac:dyDescent="0.3">
      <c r="B430" s="666"/>
      <c r="E430" s="666"/>
      <c r="F430" s="666"/>
    </row>
    <row r="431" spans="2:6" x14ac:dyDescent="0.3">
      <c r="B431" s="666"/>
      <c r="E431" s="666"/>
      <c r="F431" s="666"/>
    </row>
    <row r="432" spans="2:6" x14ac:dyDescent="0.3">
      <c r="B432" s="666"/>
      <c r="E432" s="666"/>
      <c r="F432" s="666"/>
    </row>
    <row r="433" spans="2:6" x14ac:dyDescent="0.3">
      <c r="B433" s="666"/>
      <c r="E433" s="666"/>
      <c r="F433" s="666"/>
    </row>
    <row r="434" spans="2:6" x14ac:dyDescent="0.3">
      <c r="B434" s="666"/>
      <c r="E434" s="666"/>
      <c r="F434" s="666"/>
    </row>
    <row r="435" spans="2:6" x14ac:dyDescent="0.3">
      <c r="B435" s="666"/>
      <c r="E435" s="666"/>
      <c r="F435" s="666"/>
    </row>
    <row r="436" spans="2:6" x14ac:dyDescent="0.3">
      <c r="B436" s="666"/>
      <c r="E436" s="666"/>
      <c r="F436" s="666"/>
    </row>
    <row r="437" spans="2:6" x14ac:dyDescent="0.3">
      <c r="B437" s="666"/>
      <c r="E437" s="666"/>
      <c r="F437" s="666"/>
    </row>
    <row r="438" spans="2:6" x14ac:dyDescent="0.3">
      <c r="B438" s="666"/>
      <c r="E438" s="666"/>
      <c r="F438" s="666"/>
    </row>
    <row r="439" spans="2:6" x14ac:dyDescent="0.3">
      <c r="B439" s="666"/>
      <c r="E439" s="666"/>
      <c r="F439" s="666"/>
    </row>
    <row r="440" spans="2:6" x14ac:dyDescent="0.3">
      <c r="B440" s="666"/>
      <c r="E440" s="666"/>
      <c r="F440" s="666"/>
    </row>
    <row r="441" spans="2:6" x14ac:dyDescent="0.3">
      <c r="B441" s="666"/>
      <c r="E441" s="666"/>
      <c r="F441" s="666"/>
    </row>
    <row r="442" spans="2:6" x14ac:dyDescent="0.3">
      <c r="B442" s="666"/>
      <c r="E442" s="666"/>
      <c r="F442" s="666"/>
    </row>
    <row r="443" spans="2:6" x14ac:dyDescent="0.3">
      <c r="B443" s="666"/>
      <c r="E443" s="666"/>
      <c r="F443" s="666"/>
    </row>
    <row r="444" spans="2:6" x14ac:dyDescent="0.3">
      <c r="B444" s="666"/>
      <c r="E444" s="666"/>
      <c r="F444" s="666"/>
    </row>
    <row r="445" spans="2:6" x14ac:dyDescent="0.3">
      <c r="B445" s="666"/>
      <c r="E445" s="666"/>
      <c r="F445" s="666"/>
    </row>
    <row r="446" spans="2:6" x14ac:dyDescent="0.3">
      <c r="B446" s="666"/>
      <c r="E446" s="666"/>
      <c r="F446" s="666"/>
    </row>
    <row r="447" spans="2:6" x14ac:dyDescent="0.3">
      <c r="B447" s="666"/>
      <c r="E447" s="666"/>
      <c r="F447" s="666"/>
    </row>
    <row r="448" spans="2:6" x14ac:dyDescent="0.3">
      <c r="B448" s="666"/>
      <c r="E448" s="666"/>
      <c r="F448" s="666"/>
    </row>
    <row r="449" spans="2:6" x14ac:dyDescent="0.3">
      <c r="B449" s="666"/>
      <c r="E449" s="666"/>
      <c r="F449" s="666"/>
    </row>
    <row r="450" spans="2:6" x14ac:dyDescent="0.3">
      <c r="B450" s="666"/>
      <c r="E450" s="666"/>
      <c r="F450" s="666"/>
    </row>
    <row r="451" spans="2:6" x14ac:dyDescent="0.3">
      <c r="B451" s="666"/>
      <c r="E451" s="666"/>
      <c r="F451" s="666"/>
    </row>
    <row r="452" spans="2:6" x14ac:dyDescent="0.3">
      <c r="B452" s="666"/>
      <c r="E452" s="666"/>
      <c r="F452" s="666"/>
    </row>
    <row r="453" spans="2:6" x14ac:dyDescent="0.3">
      <c r="B453" s="666"/>
      <c r="E453" s="666"/>
      <c r="F453" s="666"/>
    </row>
    <row r="454" spans="2:6" x14ac:dyDescent="0.3">
      <c r="B454" s="666"/>
      <c r="E454" s="666"/>
      <c r="F454" s="666"/>
    </row>
    <row r="455" spans="2:6" x14ac:dyDescent="0.3">
      <c r="B455" s="666"/>
      <c r="E455" s="666"/>
      <c r="F455" s="666"/>
    </row>
    <row r="456" spans="2:6" x14ac:dyDescent="0.3">
      <c r="B456" s="666"/>
      <c r="E456" s="666"/>
      <c r="F456" s="666"/>
    </row>
    <row r="457" spans="2:6" x14ac:dyDescent="0.3">
      <c r="B457" s="666"/>
      <c r="E457" s="666"/>
      <c r="F457" s="666"/>
    </row>
    <row r="458" spans="2:6" x14ac:dyDescent="0.3">
      <c r="B458" s="666"/>
      <c r="E458" s="666"/>
      <c r="F458" s="666"/>
    </row>
    <row r="459" spans="2:6" x14ac:dyDescent="0.3">
      <c r="B459" s="666"/>
      <c r="E459" s="666"/>
      <c r="F459" s="666"/>
    </row>
    <row r="460" spans="2:6" x14ac:dyDescent="0.3">
      <c r="B460" s="666"/>
      <c r="E460" s="666"/>
      <c r="F460" s="666"/>
    </row>
    <row r="461" spans="2:6" x14ac:dyDescent="0.3">
      <c r="B461" s="666"/>
      <c r="E461" s="666"/>
      <c r="F461" s="666"/>
    </row>
    <row r="462" spans="2:6" x14ac:dyDescent="0.3">
      <c r="B462" s="666"/>
      <c r="E462" s="666"/>
      <c r="F462" s="666"/>
    </row>
    <row r="463" spans="2:6" x14ac:dyDescent="0.3">
      <c r="B463" s="666"/>
      <c r="E463" s="666"/>
      <c r="F463" s="666"/>
    </row>
    <row r="464" spans="2:6" x14ac:dyDescent="0.3">
      <c r="B464" s="666"/>
      <c r="E464" s="666"/>
      <c r="F464" s="666"/>
    </row>
    <row r="465" spans="2:6" x14ac:dyDescent="0.3">
      <c r="B465" s="666"/>
      <c r="E465" s="666"/>
      <c r="F465" s="666"/>
    </row>
    <row r="466" spans="2:6" x14ac:dyDescent="0.3">
      <c r="B466" s="666"/>
      <c r="E466" s="666"/>
      <c r="F466" s="666"/>
    </row>
    <row r="467" spans="2:6" x14ac:dyDescent="0.3">
      <c r="B467" s="666"/>
      <c r="E467" s="666"/>
      <c r="F467" s="666"/>
    </row>
    <row r="468" spans="2:6" x14ac:dyDescent="0.3">
      <c r="B468" s="666"/>
      <c r="E468" s="666"/>
      <c r="F468" s="666"/>
    </row>
    <row r="469" spans="2:6" x14ac:dyDescent="0.3">
      <c r="B469" s="666"/>
      <c r="E469" s="666"/>
      <c r="F469" s="666"/>
    </row>
    <row r="470" spans="2:6" x14ac:dyDescent="0.3">
      <c r="B470" s="666"/>
      <c r="E470" s="666"/>
      <c r="F470" s="666"/>
    </row>
    <row r="471" spans="2:6" x14ac:dyDescent="0.3">
      <c r="B471" s="666"/>
      <c r="E471" s="666"/>
      <c r="F471" s="666"/>
    </row>
    <row r="472" spans="2:6" x14ac:dyDescent="0.3">
      <c r="B472" s="666"/>
      <c r="E472" s="666"/>
      <c r="F472" s="666"/>
    </row>
    <row r="473" spans="2:6" x14ac:dyDescent="0.3">
      <c r="B473" s="666"/>
      <c r="E473" s="666"/>
      <c r="F473" s="666"/>
    </row>
    <row r="474" spans="2:6" x14ac:dyDescent="0.3">
      <c r="B474" s="666"/>
      <c r="E474" s="666"/>
      <c r="F474" s="666"/>
    </row>
    <row r="475" spans="2:6" x14ac:dyDescent="0.3">
      <c r="B475" s="666"/>
      <c r="E475" s="666"/>
      <c r="F475" s="666"/>
    </row>
    <row r="476" spans="2:6" x14ac:dyDescent="0.3">
      <c r="B476" s="666"/>
      <c r="E476" s="666"/>
      <c r="F476" s="666"/>
    </row>
    <row r="477" spans="2:6" x14ac:dyDescent="0.3">
      <c r="B477" s="666"/>
      <c r="E477" s="666"/>
      <c r="F477" s="666"/>
    </row>
    <row r="478" spans="2:6" x14ac:dyDescent="0.3">
      <c r="B478" s="666"/>
      <c r="E478" s="666"/>
      <c r="F478" s="666"/>
    </row>
    <row r="479" spans="2:6" x14ac:dyDescent="0.3">
      <c r="B479" s="666"/>
      <c r="E479" s="666"/>
      <c r="F479" s="666"/>
    </row>
    <row r="480" spans="2:6" x14ac:dyDescent="0.3">
      <c r="B480" s="666"/>
      <c r="E480" s="666"/>
      <c r="F480" s="666"/>
    </row>
    <row r="481" spans="2:6" x14ac:dyDescent="0.3">
      <c r="B481" s="666"/>
      <c r="E481" s="666"/>
      <c r="F481" s="666"/>
    </row>
    <row r="482" spans="2:6" x14ac:dyDescent="0.3">
      <c r="B482" s="666"/>
      <c r="E482" s="666"/>
      <c r="F482" s="666"/>
    </row>
    <row r="483" spans="2:6" x14ac:dyDescent="0.3">
      <c r="B483" s="666"/>
      <c r="E483" s="666"/>
      <c r="F483" s="666"/>
    </row>
    <row r="484" spans="2:6" x14ac:dyDescent="0.3">
      <c r="B484" s="666"/>
      <c r="E484" s="666"/>
      <c r="F484" s="666"/>
    </row>
    <row r="485" spans="2:6" x14ac:dyDescent="0.3">
      <c r="B485" s="666"/>
      <c r="E485" s="666"/>
      <c r="F485" s="666"/>
    </row>
    <row r="486" spans="2:6" x14ac:dyDescent="0.3">
      <c r="B486" s="666"/>
      <c r="E486" s="666"/>
      <c r="F486" s="666"/>
    </row>
    <row r="487" spans="2:6" x14ac:dyDescent="0.3">
      <c r="B487" s="666"/>
      <c r="E487" s="666"/>
      <c r="F487" s="666"/>
    </row>
    <row r="488" spans="2:6" x14ac:dyDescent="0.3">
      <c r="B488" s="666"/>
      <c r="E488" s="666"/>
      <c r="F488" s="666"/>
    </row>
    <row r="489" spans="2:6" x14ac:dyDescent="0.3">
      <c r="B489" s="666"/>
      <c r="E489" s="666"/>
      <c r="F489" s="666"/>
    </row>
    <row r="490" spans="2:6" x14ac:dyDescent="0.3">
      <c r="B490" s="666"/>
      <c r="E490" s="666"/>
      <c r="F490" s="666"/>
    </row>
    <row r="491" spans="2:6" x14ac:dyDescent="0.3">
      <c r="B491" s="666"/>
      <c r="E491" s="666"/>
      <c r="F491" s="666"/>
    </row>
    <row r="492" spans="2:6" x14ac:dyDescent="0.3">
      <c r="B492" s="666"/>
      <c r="E492" s="666"/>
      <c r="F492" s="666"/>
    </row>
    <row r="493" spans="2:6" x14ac:dyDescent="0.3">
      <c r="B493" s="666"/>
      <c r="E493" s="666"/>
      <c r="F493" s="666"/>
    </row>
    <row r="494" spans="2:6" x14ac:dyDescent="0.3">
      <c r="B494" s="666"/>
      <c r="E494" s="666"/>
      <c r="F494" s="666"/>
    </row>
    <row r="495" spans="2:6" x14ac:dyDescent="0.3">
      <c r="B495" s="666"/>
      <c r="E495" s="666"/>
      <c r="F495" s="666"/>
    </row>
    <row r="496" spans="2:6" x14ac:dyDescent="0.3">
      <c r="B496" s="666"/>
      <c r="E496" s="666"/>
      <c r="F496" s="666"/>
    </row>
    <row r="497" spans="2:6" x14ac:dyDescent="0.3">
      <c r="B497" s="666"/>
      <c r="E497" s="666"/>
      <c r="F497" s="666"/>
    </row>
    <row r="498" spans="2:6" x14ac:dyDescent="0.3">
      <c r="B498" s="666"/>
      <c r="E498" s="666"/>
      <c r="F498" s="666"/>
    </row>
    <row r="499" spans="2:6" x14ac:dyDescent="0.3">
      <c r="B499" s="666"/>
      <c r="E499" s="666"/>
      <c r="F499" s="666"/>
    </row>
    <row r="500" spans="2:6" x14ac:dyDescent="0.3">
      <c r="B500" s="666"/>
      <c r="E500" s="666"/>
      <c r="F500" s="666"/>
    </row>
    <row r="501" spans="2:6" x14ac:dyDescent="0.3">
      <c r="B501" s="666"/>
      <c r="E501" s="666"/>
      <c r="F501" s="666"/>
    </row>
    <row r="502" spans="2:6" x14ac:dyDescent="0.3">
      <c r="B502" s="666"/>
      <c r="E502" s="666"/>
      <c r="F502" s="666"/>
    </row>
    <row r="503" spans="2:6" x14ac:dyDescent="0.3">
      <c r="B503" s="666"/>
      <c r="E503" s="666"/>
      <c r="F503" s="666"/>
    </row>
    <row r="504" spans="2:6" x14ac:dyDescent="0.3">
      <c r="B504" s="666"/>
      <c r="E504" s="666"/>
      <c r="F504" s="666"/>
    </row>
    <row r="505" spans="2:6" x14ac:dyDescent="0.3">
      <c r="B505" s="666"/>
      <c r="E505" s="666"/>
      <c r="F505" s="666"/>
    </row>
    <row r="506" spans="2:6" x14ac:dyDescent="0.3">
      <c r="B506" s="666"/>
      <c r="E506" s="666"/>
      <c r="F506" s="666"/>
    </row>
    <row r="507" spans="2:6" x14ac:dyDescent="0.3">
      <c r="B507" s="666"/>
      <c r="E507" s="666"/>
      <c r="F507" s="666"/>
    </row>
    <row r="508" spans="2:6" x14ac:dyDescent="0.3">
      <c r="B508" s="666"/>
      <c r="E508" s="666"/>
      <c r="F508" s="666"/>
    </row>
    <row r="509" spans="2:6" x14ac:dyDescent="0.3">
      <c r="B509" s="666"/>
      <c r="E509" s="666"/>
      <c r="F509" s="666"/>
    </row>
    <row r="510" spans="2:6" x14ac:dyDescent="0.3">
      <c r="B510" s="666"/>
      <c r="E510" s="666"/>
      <c r="F510" s="666"/>
    </row>
    <row r="511" spans="2:6" x14ac:dyDescent="0.3">
      <c r="B511" s="666"/>
      <c r="E511" s="666"/>
      <c r="F511" s="666"/>
    </row>
    <row r="512" spans="2:6" x14ac:dyDescent="0.3">
      <c r="B512" s="666"/>
      <c r="E512" s="666"/>
      <c r="F512" s="666"/>
    </row>
    <row r="513" spans="2:6" x14ac:dyDescent="0.3">
      <c r="B513" s="666"/>
      <c r="E513" s="666"/>
      <c r="F513" s="666"/>
    </row>
    <row r="514" spans="2:6" x14ac:dyDescent="0.3">
      <c r="B514" s="666"/>
      <c r="E514" s="666"/>
      <c r="F514" s="666"/>
    </row>
    <row r="515" spans="2:6" x14ac:dyDescent="0.3">
      <c r="B515" s="666"/>
      <c r="E515" s="666"/>
      <c r="F515" s="666"/>
    </row>
    <row r="516" spans="2:6" x14ac:dyDescent="0.3">
      <c r="B516" s="666"/>
      <c r="E516" s="666"/>
      <c r="F516" s="666"/>
    </row>
    <row r="517" spans="2:6" x14ac:dyDescent="0.3">
      <c r="B517" s="666"/>
      <c r="E517" s="666"/>
      <c r="F517" s="666"/>
    </row>
    <row r="518" spans="2:6" x14ac:dyDescent="0.3">
      <c r="B518" s="666"/>
      <c r="E518" s="666"/>
      <c r="F518" s="666"/>
    </row>
    <row r="519" spans="2:6" x14ac:dyDescent="0.3">
      <c r="B519" s="666"/>
      <c r="E519" s="666"/>
      <c r="F519" s="666"/>
    </row>
    <row r="520" spans="2:6" x14ac:dyDescent="0.3">
      <c r="B520" s="666"/>
      <c r="E520" s="666"/>
      <c r="F520" s="666"/>
    </row>
    <row r="521" spans="2:6" x14ac:dyDescent="0.3">
      <c r="B521" s="666"/>
      <c r="E521" s="666"/>
      <c r="F521" s="666"/>
    </row>
    <row r="522" spans="2:6" x14ac:dyDescent="0.3">
      <c r="B522" s="666"/>
      <c r="E522" s="666"/>
      <c r="F522" s="666"/>
    </row>
    <row r="523" spans="2:6" x14ac:dyDescent="0.3">
      <c r="B523" s="666"/>
      <c r="E523" s="666"/>
      <c r="F523" s="666"/>
    </row>
    <row r="524" spans="2:6" x14ac:dyDescent="0.3">
      <c r="B524" s="666"/>
      <c r="E524" s="666"/>
      <c r="F524" s="666"/>
    </row>
    <row r="525" spans="2:6" x14ac:dyDescent="0.3">
      <c r="B525" s="666"/>
      <c r="E525" s="666"/>
      <c r="F525" s="666"/>
    </row>
    <row r="526" spans="2:6" x14ac:dyDescent="0.3">
      <c r="B526" s="666"/>
      <c r="E526" s="666"/>
      <c r="F526" s="666"/>
    </row>
    <row r="527" spans="2:6" x14ac:dyDescent="0.3">
      <c r="B527" s="666"/>
      <c r="E527" s="666"/>
      <c r="F527" s="666"/>
    </row>
    <row r="528" spans="2:6" x14ac:dyDescent="0.3">
      <c r="B528" s="666"/>
      <c r="E528" s="666"/>
      <c r="F528" s="666"/>
    </row>
    <row r="529" spans="2:6" x14ac:dyDescent="0.3">
      <c r="B529" s="666"/>
      <c r="E529" s="666"/>
      <c r="F529" s="666"/>
    </row>
    <row r="530" spans="2:6" x14ac:dyDescent="0.3">
      <c r="B530" s="666"/>
      <c r="E530" s="666"/>
      <c r="F530" s="666"/>
    </row>
    <row r="531" spans="2:6" x14ac:dyDescent="0.3">
      <c r="B531" s="666"/>
      <c r="E531" s="666"/>
      <c r="F531" s="666"/>
    </row>
    <row r="532" spans="2:6" x14ac:dyDescent="0.3">
      <c r="B532" s="666"/>
      <c r="E532" s="666"/>
      <c r="F532" s="666"/>
    </row>
    <row r="533" spans="2:6" x14ac:dyDescent="0.3">
      <c r="B533" s="666"/>
      <c r="E533" s="666"/>
      <c r="F533" s="666"/>
    </row>
    <row r="534" spans="2:6" x14ac:dyDescent="0.3">
      <c r="B534" s="666"/>
      <c r="E534" s="666"/>
      <c r="F534" s="666"/>
    </row>
    <row r="535" spans="2:6" x14ac:dyDescent="0.3">
      <c r="B535" s="666"/>
      <c r="E535" s="666"/>
      <c r="F535" s="666"/>
    </row>
    <row r="536" spans="2:6" x14ac:dyDescent="0.3">
      <c r="B536" s="666"/>
      <c r="E536" s="666"/>
      <c r="F536" s="666"/>
    </row>
    <row r="537" spans="2:6" x14ac:dyDescent="0.3">
      <c r="B537" s="666"/>
      <c r="E537" s="666"/>
      <c r="F537" s="666"/>
    </row>
    <row r="538" spans="2:6" x14ac:dyDescent="0.3">
      <c r="B538" s="666"/>
      <c r="E538" s="666"/>
      <c r="F538" s="666"/>
    </row>
    <row r="539" spans="2:6" x14ac:dyDescent="0.3">
      <c r="B539" s="666"/>
      <c r="E539" s="666"/>
      <c r="F539" s="666"/>
    </row>
    <row r="540" spans="2:6" x14ac:dyDescent="0.3">
      <c r="B540" s="666"/>
      <c r="E540" s="666"/>
      <c r="F540" s="666"/>
    </row>
    <row r="541" spans="2:6" x14ac:dyDescent="0.3">
      <c r="B541" s="666"/>
      <c r="E541" s="666"/>
      <c r="F541" s="666"/>
    </row>
    <row r="542" spans="2:6" x14ac:dyDescent="0.3">
      <c r="B542" s="666"/>
      <c r="E542" s="666"/>
      <c r="F542" s="666"/>
    </row>
    <row r="543" spans="2:6" x14ac:dyDescent="0.3">
      <c r="B543" s="666"/>
      <c r="E543" s="666"/>
      <c r="F543" s="666"/>
    </row>
    <row r="544" spans="2:6" x14ac:dyDescent="0.3">
      <c r="B544" s="666"/>
      <c r="E544" s="666"/>
      <c r="F544" s="666"/>
    </row>
    <row r="545" spans="2:6" x14ac:dyDescent="0.3">
      <c r="B545" s="666"/>
      <c r="E545" s="666"/>
      <c r="F545" s="666"/>
    </row>
    <row r="546" spans="2:6" x14ac:dyDescent="0.3">
      <c r="B546" s="666"/>
      <c r="E546" s="666"/>
      <c r="F546" s="666"/>
    </row>
    <row r="547" spans="2:6" x14ac:dyDescent="0.3">
      <c r="B547" s="666"/>
      <c r="E547" s="666"/>
      <c r="F547" s="666"/>
    </row>
    <row r="548" spans="2:6" x14ac:dyDescent="0.3">
      <c r="B548" s="666"/>
      <c r="E548" s="666"/>
      <c r="F548" s="666"/>
    </row>
    <row r="549" spans="2:6" x14ac:dyDescent="0.3">
      <c r="B549" s="666"/>
      <c r="E549" s="666"/>
      <c r="F549" s="666"/>
    </row>
    <row r="550" spans="2:6" x14ac:dyDescent="0.3">
      <c r="B550" s="666"/>
      <c r="E550" s="666"/>
      <c r="F550" s="666"/>
    </row>
    <row r="551" spans="2:6" x14ac:dyDescent="0.3">
      <c r="B551" s="666"/>
      <c r="E551" s="666"/>
      <c r="F551" s="666"/>
    </row>
    <row r="552" spans="2:6" x14ac:dyDescent="0.3">
      <c r="B552" s="666"/>
      <c r="E552" s="666"/>
      <c r="F552" s="666"/>
    </row>
    <row r="553" spans="2:6" x14ac:dyDescent="0.3">
      <c r="B553" s="666"/>
      <c r="E553" s="666"/>
      <c r="F553" s="666"/>
    </row>
    <row r="554" spans="2:6" x14ac:dyDescent="0.3">
      <c r="B554" s="666"/>
      <c r="E554" s="666"/>
      <c r="F554" s="666"/>
    </row>
    <row r="555" spans="2:6" x14ac:dyDescent="0.3">
      <c r="B555" s="666"/>
      <c r="E555" s="666"/>
      <c r="F555" s="666"/>
    </row>
    <row r="556" spans="2:6" x14ac:dyDescent="0.3">
      <c r="B556" s="666"/>
      <c r="E556" s="666"/>
      <c r="F556" s="666"/>
    </row>
    <row r="557" spans="2:6" x14ac:dyDescent="0.3">
      <c r="B557" s="666"/>
      <c r="E557" s="666"/>
      <c r="F557" s="666"/>
    </row>
    <row r="558" spans="2:6" x14ac:dyDescent="0.3">
      <c r="B558" s="666"/>
      <c r="E558" s="666"/>
      <c r="F558" s="666"/>
    </row>
    <row r="559" spans="2:6" x14ac:dyDescent="0.3">
      <c r="B559" s="666"/>
      <c r="E559" s="666"/>
      <c r="F559" s="666"/>
    </row>
    <row r="560" spans="2:6" x14ac:dyDescent="0.3">
      <c r="B560" s="666"/>
      <c r="E560" s="666"/>
      <c r="F560" s="666"/>
    </row>
    <row r="561" spans="2:6" x14ac:dyDescent="0.3">
      <c r="B561" s="666"/>
      <c r="E561" s="666"/>
      <c r="F561" s="666"/>
    </row>
    <row r="562" spans="2:6" x14ac:dyDescent="0.3">
      <c r="B562" s="666"/>
      <c r="E562" s="666"/>
      <c r="F562" s="666"/>
    </row>
    <row r="563" spans="2:6" x14ac:dyDescent="0.3">
      <c r="B563" s="666"/>
      <c r="E563" s="666"/>
      <c r="F563" s="666"/>
    </row>
    <row r="564" spans="2:6" x14ac:dyDescent="0.3">
      <c r="B564" s="666"/>
      <c r="E564" s="666"/>
      <c r="F564" s="666"/>
    </row>
    <row r="565" spans="2:6" x14ac:dyDescent="0.3">
      <c r="B565" s="666"/>
      <c r="E565" s="666"/>
      <c r="F565" s="666"/>
    </row>
    <row r="566" spans="2:6" x14ac:dyDescent="0.3">
      <c r="B566" s="666"/>
      <c r="E566" s="666"/>
      <c r="F566" s="666"/>
    </row>
    <row r="567" spans="2:6" x14ac:dyDescent="0.3">
      <c r="B567" s="666"/>
      <c r="E567" s="666"/>
      <c r="F567" s="666"/>
    </row>
    <row r="568" spans="2:6" x14ac:dyDescent="0.3">
      <c r="B568" s="666"/>
      <c r="E568" s="666"/>
      <c r="F568" s="666"/>
    </row>
    <row r="569" spans="2:6" x14ac:dyDescent="0.3">
      <c r="B569" s="666"/>
      <c r="E569" s="666"/>
      <c r="F569" s="666"/>
    </row>
    <row r="570" spans="2:6" x14ac:dyDescent="0.3">
      <c r="B570" s="666"/>
      <c r="E570" s="666"/>
      <c r="F570" s="666"/>
    </row>
    <row r="571" spans="2:6" x14ac:dyDescent="0.3">
      <c r="B571" s="666"/>
      <c r="E571" s="666"/>
      <c r="F571" s="666"/>
    </row>
    <row r="572" spans="2:6" x14ac:dyDescent="0.3">
      <c r="B572" s="666"/>
      <c r="E572" s="666"/>
      <c r="F572" s="666"/>
    </row>
    <row r="573" spans="2:6" x14ac:dyDescent="0.3">
      <c r="B573" s="666"/>
      <c r="E573" s="666"/>
      <c r="F573" s="666"/>
    </row>
    <row r="574" spans="2:6" x14ac:dyDescent="0.3">
      <c r="B574" s="666"/>
      <c r="E574" s="666"/>
      <c r="F574" s="666"/>
    </row>
    <row r="575" spans="2:6" x14ac:dyDescent="0.3">
      <c r="B575" s="666"/>
      <c r="E575" s="666"/>
      <c r="F575" s="666"/>
    </row>
    <row r="576" spans="2:6" x14ac:dyDescent="0.3">
      <c r="B576" s="666"/>
      <c r="E576" s="666"/>
      <c r="F576" s="666"/>
    </row>
    <row r="577" spans="2:6" x14ac:dyDescent="0.3">
      <c r="B577" s="666"/>
      <c r="E577" s="666"/>
      <c r="F577" s="666"/>
    </row>
    <row r="578" spans="2:6" x14ac:dyDescent="0.3">
      <c r="B578" s="666"/>
      <c r="E578" s="666"/>
      <c r="F578" s="666"/>
    </row>
    <row r="579" spans="2:6" x14ac:dyDescent="0.3">
      <c r="B579" s="666"/>
      <c r="E579" s="666"/>
      <c r="F579" s="666"/>
    </row>
    <row r="580" spans="2:6" x14ac:dyDescent="0.3">
      <c r="B580" s="666"/>
      <c r="E580" s="666"/>
      <c r="F580" s="666"/>
    </row>
    <row r="581" spans="2:6" x14ac:dyDescent="0.3">
      <c r="B581" s="666"/>
      <c r="E581" s="666"/>
      <c r="F581" s="666"/>
    </row>
    <row r="582" spans="2:6" x14ac:dyDescent="0.3">
      <c r="B582" s="666"/>
      <c r="E582" s="666"/>
      <c r="F582" s="666"/>
    </row>
    <row r="583" spans="2:6" x14ac:dyDescent="0.3">
      <c r="B583" s="666"/>
      <c r="E583" s="666"/>
      <c r="F583" s="666"/>
    </row>
    <row r="584" spans="2:6" x14ac:dyDescent="0.3">
      <c r="B584" s="666"/>
      <c r="E584" s="666"/>
      <c r="F584" s="666"/>
    </row>
    <row r="585" spans="2:6" x14ac:dyDescent="0.3">
      <c r="B585" s="666"/>
      <c r="E585" s="666"/>
      <c r="F585" s="666"/>
    </row>
    <row r="586" spans="2:6" x14ac:dyDescent="0.3">
      <c r="B586" s="666"/>
      <c r="E586" s="666"/>
      <c r="F586" s="666"/>
    </row>
    <row r="587" spans="2:6" x14ac:dyDescent="0.3">
      <c r="B587" s="666"/>
      <c r="E587" s="666"/>
      <c r="F587" s="666"/>
    </row>
    <row r="588" spans="2:6" x14ac:dyDescent="0.3">
      <c r="B588" s="666"/>
      <c r="E588" s="666"/>
      <c r="F588" s="666"/>
    </row>
    <row r="589" spans="2:6" x14ac:dyDescent="0.3">
      <c r="B589" s="666"/>
      <c r="E589" s="666"/>
      <c r="F589" s="666"/>
    </row>
    <row r="590" spans="2:6" x14ac:dyDescent="0.3">
      <c r="B590" s="666"/>
      <c r="E590" s="666"/>
      <c r="F590" s="666"/>
    </row>
    <row r="591" spans="2:6" x14ac:dyDescent="0.3">
      <c r="B591" s="666"/>
      <c r="E591" s="666"/>
      <c r="F591" s="666"/>
    </row>
    <row r="592" spans="2:6" x14ac:dyDescent="0.3">
      <c r="B592" s="666"/>
      <c r="E592" s="666"/>
      <c r="F592" s="666"/>
    </row>
    <row r="593" spans="2:6" x14ac:dyDescent="0.3">
      <c r="B593" s="666"/>
      <c r="E593" s="666"/>
      <c r="F593" s="666"/>
    </row>
    <row r="594" spans="2:6" x14ac:dyDescent="0.3">
      <c r="B594" s="666"/>
      <c r="E594" s="666"/>
      <c r="F594" s="666"/>
    </row>
    <row r="595" spans="2:6" x14ac:dyDescent="0.3">
      <c r="B595" s="666"/>
      <c r="E595" s="666"/>
      <c r="F595" s="666"/>
    </row>
    <row r="596" spans="2:6" x14ac:dyDescent="0.3">
      <c r="B596" s="666"/>
      <c r="E596" s="666"/>
      <c r="F596" s="666"/>
    </row>
    <row r="597" spans="2:6" x14ac:dyDescent="0.3">
      <c r="B597" s="666"/>
      <c r="E597" s="666"/>
      <c r="F597" s="666"/>
    </row>
    <row r="598" spans="2:6" x14ac:dyDescent="0.3">
      <c r="B598" s="666"/>
      <c r="E598" s="666"/>
      <c r="F598" s="666"/>
    </row>
    <row r="599" spans="2:6" x14ac:dyDescent="0.3">
      <c r="B599" s="666"/>
      <c r="E599" s="666"/>
      <c r="F599" s="666"/>
    </row>
    <row r="600" spans="2:6" x14ac:dyDescent="0.3">
      <c r="B600" s="666"/>
      <c r="E600" s="666"/>
      <c r="F600" s="666"/>
    </row>
    <row r="601" spans="2:6" x14ac:dyDescent="0.3">
      <c r="B601" s="666"/>
      <c r="E601" s="666"/>
      <c r="F601" s="666"/>
    </row>
    <row r="602" spans="2:6" x14ac:dyDescent="0.3">
      <c r="B602" s="666"/>
      <c r="E602" s="666"/>
      <c r="F602" s="666"/>
    </row>
    <row r="603" spans="2:6" x14ac:dyDescent="0.3">
      <c r="B603" s="666"/>
      <c r="E603" s="666"/>
      <c r="F603" s="666"/>
    </row>
    <row r="604" spans="2:6" x14ac:dyDescent="0.3">
      <c r="B604" s="666"/>
      <c r="E604" s="666"/>
      <c r="F604" s="666"/>
    </row>
    <row r="605" spans="2:6" x14ac:dyDescent="0.3">
      <c r="B605" s="666"/>
      <c r="E605" s="666"/>
      <c r="F605" s="666"/>
    </row>
    <row r="606" spans="2:6" x14ac:dyDescent="0.3">
      <c r="B606" s="666"/>
      <c r="E606" s="666"/>
      <c r="F606" s="666"/>
    </row>
    <row r="607" spans="2:6" x14ac:dyDescent="0.3">
      <c r="B607" s="666"/>
      <c r="E607" s="666"/>
      <c r="F607" s="666"/>
    </row>
    <row r="608" spans="2:6" x14ac:dyDescent="0.3">
      <c r="B608" s="666"/>
      <c r="E608" s="666"/>
      <c r="F608" s="666"/>
    </row>
    <row r="609" spans="2:6" x14ac:dyDescent="0.3">
      <c r="B609" s="666"/>
      <c r="E609" s="666"/>
      <c r="F609" s="666"/>
    </row>
    <row r="610" spans="2:6" x14ac:dyDescent="0.3">
      <c r="B610" s="666"/>
      <c r="E610" s="666"/>
      <c r="F610" s="666"/>
    </row>
    <row r="611" spans="2:6" x14ac:dyDescent="0.3">
      <c r="B611" s="666"/>
      <c r="E611" s="666"/>
      <c r="F611" s="666"/>
    </row>
    <row r="612" spans="2:6" x14ac:dyDescent="0.3">
      <c r="B612" s="666"/>
      <c r="E612" s="666"/>
      <c r="F612" s="666"/>
    </row>
    <row r="613" spans="2:6" x14ac:dyDescent="0.3">
      <c r="B613" s="666"/>
      <c r="E613" s="666"/>
      <c r="F613" s="666"/>
    </row>
    <row r="614" spans="2:6" x14ac:dyDescent="0.3">
      <c r="B614" s="666"/>
      <c r="E614" s="666"/>
      <c r="F614" s="666"/>
    </row>
    <row r="615" spans="2:6" x14ac:dyDescent="0.3">
      <c r="B615" s="666"/>
      <c r="E615" s="666"/>
      <c r="F615" s="666"/>
    </row>
    <row r="616" spans="2:6" x14ac:dyDescent="0.3">
      <c r="B616" s="666"/>
      <c r="E616" s="666"/>
      <c r="F616" s="666"/>
    </row>
    <row r="617" spans="2:6" x14ac:dyDescent="0.3">
      <c r="B617" s="666"/>
      <c r="E617" s="666"/>
      <c r="F617" s="666"/>
    </row>
    <row r="618" spans="2:6" x14ac:dyDescent="0.3">
      <c r="B618" s="666"/>
      <c r="E618" s="666"/>
      <c r="F618" s="666"/>
    </row>
    <row r="619" spans="2:6" x14ac:dyDescent="0.3">
      <c r="B619" s="666"/>
      <c r="E619" s="666"/>
      <c r="F619" s="666"/>
    </row>
    <row r="620" spans="2:6" x14ac:dyDescent="0.3">
      <c r="B620" s="666"/>
      <c r="E620" s="666"/>
      <c r="F620" s="666"/>
    </row>
    <row r="621" spans="2:6" x14ac:dyDescent="0.3">
      <c r="B621" s="666"/>
      <c r="E621" s="666"/>
      <c r="F621" s="666"/>
    </row>
    <row r="622" spans="2:6" x14ac:dyDescent="0.3">
      <c r="B622" s="666"/>
      <c r="E622" s="666"/>
      <c r="F622" s="666"/>
    </row>
    <row r="623" spans="2:6" x14ac:dyDescent="0.3">
      <c r="B623" s="666"/>
      <c r="E623" s="666"/>
      <c r="F623" s="666"/>
    </row>
    <row r="624" spans="2:6" x14ac:dyDescent="0.3">
      <c r="B624" s="666"/>
      <c r="E624" s="666"/>
      <c r="F624" s="666"/>
    </row>
    <row r="625" spans="2:6" x14ac:dyDescent="0.3">
      <c r="B625" s="666"/>
      <c r="E625" s="666"/>
      <c r="F625" s="666"/>
    </row>
    <row r="626" spans="2:6" x14ac:dyDescent="0.3">
      <c r="B626" s="666"/>
      <c r="E626" s="666"/>
      <c r="F626" s="666"/>
    </row>
    <row r="627" spans="2:6" x14ac:dyDescent="0.3">
      <c r="B627" s="666"/>
      <c r="E627" s="666"/>
      <c r="F627" s="666"/>
    </row>
    <row r="628" spans="2:6" x14ac:dyDescent="0.3">
      <c r="B628" s="666"/>
      <c r="E628" s="666"/>
      <c r="F628" s="666"/>
    </row>
    <row r="629" spans="2:6" x14ac:dyDescent="0.3">
      <c r="B629" s="666"/>
      <c r="E629" s="666"/>
      <c r="F629" s="666"/>
    </row>
    <row r="630" spans="2:6" x14ac:dyDescent="0.3">
      <c r="B630" s="666"/>
      <c r="E630" s="666"/>
      <c r="F630" s="666"/>
    </row>
    <row r="631" spans="2:6" x14ac:dyDescent="0.3">
      <c r="B631" s="666"/>
      <c r="E631" s="666"/>
      <c r="F631" s="666"/>
    </row>
    <row r="632" spans="2:6" x14ac:dyDescent="0.3">
      <c r="B632" s="666"/>
      <c r="E632" s="666"/>
      <c r="F632" s="666"/>
    </row>
    <row r="633" spans="2:6" x14ac:dyDescent="0.3">
      <c r="B633" s="666"/>
      <c r="E633" s="666"/>
      <c r="F633" s="666"/>
    </row>
    <row r="634" spans="2:6" x14ac:dyDescent="0.3">
      <c r="B634" s="666"/>
      <c r="E634" s="666"/>
      <c r="F634" s="666"/>
    </row>
    <row r="635" spans="2:6" x14ac:dyDescent="0.3">
      <c r="B635" s="666"/>
      <c r="E635" s="666"/>
      <c r="F635" s="666"/>
    </row>
    <row r="636" spans="2:6" x14ac:dyDescent="0.3">
      <c r="B636" s="666"/>
      <c r="E636" s="666"/>
      <c r="F636" s="666"/>
    </row>
    <row r="637" spans="2:6" x14ac:dyDescent="0.3">
      <c r="B637" s="666"/>
      <c r="E637" s="666"/>
      <c r="F637" s="666"/>
    </row>
    <row r="638" spans="2:6" x14ac:dyDescent="0.3">
      <c r="B638" s="666"/>
      <c r="E638" s="666"/>
      <c r="F638" s="666"/>
    </row>
    <row r="639" spans="2:6" x14ac:dyDescent="0.3">
      <c r="B639" s="666"/>
      <c r="E639" s="666"/>
      <c r="F639" s="666"/>
    </row>
    <row r="640" spans="2:6" x14ac:dyDescent="0.3">
      <c r="B640" s="666"/>
      <c r="E640" s="666"/>
      <c r="F640" s="666"/>
    </row>
    <row r="641" spans="2:6" x14ac:dyDescent="0.3">
      <c r="B641" s="666"/>
      <c r="E641" s="666"/>
      <c r="F641" s="666"/>
    </row>
    <row r="642" spans="2:6" x14ac:dyDescent="0.3">
      <c r="B642" s="666"/>
      <c r="E642" s="666"/>
      <c r="F642" s="666"/>
    </row>
    <row r="643" spans="2:6" x14ac:dyDescent="0.3">
      <c r="B643" s="666"/>
      <c r="E643" s="666"/>
      <c r="F643" s="666"/>
    </row>
    <row r="644" spans="2:6" x14ac:dyDescent="0.3">
      <c r="B644" s="666"/>
      <c r="E644" s="666"/>
      <c r="F644" s="666"/>
    </row>
    <row r="645" spans="2:6" x14ac:dyDescent="0.3">
      <c r="B645" s="666"/>
      <c r="E645" s="666"/>
      <c r="F645" s="666"/>
    </row>
    <row r="646" spans="2:6" x14ac:dyDescent="0.3">
      <c r="B646" s="666"/>
      <c r="E646" s="666"/>
      <c r="F646" s="666"/>
    </row>
    <row r="647" spans="2:6" x14ac:dyDescent="0.3">
      <c r="B647" s="666"/>
      <c r="E647" s="666"/>
      <c r="F647" s="666"/>
    </row>
    <row r="648" spans="2:6" x14ac:dyDescent="0.3">
      <c r="B648" s="666"/>
      <c r="E648" s="666"/>
      <c r="F648" s="666"/>
    </row>
    <row r="649" spans="2:6" x14ac:dyDescent="0.3">
      <c r="B649" s="666"/>
      <c r="E649" s="666"/>
      <c r="F649" s="666"/>
    </row>
    <row r="650" spans="2:6" x14ac:dyDescent="0.3">
      <c r="B650" s="666"/>
      <c r="E650" s="666"/>
      <c r="F650" s="666"/>
    </row>
    <row r="651" spans="2:6" x14ac:dyDescent="0.3">
      <c r="B651" s="666"/>
      <c r="E651" s="666"/>
      <c r="F651" s="666"/>
    </row>
    <row r="652" spans="2:6" x14ac:dyDescent="0.3">
      <c r="B652" s="666"/>
      <c r="E652" s="666"/>
      <c r="F652" s="666"/>
    </row>
    <row r="653" spans="2:6" x14ac:dyDescent="0.3">
      <c r="B653" s="666"/>
      <c r="E653" s="666"/>
      <c r="F653" s="666"/>
    </row>
    <row r="654" spans="2:6" x14ac:dyDescent="0.3">
      <c r="B654" s="666"/>
      <c r="E654" s="666"/>
      <c r="F654" s="666"/>
    </row>
    <row r="655" spans="2:6" x14ac:dyDescent="0.3">
      <c r="B655" s="666"/>
      <c r="E655" s="666"/>
      <c r="F655" s="666"/>
    </row>
    <row r="656" spans="2:6" x14ac:dyDescent="0.3">
      <c r="B656" s="666"/>
      <c r="E656" s="666"/>
      <c r="F656" s="666"/>
    </row>
    <row r="657" spans="2:6" x14ac:dyDescent="0.3">
      <c r="B657" s="666"/>
      <c r="E657" s="666"/>
      <c r="F657" s="666"/>
    </row>
    <row r="658" spans="2:6" x14ac:dyDescent="0.3">
      <c r="B658" s="666"/>
      <c r="E658" s="666"/>
      <c r="F658" s="666"/>
    </row>
    <row r="659" spans="2:6" x14ac:dyDescent="0.3">
      <c r="B659" s="666"/>
      <c r="E659" s="666"/>
      <c r="F659" s="666"/>
    </row>
    <row r="660" spans="2:6" x14ac:dyDescent="0.3">
      <c r="B660" s="666"/>
      <c r="E660" s="666"/>
      <c r="F660" s="666"/>
    </row>
    <row r="661" spans="2:6" x14ac:dyDescent="0.3">
      <c r="B661" s="666"/>
      <c r="E661" s="666"/>
      <c r="F661" s="666"/>
    </row>
    <row r="662" spans="2:6" x14ac:dyDescent="0.3">
      <c r="B662" s="666"/>
      <c r="E662" s="666"/>
      <c r="F662" s="666"/>
    </row>
    <row r="663" spans="2:6" x14ac:dyDescent="0.3">
      <c r="B663" s="666"/>
      <c r="E663" s="666"/>
      <c r="F663" s="666"/>
    </row>
    <row r="664" spans="2:6" x14ac:dyDescent="0.3">
      <c r="B664" s="666"/>
      <c r="E664" s="666"/>
      <c r="F664" s="666"/>
    </row>
    <row r="665" spans="2:6" x14ac:dyDescent="0.3">
      <c r="B665" s="666"/>
      <c r="E665" s="666"/>
      <c r="F665" s="666"/>
    </row>
    <row r="666" spans="2:6" x14ac:dyDescent="0.3">
      <c r="B666" s="666"/>
      <c r="E666" s="666"/>
      <c r="F666" s="666"/>
    </row>
    <row r="667" spans="2:6" x14ac:dyDescent="0.3">
      <c r="B667" s="666"/>
      <c r="E667" s="666"/>
      <c r="F667" s="666"/>
    </row>
    <row r="668" spans="2:6" x14ac:dyDescent="0.3">
      <c r="B668" s="666"/>
      <c r="E668" s="666"/>
      <c r="F668" s="666"/>
    </row>
    <row r="669" spans="2:6" x14ac:dyDescent="0.3">
      <c r="B669" s="666"/>
      <c r="E669" s="666"/>
      <c r="F669" s="666"/>
    </row>
    <row r="670" spans="2:6" x14ac:dyDescent="0.3">
      <c r="B670" s="666"/>
      <c r="E670" s="666"/>
      <c r="F670" s="666"/>
    </row>
    <row r="671" spans="2:6" x14ac:dyDescent="0.3">
      <c r="B671" s="666"/>
      <c r="E671" s="666"/>
      <c r="F671" s="666"/>
    </row>
    <row r="672" spans="2:6" x14ac:dyDescent="0.3">
      <c r="B672" s="666"/>
      <c r="E672" s="666"/>
      <c r="F672" s="666"/>
    </row>
    <row r="673" spans="2:6" x14ac:dyDescent="0.3">
      <c r="B673" s="666"/>
      <c r="E673" s="666"/>
      <c r="F673" s="666"/>
    </row>
    <row r="674" spans="2:6" x14ac:dyDescent="0.3">
      <c r="B674" s="666"/>
      <c r="E674" s="666"/>
      <c r="F674" s="666"/>
    </row>
    <row r="675" spans="2:6" x14ac:dyDescent="0.3">
      <c r="B675" s="666"/>
      <c r="E675" s="666"/>
      <c r="F675" s="666"/>
    </row>
    <row r="676" spans="2:6" x14ac:dyDescent="0.3">
      <c r="B676" s="666"/>
      <c r="E676" s="666"/>
      <c r="F676" s="666"/>
    </row>
    <row r="677" spans="2:6" x14ac:dyDescent="0.3">
      <c r="B677" s="666"/>
      <c r="E677" s="666"/>
      <c r="F677" s="666"/>
    </row>
    <row r="678" spans="2:6" x14ac:dyDescent="0.3">
      <c r="B678" s="666"/>
      <c r="E678" s="666"/>
      <c r="F678" s="666"/>
    </row>
    <row r="679" spans="2:6" x14ac:dyDescent="0.3">
      <c r="B679" s="666"/>
      <c r="E679" s="666"/>
      <c r="F679" s="666"/>
    </row>
    <row r="680" spans="2:6" x14ac:dyDescent="0.3">
      <c r="B680" s="666"/>
      <c r="E680" s="666"/>
      <c r="F680" s="666"/>
    </row>
    <row r="681" spans="2:6" x14ac:dyDescent="0.3">
      <c r="B681" s="666"/>
      <c r="E681" s="666"/>
      <c r="F681" s="666"/>
    </row>
    <row r="682" spans="2:6" x14ac:dyDescent="0.3">
      <c r="B682" s="666"/>
      <c r="E682" s="666"/>
      <c r="F682" s="666"/>
    </row>
    <row r="683" spans="2:6" x14ac:dyDescent="0.3">
      <c r="B683" s="666"/>
      <c r="E683" s="666"/>
      <c r="F683" s="666"/>
    </row>
    <row r="684" spans="2:6" x14ac:dyDescent="0.3">
      <c r="B684" s="666"/>
      <c r="E684" s="666"/>
      <c r="F684" s="666"/>
    </row>
    <row r="685" spans="2:6" x14ac:dyDescent="0.3">
      <c r="B685" s="666"/>
      <c r="E685" s="666"/>
      <c r="F685" s="666"/>
    </row>
    <row r="686" spans="2:6" x14ac:dyDescent="0.3">
      <c r="B686" s="666"/>
      <c r="E686" s="666"/>
      <c r="F686" s="666"/>
    </row>
    <row r="687" spans="2:6" x14ac:dyDescent="0.3">
      <c r="B687" s="666"/>
      <c r="E687" s="666"/>
      <c r="F687" s="666"/>
    </row>
    <row r="688" spans="2:6" x14ac:dyDescent="0.3">
      <c r="B688" s="666"/>
      <c r="E688" s="666"/>
      <c r="F688" s="666"/>
    </row>
    <row r="689" spans="2:6" x14ac:dyDescent="0.3">
      <c r="B689" s="666"/>
      <c r="E689" s="666"/>
      <c r="F689" s="666"/>
    </row>
    <row r="690" spans="2:6" x14ac:dyDescent="0.3">
      <c r="B690" s="666"/>
      <c r="E690" s="666"/>
      <c r="F690" s="666"/>
    </row>
    <row r="691" spans="2:6" x14ac:dyDescent="0.3">
      <c r="B691" s="666"/>
      <c r="E691" s="666"/>
      <c r="F691" s="666"/>
    </row>
    <row r="692" spans="2:6" x14ac:dyDescent="0.3">
      <c r="B692" s="666"/>
      <c r="E692" s="666"/>
      <c r="F692" s="666"/>
    </row>
    <row r="693" spans="2:6" x14ac:dyDescent="0.3">
      <c r="B693" s="666"/>
      <c r="E693" s="666"/>
      <c r="F693" s="666"/>
    </row>
    <row r="694" spans="2:6" x14ac:dyDescent="0.3">
      <c r="B694" s="666"/>
      <c r="E694" s="666"/>
      <c r="F694" s="666"/>
    </row>
    <row r="695" spans="2:6" x14ac:dyDescent="0.3">
      <c r="B695" s="666"/>
      <c r="E695" s="666"/>
      <c r="F695" s="666"/>
    </row>
    <row r="696" spans="2:6" x14ac:dyDescent="0.3">
      <c r="B696" s="666"/>
      <c r="E696" s="666"/>
      <c r="F696" s="666"/>
    </row>
    <row r="697" spans="2:6" x14ac:dyDescent="0.3">
      <c r="B697" s="666"/>
      <c r="E697" s="666"/>
      <c r="F697" s="666"/>
    </row>
    <row r="698" spans="2:6" x14ac:dyDescent="0.3">
      <c r="B698" s="666"/>
      <c r="E698" s="666"/>
      <c r="F698" s="666"/>
    </row>
    <row r="699" spans="2:6" x14ac:dyDescent="0.3">
      <c r="B699" s="666"/>
      <c r="E699" s="666"/>
      <c r="F699" s="666"/>
    </row>
    <row r="700" spans="2:6" x14ac:dyDescent="0.3">
      <c r="B700" s="666"/>
      <c r="E700" s="666"/>
      <c r="F700" s="666"/>
    </row>
    <row r="701" spans="2:6" x14ac:dyDescent="0.3">
      <c r="B701" s="666"/>
      <c r="E701" s="666"/>
      <c r="F701" s="666"/>
    </row>
    <row r="702" spans="2:6" x14ac:dyDescent="0.3">
      <c r="B702" s="666"/>
      <c r="E702" s="666"/>
      <c r="F702" s="666"/>
    </row>
    <row r="703" spans="2:6" x14ac:dyDescent="0.3">
      <c r="B703" s="666"/>
      <c r="E703" s="666"/>
      <c r="F703" s="666"/>
    </row>
    <row r="704" spans="2:6" x14ac:dyDescent="0.3">
      <c r="B704" s="666"/>
      <c r="E704" s="666"/>
      <c r="F704" s="666"/>
    </row>
    <row r="705" spans="2:6" x14ac:dyDescent="0.3">
      <c r="B705" s="666"/>
      <c r="E705" s="666"/>
      <c r="F705" s="666"/>
    </row>
    <row r="706" spans="2:6" x14ac:dyDescent="0.3">
      <c r="B706" s="666"/>
      <c r="E706" s="666"/>
      <c r="F706" s="666"/>
    </row>
    <row r="707" spans="2:6" x14ac:dyDescent="0.3">
      <c r="B707" s="666"/>
      <c r="E707" s="666"/>
      <c r="F707" s="666"/>
    </row>
    <row r="708" spans="2:6" x14ac:dyDescent="0.3">
      <c r="B708" s="666"/>
      <c r="E708" s="666"/>
      <c r="F708" s="666"/>
    </row>
    <row r="709" spans="2:6" x14ac:dyDescent="0.3">
      <c r="B709" s="666"/>
      <c r="E709" s="666"/>
      <c r="F709" s="666"/>
    </row>
    <row r="710" spans="2:6" x14ac:dyDescent="0.3">
      <c r="B710" s="666"/>
      <c r="E710" s="666"/>
      <c r="F710" s="666"/>
    </row>
    <row r="711" spans="2:6" x14ac:dyDescent="0.3">
      <c r="B711" s="666"/>
      <c r="E711" s="666"/>
      <c r="F711" s="666"/>
    </row>
    <row r="712" spans="2:6" x14ac:dyDescent="0.3">
      <c r="B712" s="666"/>
      <c r="E712" s="666"/>
      <c r="F712" s="666"/>
    </row>
    <row r="713" spans="2:6" x14ac:dyDescent="0.3">
      <c r="B713" s="666"/>
      <c r="E713" s="666"/>
      <c r="F713" s="666"/>
    </row>
    <row r="714" spans="2:6" x14ac:dyDescent="0.3">
      <c r="B714" s="666"/>
      <c r="E714" s="666"/>
      <c r="F714" s="666"/>
    </row>
    <row r="715" spans="2:6" x14ac:dyDescent="0.3">
      <c r="B715" s="666"/>
      <c r="E715" s="666"/>
      <c r="F715" s="666"/>
    </row>
    <row r="716" spans="2:6" x14ac:dyDescent="0.3">
      <c r="B716" s="666"/>
      <c r="E716" s="666"/>
      <c r="F716" s="666"/>
    </row>
    <row r="717" spans="2:6" x14ac:dyDescent="0.3">
      <c r="B717" s="666"/>
      <c r="E717" s="666"/>
      <c r="F717" s="666"/>
    </row>
    <row r="718" spans="2:6" x14ac:dyDescent="0.3">
      <c r="B718" s="666"/>
      <c r="E718" s="666"/>
      <c r="F718" s="666"/>
    </row>
    <row r="719" spans="2:6" x14ac:dyDescent="0.3">
      <c r="B719" s="666"/>
      <c r="E719" s="666"/>
      <c r="F719" s="666"/>
    </row>
    <row r="720" spans="2:6" x14ac:dyDescent="0.3">
      <c r="B720" s="666"/>
      <c r="E720" s="666"/>
      <c r="F720" s="666"/>
    </row>
    <row r="721" spans="2:6" x14ac:dyDescent="0.3">
      <c r="B721" s="666"/>
      <c r="E721" s="666"/>
      <c r="F721" s="666"/>
    </row>
    <row r="722" spans="2:6" x14ac:dyDescent="0.3">
      <c r="B722" s="666"/>
      <c r="E722" s="666"/>
      <c r="F722" s="666"/>
    </row>
    <row r="723" spans="2:6" x14ac:dyDescent="0.3">
      <c r="B723" s="666"/>
      <c r="E723" s="666"/>
      <c r="F723" s="666"/>
    </row>
    <row r="724" spans="2:6" x14ac:dyDescent="0.3">
      <c r="B724" s="666"/>
      <c r="E724" s="666"/>
      <c r="F724" s="666"/>
    </row>
    <row r="725" spans="2:6" x14ac:dyDescent="0.3">
      <c r="B725" s="666"/>
      <c r="E725" s="666"/>
      <c r="F725" s="666"/>
    </row>
    <row r="726" spans="2:6" x14ac:dyDescent="0.3">
      <c r="B726" s="666"/>
      <c r="E726" s="666"/>
      <c r="F726" s="666"/>
    </row>
    <row r="727" spans="2:6" x14ac:dyDescent="0.3">
      <c r="B727" s="666"/>
      <c r="E727" s="666"/>
      <c r="F727" s="666"/>
    </row>
    <row r="728" spans="2:6" x14ac:dyDescent="0.3">
      <c r="B728" s="666"/>
      <c r="E728" s="666"/>
      <c r="F728" s="666"/>
    </row>
    <row r="729" spans="2:6" x14ac:dyDescent="0.3">
      <c r="B729" s="666"/>
      <c r="E729" s="666"/>
      <c r="F729" s="666"/>
    </row>
    <row r="730" spans="2:6" x14ac:dyDescent="0.3">
      <c r="B730" s="666"/>
      <c r="E730" s="666"/>
      <c r="F730" s="666"/>
    </row>
    <row r="731" spans="2:6" x14ac:dyDescent="0.3">
      <c r="B731" s="666"/>
      <c r="E731" s="666"/>
      <c r="F731" s="666"/>
    </row>
    <row r="732" spans="2:6" x14ac:dyDescent="0.3">
      <c r="B732" s="666"/>
      <c r="E732" s="666"/>
      <c r="F732" s="666"/>
    </row>
    <row r="733" spans="2:6" x14ac:dyDescent="0.3">
      <c r="B733" s="666"/>
      <c r="E733" s="666"/>
      <c r="F733" s="666"/>
    </row>
    <row r="734" spans="2:6" x14ac:dyDescent="0.3">
      <c r="B734" s="666"/>
      <c r="E734" s="666"/>
      <c r="F734" s="666"/>
    </row>
    <row r="735" spans="2:6" x14ac:dyDescent="0.3">
      <c r="B735" s="666"/>
      <c r="E735" s="666"/>
      <c r="F735" s="666"/>
    </row>
    <row r="736" spans="2:6" x14ac:dyDescent="0.3">
      <c r="B736" s="666"/>
      <c r="E736" s="666"/>
      <c r="F736" s="666"/>
    </row>
    <row r="737" spans="2:6" x14ac:dyDescent="0.3">
      <c r="B737" s="666"/>
      <c r="E737" s="666"/>
      <c r="F737" s="666"/>
    </row>
    <row r="738" spans="2:6" x14ac:dyDescent="0.3">
      <c r="B738" s="666"/>
      <c r="E738" s="666"/>
      <c r="F738" s="666"/>
    </row>
    <row r="739" spans="2:6" x14ac:dyDescent="0.3">
      <c r="B739" s="666"/>
      <c r="E739" s="666"/>
      <c r="F739" s="666"/>
    </row>
    <row r="740" spans="2:6" x14ac:dyDescent="0.3">
      <c r="B740" s="666"/>
      <c r="E740" s="666"/>
      <c r="F740" s="666"/>
    </row>
    <row r="741" spans="2:6" x14ac:dyDescent="0.3">
      <c r="B741" s="666"/>
      <c r="E741" s="666"/>
      <c r="F741" s="666"/>
    </row>
    <row r="742" spans="2:6" x14ac:dyDescent="0.3">
      <c r="B742" s="666"/>
      <c r="E742" s="666"/>
      <c r="F742" s="666"/>
    </row>
    <row r="743" spans="2:6" x14ac:dyDescent="0.3">
      <c r="B743" s="666"/>
      <c r="E743" s="666"/>
      <c r="F743" s="666"/>
    </row>
    <row r="744" spans="2:6" x14ac:dyDescent="0.3">
      <c r="B744" s="666"/>
      <c r="E744" s="666"/>
      <c r="F744" s="666"/>
    </row>
    <row r="745" spans="2:6" x14ac:dyDescent="0.3">
      <c r="B745" s="666"/>
      <c r="E745" s="666"/>
      <c r="F745" s="666"/>
    </row>
    <row r="746" spans="2:6" x14ac:dyDescent="0.3">
      <c r="B746" s="666"/>
      <c r="E746" s="666"/>
      <c r="F746" s="666"/>
    </row>
    <row r="747" spans="2:6" x14ac:dyDescent="0.3">
      <c r="B747" s="666"/>
      <c r="E747" s="666"/>
      <c r="F747" s="666"/>
    </row>
    <row r="748" spans="2:6" x14ac:dyDescent="0.3">
      <c r="B748" s="666"/>
      <c r="E748" s="666"/>
      <c r="F748" s="666"/>
    </row>
    <row r="749" spans="2:6" x14ac:dyDescent="0.3">
      <c r="B749" s="666"/>
      <c r="E749" s="666"/>
      <c r="F749" s="666"/>
    </row>
    <row r="750" spans="2:6" x14ac:dyDescent="0.3">
      <c r="B750" s="666"/>
      <c r="E750" s="666"/>
      <c r="F750" s="666"/>
    </row>
    <row r="751" spans="2:6" x14ac:dyDescent="0.3">
      <c r="B751" s="666"/>
      <c r="E751" s="666"/>
      <c r="F751" s="666"/>
    </row>
    <row r="752" spans="2:6" x14ac:dyDescent="0.3">
      <c r="B752" s="666"/>
      <c r="E752" s="666"/>
      <c r="F752" s="666"/>
    </row>
    <row r="753" spans="2:6" x14ac:dyDescent="0.3">
      <c r="B753" s="666"/>
      <c r="E753" s="666"/>
      <c r="F753" s="666"/>
    </row>
    <row r="754" spans="2:6" x14ac:dyDescent="0.3">
      <c r="B754" s="666"/>
      <c r="E754" s="666"/>
      <c r="F754" s="666"/>
    </row>
    <row r="755" spans="2:6" x14ac:dyDescent="0.3">
      <c r="B755" s="666"/>
      <c r="E755" s="666"/>
      <c r="F755" s="666"/>
    </row>
    <row r="756" spans="2:6" x14ac:dyDescent="0.3">
      <c r="B756" s="666"/>
      <c r="E756" s="666"/>
      <c r="F756" s="666"/>
    </row>
    <row r="757" spans="2:6" x14ac:dyDescent="0.3">
      <c r="B757" s="666"/>
      <c r="E757" s="666"/>
      <c r="F757" s="666"/>
    </row>
    <row r="758" spans="2:6" x14ac:dyDescent="0.3">
      <c r="B758" s="666"/>
      <c r="E758" s="666"/>
      <c r="F758" s="666"/>
    </row>
    <row r="759" spans="2:6" x14ac:dyDescent="0.3">
      <c r="B759" s="666"/>
      <c r="E759" s="666"/>
      <c r="F759" s="666"/>
    </row>
    <row r="760" spans="2:6" x14ac:dyDescent="0.3">
      <c r="B760" s="666"/>
      <c r="E760" s="666"/>
      <c r="F760" s="666"/>
    </row>
    <row r="761" spans="2:6" x14ac:dyDescent="0.3">
      <c r="B761" s="666"/>
      <c r="E761" s="666"/>
      <c r="F761" s="666"/>
    </row>
    <row r="762" spans="2:6" x14ac:dyDescent="0.3">
      <c r="B762" s="666"/>
      <c r="E762" s="666"/>
      <c r="F762" s="666"/>
    </row>
    <row r="763" spans="2:6" x14ac:dyDescent="0.3">
      <c r="B763" s="666"/>
      <c r="E763" s="666"/>
      <c r="F763" s="666"/>
    </row>
    <row r="764" spans="2:6" x14ac:dyDescent="0.3">
      <c r="B764" s="666"/>
      <c r="E764" s="666"/>
      <c r="F764" s="666"/>
    </row>
    <row r="765" spans="2:6" x14ac:dyDescent="0.3">
      <c r="B765" s="666"/>
      <c r="E765" s="666"/>
      <c r="F765" s="666"/>
    </row>
    <row r="766" spans="2:6" x14ac:dyDescent="0.3">
      <c r="B766" s="666"/>
      <c r="E766" s="666"/>
      <c r="F766" s="666"/>
    </row>
    <row r="767" spans="2:6" x14ac:dyDescent="0.3">
      <c r="B767" s="666"/>
      <c r="E767" s="666"/>
      <c r="F767" s="666"/>
    </row>
    <row r="768" spans="2:6" x14ac:dyDescent="0.3">
      <c r="B768" s="666"/>
      <c r="E768" s="666"/>
      <c r="F768" s="666"/>
    </row>
    <row r="769" spans="2:6" x14ac:dyDescent="0.3">
      <c r="B769" s="666"/>
      <c r="E769" s="666"/>
      <c r="F769" s="666"/>
    </row>
    <row r="770" spans="2:6" x14ac:dyDescent="0.3">
      <c r="B770" s="666"/>
      <c r="E770" s="666"/>
      <c r="F770" s="666"/>
    </row>
    <row r="771" spans="2:6" x14ac:dyDescent="0.3">
      <c r="B771" s="666"/>
      <c r="E771" s="666"/>
      <c r="F771" s="666"/>
    </row>
    <row r="772" spans="2:6" x14ac:dyDescent="0.3">
      <c r="B772" s="666"/>
      <c r="E772" s="666"/>
      <c r="F772" s="666"/>
    </row>
    <row r="773" spans="2:6" x14ac:dyDescent="0.3">
      <c r="B773" s="666"/>
      <c r="E773" s="666"/>
      <c r="F773" s="666"/>
    </row>
    <row r="774" spans="2:6" x14ac:dyDescent="0.3">
      <c r="B774" s="666"/>
      <c r="E774" s="666"/>
      <c r="F774" s="666"/>
    </row>
    <row r="775" spans="2:6" x14ac:dyDescent="0.3">
      <c r="B775" s="666"/>
      <c r="E775" s="666"/>
      <c r="F775" s="666"/>
    </row>
    <row r="776" spans="2:6" x14ac:dyDescent="0.3">
      <c r="B776" s="666"/>
      <c r="E776" s="666"/>
      <c r="F776" s="666"/>
    </row>
    <row r="777" spans="2:6" x14ac:dyDescent="0.3">
      <c r="B777" s="666"/>
      <c r="E777" s="666"/>
      <c r="F777" s="666"/>
    </row>
    <row r="778" spans="2:6" x14ac:dyDescent="0.3">
      <c r="B778" s="666"/>
      <c r="E778" s="666"/>
      <c r="F778" s="666"/>
    </row>
    <row r="779" spans="2:6" x14ac:dyDescent="0.3">
      <c r="B779" s="666"/>
      <c r="E779" s="666"/>
      <c r="F779" s="666"/>
    </row>
    <row r="780" spans="2:6" x14ac:dyDescent="0.3">
      <c r="B780" s="666"/>
      <c r="E780" s="666"/>
      <c r="F780" s="666"/>
    </row>
    <row r="781" spans="2:6" x14ac:dyDescent="0.3">
      <c r="B781" s="666"/>
      <c r="E781" s="666"/>
      <c r="F781" s="666"/>
    </row>
    <row r="782" spans="2:6" x14ac:dyDescent="0.3">
      <c r="B782" s="666"/>
      <c r="E782" s="666"/>
      <c r="F782" s="666"/>
    </row>
    <row r="783" spans="2:6" x14ac:dyDescent="0.3">
      <c r="B783" s="666"/>
      <c r="E783" s="666"/>
      <c r="F783" s="666"/>
    </row>
    <row r="784" spans="2:6" x14ac:dyDescent="0.3">
      <c r="B784" s="666"/>
      <c r="E784" s="666"/>
      <c r="F784" s="666"/>
    </row>
    <row r="785" spans="2:6" x14ac:dyDescent="0.3">
      <c r="B785" s="666"/>
      <c r="E785" s="666"/>
      <c r="F785" s="666"/>
    </row>
    <row r="786" spans="2:6" x14ac:dyDescent="0.3">
      <c r="B786" s="666"/>
      <c r="E786" s="666"/>
      <c r="F786" s="666"/>
    </row>
    <row r="787" spans="2:6" x14ac:dyDescent="0.3">
      <c r="B787" s="666"/>
      <c r="E787" s="666"/>
      <c r="F787" s="666"/>
    </row>
    <row r="788" spans="2:6" x14ac:dyDescent="0.3">
      <c r="B788" s="666"/>
      <c r="E788" s="666"/>
      <c r="F788" s="666"/>
    </row>
    <row r="789" spans="2:6" x14ac:dyDescent="0.3">
      <c r="B789" s="666"/>
      <c r="E789" s="666"/>
      <c r="F789" s="666"/>
    </row>
    <row r="790" spans="2:6" x14ac:dyDescent="0.3">
      <c r="B790" s="666"/>
      <c r="E790" s="666"/>
      <c r="F790" s="666"/>
    </row>
    <row r="791" spans="2:6" x14ac:dyDescent="0.3">
      <c r="B791" s="666"/>
      <c r="E791" s="666"/>
      <c r="F791" s="666"/>
    </row>
    <row r="792" spans="2:6" x14ac:dyDescent="0.3">
      <c r="B792" s="666"/>
      <c r="E792" s="666"/>
      <c r="F792" s="666"/>
    </row>
    <row r="793" spans="2:6" x14ac:dyDescent="0.3">
      <c r="B793" s="666"/>
      <c r="E793" s="666"/>
      <c r="F793" s="666"/>
    </row>
    <row r="794" spans="2:6" x14ac:dyDescent="0.3">
      <c r="B794" s="666"/>
      <c r="E794" s="666"/>
      <c r="F794" s="666"/>
    </row>
    <row r="795" spans="2:6" x14ac:dyDescent="0.3">
      <c r="B795" s="666"/>
      <c r="E795" s="666"/>
      <c r="F795" s="666"/>
    </row>
    <row r="796" spans="2:6" x14ac:dyDescent="0.3">
      <c r="B796" s="666"/>
      <c r="E796" s="666"/>
      <c r="F796" s="666"/>
    </row>
    <row r="797" spans="2:6" x14ac:dyDescent="0.3">
      <c r="B797" s="666"/>
      <c r="E797" s="666"/>
      <c r="F797" s="666"/>
    </row>
    <row r="798" spans="2:6" x14ac:dyDescent="0.3">
      <c r="B798" s="666"/>
      <c r="E798" s="666"/>
      <c r="F798" s="666"/>
    </row>
    <row r="799" spans="2:6" x14ac:dyDescent="0.3">
      <c r="B799" s="666"/>
      <c r="E799" s="666"/>
      <c r="F799" s="666"/>
    </row>
    <row r="800" spans="2:6" x14ac:dyDescent="0.3">
      <c r="B800" s="666"/>
      <c r="E800" s="666"/>
      <c r="F800" s="666"/>
    </row>
    <row r="801" spans="2:6" x14ac:dyDescent="0.3">
      <c r="B801" s="666"/>
      <c r="E801" s="666"/>
      <c r="F801" s="666"/>
    </row>
    <row r="802" spans="2:6" x14ac:dyDescent="0.3">
      <c r="B802" s="666"/>
      <c r="E802" s="666"/>
      <c r="F802" s="666"/>
    </row>
    <row r="803" spans="2:6" x14ac:dyDescent="0.3">
      <c r="B803" s="666"/>
      <c r="E803" s="666"/>
      <c r="F803" s="666"/>
    </row>
    <row r="804" spans="2:6" x14ac:dyDescent="0.3">
      <c r="B804" s="666"/>
      <c r="E804" s="666"/>
      <c r="F804" s="666"/>
    </row>
    <row r="805" spans="2:6" x14ac:dyDescent="0.3">
      <c r="B805" s="666"/>
      <c r="E805" s="666"/>
      <c r="F805" s="666"/>
    </row>
    <row r="806" spans="2:6" x14ac:dyDescent="0.3">
      <c r="B806" s="666"/>
      <c r="E806" s="666"/>
      <c r="F806" s="666"/>
    </row>
    <row r="807" spans="2:6" x14ac:dyDescent="0.3">
      <c r="B807" s="666"/>
      <c r="E807" s="666"/>
      <c r="F807" s="666"/>
    </row>
    <row r="808" spans="2:6" x14ac:dyDescent="0.3">
      <c r="B808" s="666"/>
      <c r="E808" s="666"/>
      <c r="F808" s="666"/>
    </row>
    <row r="809" spans="2:6" x14ac:dyDescent="0.3">
      <c r="B809" s="666"/>
      <c r="E809" s="666"/>
      <c r="F809" s="666"/>
    </row>
    <row r="810" spans="2:6" x14ac:dyDescent="0.3">
      <c r="B810" s="666"/>
      <c r="E810" s="666"/>
      <c r="F810" s="666"/>
    </row>
    <row r="811" spans="2:6" x14ac:dyDescent="0.3">
      <c r="B811" s="666"/>
      <c r="E811" s="666"/>
      <c r="F811" s="666"/>
    </row>
    <row r="812" spans="2:6" x14ac:dyDescent="0.3">
      <c r="B812" s="666"/>
      <c r="E812" s="666"/>
      <c r="F812" s="666"/>
    </row>
    <row r="813" spans="2:6" x14ac:dyDescent="0.3">
      <c r="B813" s="666"/>
      <c r="E813" s="666"/>
      <c r="F813" s="666"/>
    </row>
    <row r="814" spans="2:6" x14ac:dyDescent="0.3">
      <c r="B814" s="666"/>
      <c r="E814" s="666"/>
      <c r="F814" s="666"/>
    </row>
    <row r="815" spans="2:6" x14ac:dyDescent="0.3">
      <c r="B815" s="666"/>
      <c r="E815" s="666"/>
      <c r="F815" s="666"/>
    </row>
    <row r="816" spans="2:6" x14ac:dyDescent="0.3">
      <c r="B816" s="666"/>
      <c r="E816" s="666"/>
      <c r="F816" s="666"/>
    </row>
    <row r="817" spans="2:6" x14ac:dyDescent="0.3">
      <c r="B817" s="666"/>
      <c r="E817" s="666"/>
      <c r="F817" s="666"/>
    </row>
    <row r="818" spans="2:6" x14ac:dyDescent="0.3">
      <c r="B818" s="666"/>
      <c r="E818" s="666"/>
      <c r="F818" s="666"/>
    </row>
    <row r="819" spans="2:6" x14ac:dyDescent="0.3">
      <c r="B819" s="666"/>
      <c r="E819" s="666"/>
      <c r="F819" s="666"/>
    </row>
    <row r="820" spans="2:6" x14ac:dyDescent="0.3">
      <c r="B820" s="666"/>
      <c r="E820" s="666"/>
      <c r="F820" s="666"/>
    </row>
    <row r="821" spans="2:6" x14ac:dyDescent="0.3">
      <c r="B821" s="666"/>
      <c r="E821" s="666"/>
      <c r="F821" s="666"/>
    </row>
    <row r="822" spans="2:6" x14ac:dyDescent="0.3">
      <c r="B822" s="666"/>
      <c r="E822" s="666"/>
      <c r="F822" s="666"/>
    </row>
    <row r="823" spans="2:6" x14ac:dyDescent="0.3">
      <c r="B823" s="666"/>
      <c r="E823" s="666"/>
      <c r="F823" s="666"/>
    </row>
    <row r="824" spans="2:6" x14ac:dyDescent="0.3">
      <c r="B824" s="666"/>
      <c r="E824" s="666"/>
      <c r="F824" s="666"/>
    </row>
    <row r="825" spans="2:6" x14ac:dyDescent="0.3">
      <c r="B825" s="666"/>
      <c r="E825" s="666"/>
      <c r="F825" s="666"/>
    </row>
    <row r="826" spans="2:6" x14ac:dyDescent="0.3">
      <c r="B826" s="666"/>
      <c r="E826" s="666"/>
      <c r="F826" s="666"/>
    </row>
    <row r="827" spans="2:6" x14ac:dyDescent="0.3">
      <c r="B827" s="666"/>
      <c r="E827" s="666"/>
      <c r="F827" s="666"/>
    </row>
    <row r="828" spans="2:6" x14ac:dyDescent="0.3">
      <c r="B828" s="666"/>
      <c r="E828" s="666"/>
      <c r="F828" s="666"/>
    </row>
    <row r="829" spans="2:6" x14ac:dyDescent="0.3">
      <c r="B829" s="666"/>
      <c r="E829" s="666"/>
      <c r="F829" s="666"/>
    </row>
    <row r="830" spans="2:6" x14ac:dyDescent="0.3">
      <c r="B830" s="666"/>
      <c r="E830" s="666"/>
      <c r="F830" s="666"/>
    </row>
    <row r="831" spans="2:6" x14ac:dyDescent="0.3">
      <c r="B831" s="666"/>
      <c r="E831" s="666"/>
      <c r="F831" s="666"/>
    </row>
    <row r="832" spans="2:6" x14ac:dyDescent="0.3">
      <c r="B832" s="666"/>
      <c r="E832" s="666"/>
      <c r="F832" s="666"/>
    </row>
    <row r="833" spans="2:6" x14ac:dyDescent="0.3">
      <c r="B833" s="666"/>
      <c r="E833" s="666"/>
      <c r="F833" s="666"/>
    </row>
    <row r="834" spans="2:6" x14ac:dyDescent="0.3">
      <c r="B834" s="666"/>
      <c r="E834" s="666"/>
      <c r="F834" s="666"/>
    </row>
    <row r="835" spans="2:6" x14ac:dyDescent="0.3">
      <c r="B835" s="666"/>
      <c r="E835" s="666"/>
      <c r="F835" s="666"/>
    </row>
    <row r="836" spans="2:6" x14ac:dyDescent="0.3">
      <c r="B836" s="666"/>
      <c r="E836" s="666"/>
      <c r="F836" s="666"/>
    </row>
    <row r="837" spans="2:6" x14ac:dyDescent="0.3">
      <c r="B837" s="666"/>
      <c r="E837" s="666"/>
      <c r="F837" s="666"/>
    </row>
    <row r="838" spans="2:6" x14ac:dyDescent="0.3">
      <c r="B838" s="666"/>
      <c r="E838" s="666"/>
      <c r="F838" s="666"/>
    </row>
    <row r="839" spans="2:6" x14ac:dyDescent="0.3">
      <c r="B839" s="666"/>
      <c r="E839" s="666"/>
      <c r="F839" s="666"/>
    </row>
    <row r="840" spans="2:6" x14ac:dyDescent="0.3">
      <c r="B840" s="666"/>
      <c r="E840" s="666"/>
      <c r="F840" s="666"/>
    </row>
    <row r="841" spans="2:6" x14ac:dyDescent="0.3">
      <c r="B841" s="666"/>
      <c r="E841" s="666"/>
      <c r="F841" s="666"/>
    </row>
    <row r="842" spans="2:6" x14ac:dyDescent="0.3">
      <c r="B842" s="666"/>
      <c r="E842" s="666"/>
      <c r="F842" s="666"/>
    </row>
    <row r="843" spans="2:6" x14ac:dyDescent="0.3">
      <c r="B843" s="666"/>
      <c r="E843" s="666"/>
      <c r="F843" s="666"/>
    </row>
    <row r="844" spans="2:6" x14ac:dyDescent="0.3">
      <c r="B844" s="666"/>
      <c r="E844" s="666"/>
      <c r="F844" s="666"/>
    </row>
    <row r="845" spans="2:6" x14ac:dyDescent="0.3">
      <c r="B845" s="666"/>
      <c r="E845" s="666"/>
      <c r="F845" s="666"/>
    </row>
    <row r="846" spans="2:6" x14ac:dyDescent="0.3">
      <c r="B846" s="666"/>
      <c r="E846" s="666"/>
      <c r="F846" s="666"/>
    </row>
    <row r="847" spans="2:6" x14ac:dyDescent="0.3">
      <c r="B847" s="666"/>
      <c r="E847" s="666"/>
      <c r="F847" s="666"/>
    </row>
    <row r="848" spans="2:6" x14ac:dyDescent="0.3">
      <c r="B848" s="666"/>
      <c r="E848" s="666"/>
      <c r="F848" s="666"/>
    </row>
    <row r="849" spans="2:6" x14ac:dyDescent="0.3">
      <c r="B849" s="666"/>
      <c r="E849" s="666"/>
      <c r="F849" s="666"/>
    </row>
    <row r="850" spans="2:6" x14ac:dyDescent="0.3">
      <c r="B850" s="666"/>
      <c r="E850" s="666"/>
      <c r="F850" s="666"/>
    </row>
    <row r="851" spans="2:6" x14ac:dyDescent="0.3">
      <c r="B851" s="666"/>
      <c r="E851" s="666"/>
      <c r="F851" s="666"/>
    </row>
    <row r="852" spans="2:6" x14ac:dyDescent="0.3">
      <c r="B852" s="666"/>
      <c r="E852" s="666"/>
      <c r="F852" s="666"/>
    </row>
    <row r="853" spans="2:6" x14ac:dyDescent="0.3">
      <c r="B853" s="666"/>
      <c r="E853" s="666"/>
      <c r="F853" s="666"/>
    </row>
    <row r="854" spans="2:6" x14ac:dyDescent="0.3">
      <c r="B854" s="666"/>
      <c r="E854" s="666"/>
      <c r="F854" s="666"/>
    </row>
    <row r="855" spans="2:6" x14ac:dyDescent="0.3">
      <c r="B855" s="666"/>
      <c r="E855" s="666"/>
      <c r="F855" s="666"/>
    </row>
    <row r="856" spans="2:6" x14ac:dyDescent="0.3">
      <c r="B856" s="666"/>
      <c r="E856" s="666"/>
      <c r="F856" s="666"/>
    </row>
    <row r="857" spans="2:6" x14ac:dyDescent="0.3">
      <c r="B857" s="666"/>
      <c r="E857" s="666"/>
      <c r="F857" s="666"/>
    </row>
    <row r="858" spans="2:6" x14ac:dyDescent="0.3">
      <c r="B858" s="666"/>
      <c r="E858" s="666"/>
      <c r="F858" s="666"/>
    </row>
    <row r="859" spans="2:6" x14ac:dyDescent="0.3">
      <c r="B859" s="666"/>
      <c r="E859" s="666"/>
      <c r="F859" s="666"/>
    </row>
    <row r="860" spans="2:6" x14ac:dyDescent="0.3">
      <c r="B860" s="666"/>
      <c r="E860" s="666"/>
      <c r="F860" s="666"/>
    </row>
    <row r="861" spans="2:6" x14ac:dyDescent="0.3">
      <c r="B861" s="666"/>
      <c r="E861" s="666"/>
      <c r="F861" s="666"/>
    </row>
    <row r="862" spans="2:6" x14ac:dyDescent="0.3">
      <c r="B862" s="666"/>
      <c r="E862" s="666"/>
      <c r="F862" s="666"/>
    </row>
    <row r="863" spans="2:6" x14ac:dyDescent="0.3">
      <c r="B863" s="666"/>
      <c r="E863" s="666"/>
      <c r="F863" s="666"/>
    </row>
    <row r="864" spans="2:6" x14ac:dyDescent="0.3">
      <c r="B864" s="666"/>
      <c r="E864" s="666"/>
      <c r="F864" s="666"/>
    </row>
    <row r="865" spans="2:6" x14ac:dyDescent="0.3">
      <c r="B865" s="666"/>
      <c r="E865" s="666"/>
      <c r="F865" s="666"/>
    </row>
    <row r="866" spans="2:6" x14ac:dyDescent="0.3">
      <c r="B866" s="666"/>
      <c r="E866" s="666"/>
      <c r="F866" s="666"/>
    </row>
    <row r="867" spans="2:6" x14ac:dyDescent="0.3">
      <c r="B867" s="666"/>
      <c r="E867" s="666"/>
      <c r="F867" s="666"/>
    </row>
    <row r="868" spans="2:6" x14ac:dyDescent="0.3">
      <c r="B868" s="666"/>
      <c r="E868" s="666"/>
      <c r="F868" s="666"/>
    </row>
    <row r="869" spans="2:6" x14ac:dyDescent="0.3">
      <c r="B869" s="666"/>
      <c r="E869" s="666"/>
      <c r="F869" s="666"/>
    </row>
    <row r="870" spans="2:6" x14ac:dyDescent="0.3">
      <c r="B870" s="666"/>
      <c r="E870" s="666"/>
      <c r="F870" s="666"/>
    </row>
    <row r="871" spans="2:6" x14ac:dyDescent="0.3">
      <c r="B871" s="666"/>
      <c r="E871" s="666"/>
      <c r="F871" s="666"/>
    </row>
    <row r="872" spans="2:6" x14ac:dyDescent="0.3">
      <c r="B872" s="666"/>
      <c r="E872" s="666"/>
      <c r="F872" s="666"/>
    </row>
    <row r="873" spans="2:6" x14ac:dyDescent="0.3">
      <c r="B873" s="666"/>
      <c r="E873" s="666"/>
      <c r="F873" s="666"/>
    </row>
    <row r="874" spans="2:6" x14ac:dyDescent="0.3">
      <c r="B874" s="666"/>
      <c r="E874" s="666"/>
      <c r="F874" s="666"/>
    </row>
    <row r="875" spans="2:6" x14ac:dyDescent="0.3">
      <c r="B875" s="666"/>
      <c r="E875" s="666"/>
      <c r="F875" s="666"/>
    </row>
    <row r="876" spans="2:6" x14ac:dyDescent="0.3">
      <c r="B876" s="666"/>
      <c r="E876" s="666"/>
      <c r="F876" s="666"/>
    </row>
    <row r="877" spans="2:6" x14ac:dyDescent="0.3">
      <c r="B877" s="666"/>
      <c r="E877" s="666"/>
      <c r="F877" s="666"/>
    </row>
    <row r="878" spans="2:6" x14ac:dyDescent="0.3">
      <c r="B878" s="666"/>
      <c r="E878" s="666"/>
      <c r="F878" s="666"/>
    </row>
    <row r="879" spans="2:6" x14ac:dyDescent="0.3">
      <c r="B879" s="666"/>
      <c r="E879" s="666"/>
      <c r="F879" s="666"/>
    </row>
    <row r="880" spans="2:6" x14ac:dyDescent="0.3">
      <c r="B880" s="666"/>
      <c r="E880" s="666"/>
      <c r="F880" s="666"/>
    </row>
    <row r="881" spans="2:6" x14ac:dyDescent="0.3">
      <c r="B881" s="666"/>
      <c r="E881" s="666"/>
      <c r="F881" s="666"/>
    </row>
    <row r="882" spans="2:6" x14ac:dyDescent="0.3">
      <c r="B882" s="666"/>
      <c r="E882" s="666"/>
      <c r="F882" s="666"/>
    </row>
    <row r="883" spans="2:6" x14ac:dyDescent="0.3">
      <c r="B883" s="666"/>
      <c r="E883" s="666"/>
      <c r="F883" s="666"/>
    </row>
    <row r="884" spans="2:6" x14ac:dyDescent="0.3">
      <c r="B884" s="666"/>
      <c r="E884" s="666"/>
      <c r="F884" s="666"/>
    </row>
    <row r="885" spans="2:6" x14ac:dyDescent="0.3">
      <c r="B885" s="666"/>
      <c r="E885" s="666"/>
      <c r="F885" s="666"/>
    </row>
    <row r="886" spans="2:6" x14ac:dyDescent="0.3">
      <c r="B886" s="666"/>
      <c r="E886" s="666"/>
      <c r="F886" s="666"/>
    </row>
    <row r="887" spans="2:6" x14ac:dyDescent="0.3">
      <c r="B887" s="666"/>
      <c r="E887" s="666"/>
      <c r="F887" s="666"/>
    </row>
    <row r="888" spans="2:6" x14ac:dyDescent="0.3">
      <c r="B888" s="666"/>
      <c r="E888" s="666"/>
      <c r="F888" s="666"/>
    </row>
    <row r="889" spans="2:6" x14ac:dyDescent="0.3">
      <c r="B889" s="666"/>
      <c r="E889" s="666"/>
      <c r="F889" s="666"/>
    </row>
    <row r="890" spans="2:6" x14ac:dyDescent="0.3">
      <c r="B890" s="666"/>
      <c r="E890" s="666"/>
      <c r="F890" s="666"/>
    </row>
    <row r="891" spans="2:6" x14ac:dyDescent="0.3">
      <c r="B891" s="666"/>
      <c r="E891" s="666"/>
      <c r="F891" s="666"/>
    </row>
    <row r="892" spans="2:6" x14ac:dyDescent="0.3">
      <c r="B892" s="666"/>
      <c r="E892" s="666"/>
      <c r="F892" s="666"/>
    </row>
    <row r="893" spans="2:6" x14ac:dyDescent="0.3">
      <c r="B893" s="666"/>
      <c r="E893" s="666"/>
      <c r="F893" s="666"/>
    </row>
    <row r="894" spans="2:6" x14ac:dyDescent="0.3">
      <c r="B894" s="666"/>
      <c r="E894" s="666"/>
      <c r="F894" s="666"/>
    </row>
    <row r="895" spans="2:6" x14ac:dyDescent="0.3">
      <c r="B895" s="666"/>
      <c r="E895" s="666"/>
      <c r="F895" s="666"/>
    </row>
    <row r="896" spans="2:6" x14ac:dyDescent="0.3">
      <c r="B896" s="666"/>
      <c r="E896" s="666"/>
      <c r="F896" s="666"/>
    </row>
    <row r="897" spans="2:6" x14ac:dyDescent="0.3">
      <c r="B897" s="666"/>
      <c r="E897" s="666"/>
      <c r="F897" s="666"/>
    </row>
    <row r="898" spans="2:6" x14ac:dyDescent="0.3">
      <c r="B898" s="666"/>
      <c r="E898" s="666"/>
      <c r="F898" s="666"/>
    </row>
    <row r="899" spans="2:6" x14ac:dyDescent="0.3">
      <c r="B899" s="666"/>
      <c r="E899" s="666"/>
      <c r="F899" s="666"/>
    </row>
    <row r="900" spans="2:6" x14ac:dyDescent="0.3">
      <c r="B900" s="666"/>
      <c r="E900" s="666"/>
      <c r="F900" s="666"/>
    </row>
    <row r="901" spans="2:6" x14ac:dyDescent="0.3">
      <c r="B901" s="666"/>
      <c r="E901" s="666"/>
      <c r="F901" s="666"/>
    </row>
    <row r="902" spans="2:6" x14ac:dyDescent="0.3">
      <c r="B902" s="666"/>
      <c r="E902" s="666"/>
      <c r="F902" s="666"/>
    </row>
    <row r="903" spans="2:6" x14ac:dyDescent="0.3">
      <c r="B903" s="666"/>
      <c r="E903" s="666"/>
      <c r="F903" s="666"/>
    </row>
    <row r="904" spans="2:6" x14ac:dyDescent="0.3">
      <c r="B904" s="666"/>
      <c r="E904" s="666"/>
      <c r="F904" s="666"/>
    </row>
    <row r="905" spans="2:6" x14ac:dyDescent="0.3">
      <c r="B905" s="666"/>
      <c r="E905" s="666"/>
      <c r="F905" s="666"/>
    </row>
    <row r="906" spans="2:6" x14ac:dyDescent="0.3">
      <c r="B906" s="666"/>
      <c r="E906" s="666"/>
      <c r="F906" s="666"/>
    </row>
    <row r="907" spans="2:6" x14ac:dyDescent="0.3">
      <c r="B907" s="666"/>
      <c r="E907" s="666"/>
      <c r="F907" s="666"/>
    </row>
    <row r="908" spans="2:6" x14ac:dyDescent="0.3">
      <c r="B908" s="666"/>
      <c r="E908" s="666"/>
      <c r="F908" s="666"/>
    </row>
    <row r="909" spans="2:6" x14ac:dyDescent="0.3">
      <c r="B909" s="666"/>
      <c r="E909" s="666"/>
      <c r="F909" s="666"/>
    </row>
    <row r="910" spans="2:6" x14ac:dyDescent="0.3">
      <c r="B910" s="666"/>
      <c r="E910" s="666"/>
      <c r="F910" s="666"/>
    </row>
    <row r="911" spans="2:6" x14ac:dyDescent="0.3">
      <c r="B911" s="666"/>
      <c r="E911" s="666"/>
      <c r="F911" s="666"/>
    </row>
    <row r="912" spans="2:6" x14ac:dyDescent="0.3">
      <c r="B912" s="666"/>
      <c r="E912" s="666"/>
      <c r="F912" s="666"/>
    </row>
    <row r="913" spans="2:6" x14ac:dyDescent="0.3">
      <c r="B913" s="666"/>
      <c r="E913" s="666"/>
      <c r="F913" s="666"/>
    </row>
    <row r="914" spans="2:6" x14ac:dyDescent="0.3">
      <c r="B914" s="666"/>
      <c r="E914" s="666"/>
      <c r="F914" s="666"/>
    </row>
    <row r="915" spans="2:6" x14ac:dyDescent="0.3">
      <c r="B915" s="666"/>
      <c r="E915" s="666"/>
      <c r="F915" s="666"/>
    </row>
    <row r="916" spans="2:6" x14ac:dyDescent="0.3">
      <c r="B916" s="666"/>
      <c r="E916" s="666"/>
      <c r="F916" s="666"/>
    </row>
    <row r="917" spans="2:6" x14ac:dyDescent="0.3">
      <c r="B917" s="666"/>
      <c r="E917" s="666"/>
      <c r="F917" s="666"/>
    </row>
    <row r="918" spans="2:6" x14ac:dyDescent="0.3">
      <c r="B918" s="666"/>
      <c r="E918" s="666"/>
      <c r="F918" s="666"/>
    </row>
    <row r="919" spans="2:6" x14ac:dyDescent="0.3">
      <c r="B919" s="666"/>
      <c r="E919" s="666"/>
      <c r="F919" s="666"/>
    </row>
    <row r="920" spans="2:6" x14ac:dyDescent="0.3">
      <c r="B920" s="666"/>
      <c r="E920" s="666"/>
      <c r="F920" s="666"/>
    </row>
    <row r="921" spans="2:6" x14ac:dyDescent="0.3">
      <c r="B921" s="666"/>
      <c r="E921" s="666"/>
      <c r="F921" s="666"/>
    </row>
    <row r="922" spans="2:6" x14ac:dyDescent="0.3">
      <c r="B922" s="666"/>
      <c r="E922" s="666"/>
      <c r="F922" s="666"/>
    </row>
    <row r="923" spans="2:6" x14ac:dyDescent="0.3">
      <c r="B923" s="666"/>
      <c r="E923" s="666"/>
      <c r="F923" s="666"/>
    </row>
    <row r="924" spans="2:6" x14ac:dyDescent="0.3">
      <c r="B924" s="666"/>
      <c r="E924" s="666"/>
      <c r="F924" s="666"/>
    </row>
    <row r="925" spans="2:6" x14ac:dyDescent="0.3">
      <c r="B925" s="666"/>
      <c r="E925" s="666"/>
      <c r="F925" s="666"/>
    </row>
    <row r="926" spans="2:6" x14ac:dyDescent="0.3">
      <c r="B926" s="666"/>
      <c r="E926" s="666"/>
      <c r="F926" s="666"/>
    </row>
    <row r="927" spans="2:6" x14ac:dyDescent="0.3">
      <c r="B927" s="666"/>
      <c r="E927" s="666"/>
      <c r="F927" s="666"/>
    </row>
    <row r="928" spans="2:6" x14ac:dyDescent="0.3">
      <c r="B928" s="666"/>
      <c r="E928" s="666"/>
      <c r="F928" s="666"/>
    </row>
    <row r="929" spans="2:6" x14ac:dyDescent="0.3">
      <c r="B929" s="666"/>
      <c r="E929" s="666"/>
      <c r="F929" s="666"/>
    </row>
    <row r="930" spans="2:6" x14ac:dyDescent="0.3">
      <c r="B930" s="666"/>
      <c r="E930" s="666"/>
      <c r="F930" s="666"/>
    </row>
    <row r="931" spans="2:6" x14ac:dyDescent="0.3">
      <c r="B931" s="666"/>
      <c r="E931" s="666"/>
      <c r="F931" s="666"/>
    </row>
    <row r="932" spans="2:6" x14ac:dyDescent="0.3">
      <c r="B932" s="666"/>
      <c r="E932" s="666"/>
      <c r="F932" s="666"/>
    </row>
    <row r="933" spans="2:6" x14ac:dyDescent="0.3">
      <c r="B933" s="666"/>
      <c r="E933" s="666"/>
      <c r="F933" s="666"/>
    </row>
    <row r="934" spans="2:6" x14ac:dyDescent="0.3">
      <c r="B934" s="666"/>
      <c r="E934" s="666"/>
      <c r="F934" s="666"/>
    </row>
    <row r="935" spans="2:6" x14ac:dyDescent="0.3">
      <c r="B935" s="666"/>
      <c r="E935" s="666"/>
      <c r="F935" s="666"/>
    </row>
    <row r="936" spans="2:6" x14ac:dyDescent="0.3">
      <c r="B936" s="666"/>
      <c r="E936" s="666"/>
      <c r="F936" s="666"/>
    </row>
    <row r="937" spans="2:6" x14ac:dyDescent="0.3">
      <c r="B937" s="666"/>
      <c r="E937" s="666"/>
      <c r="F937" s="666"/>
    </row>
    <row r="938" spans="2:6" x14ac:dyDescent="0.3">
      <c r="B938" s="666"/>
      <c r="E938" s="666"/>
      <c r="F938" s="666"/>
    </row>
    <row r="939" spans="2:6" x14ac:dyDescent="0.3">
      <c r="B939" s="666"/>
      <c r="E939" s="666"/>
      <c r="F939" s="666"/>
    </row>
    <row r="940" spans="2:6" x14ac:dyDescent="0.3">
      <c r="B940" s="666"/>
      <c r="E940" s="666"/>
      <c r="F940" s="666"/>
    </row>
    <row r="941" spans="2:6" x14ac:dyDescent="0.3">
      <c r="B941" s="666"/>
      <c r="E941" s="666"/>
      <c r="F941" s="666"/>
    </row>
    <row r="942" spans="2:6" x14ac:dyDescent="0.3">
      <c r="B942" s="666"/>
      <c r="E942" s="666"/>
      <c r="F942" s="666"/>
    </row>
    <row r="943" spans="2:6" x14ac:dyDescent="0.3">
      <c r="B943" s="666"/>
      <c r="E943" s="666"/>
      <c r="F943" s="666"/>
    </row>
    <row r="944" spans="2:6" x14ac:dyDescent="0.3">
      <c r="B944" s="666"/>
      <c r="E944" s="666"/>
      <c r="F944" s="666"/>
    </row>
    <row r="945" spans="2:6" x14ac:dyDescent="0.3">
      <c r="B945" s="666"/>
      <c r="E945" s="666"/>
      <c r="F945" s="666"/>
    </row>
    <row r="946" spans="2:6" x14ac:dyDescent="0.3">
      <c r="B946" s="666"/>
      <c r="E946" s="666"/>
      <c r="F946" s="666"/>
    </row>
    <row r="947" spans="2:6" x14ac:dyDescent="0.3">
      <c r="B947" s="666"/>
      <c r="E947" s="666"/>
      <c r="F947" s="666"/>
    </row>
    <row r="948" spans="2:6" x14ac:dyDescent="0.3">
      <c r="B948" s="666"/>
      <c r="E948" s="666"/>
      <c r="F948" s="666"/>
    </row>
    <row r="949" spans="2:6" x14ac:dyDescent="0.3">
      <c r="B949" s="666"/>
      <c r="E949" s="666"/>
      <c r="F949" s="666"/>
    </row>
    <row r="950" spans="2:6" x14ac:dyDescent="0.3">
      <c r="B950" s="666"/>
      <c r="E950" s="666"/>
      <c r="F950" s="666"/>
    </row>
    <row r="951" spans="2:6" x14ac:dyDescent="0.3">
      <c r="B951" s="666"/>
      <c r="E951" s="666"/>
      <c r="F951" s="666"/>
    </row>
    <row r="952" spans="2:6" x14ac:dyDescent="0.3">
      <c r="B952" s="666"/>
      <c r="E952" s="666"/>
      <c r="F952" s="666"/>
    </row>
    <row r="953" spans="2:6" x14ac:dyDescent="0.3">
      <c r="B953" s="666"/>
      <c r="E953" s="666"/>
      <c r="F953" s="666"/>
    </row>
    <row r="954" spans="2:6" x14ac:dyDescent="0.3">
      <c r="B954" s="666"/>
      <c r="E954" s="666"/>
      <c r="F954" s="666"/>
    </row>
    <row r="955" spans="2:6" x14ac:dyDescent="0.3">
      <c r="B955" s="666"/>
      <c r="E955" s="666"/>
      <c r="F955" s="666"/>
    </row>
    <row r="956" spans="2:6" x14ac:dyDescent="0.3">
      <c r="B956" s="666"/>
      <c r="E956" s="666"/>
      <c r="F956" s="666"/>
    </row>
    <row r="957" spans="2:6" x14ac:dyDescent="0.3">
      <c r="B957" s="666"/>
      <c r="E957" s="666"/>
      <c r="F957" s="666"/>
    </row>
    <row r="958" spans="2:6" x14ac:dyDescent="0.3">
      <c r="B958" s="666"/>
      <c r="E958" s="666"/>
      <c r="F958" s="666"/>
    </row>
    <row r="959" spans="2:6" x14ac:dyDescent="0.3">
      <c r="B959" s="666"/>
      <c r="E959" s="666"/>
      <c r="F959" s="666"/>
    </row>
    <row r="960" spans="2:6" x14ac:dyDescent="0.3">
      <c r="B960" s="666"/>
      <c r="E960" s="666"/>
      <c r="F960" s="666"/>
    </row>
    <row r="961" spans="2:6" x14ac:dyDescent="0.3">
      <c r="B961" s="666"/>
      <c r="E961" s="666"/>
      <c r="F961" s="666"/>
    </row>
    <row r="962" spans="2:6" x14ac:dyDescent="0.3">
      <c r="B962" s="666"/>
      <c r="E962" s="666"/>
      <c r="F962" s="666"/>
    </row>
  </sheetData>
  <mergeCells count="10">
    <mergeCell ref="B93:H93"/>
    <mergeCell ref="B94:H94"/>
    <mergeCell ref="B2:H3"/>
    <mergeCell ref="R25:S25"/>
    <mergeCell ref="B62:H62"/>
    <mergeCell ref="B63:H63"/>
    <mergeCell ref="B73:H73"/>
    <mergeCell ref="B74:H74"/>
    <mergeCell ref="B84:H84"/>
    <mergeCell ref="B85:H85"/>
  </mergeCells>
  <printOptions horizontalCentered="1"/>
  <pageMargins left="0.4" right="0.4" top="1" bottom="0.5" header="0.3" footer="0.3"/>
  <pageSetup paperSize="9" scale="34" fitToHeight="0" orientation="landscape"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8">
    <tabColor rgb="FFFFFF00"/>
    <pageSetUpPr fitToPage="1"/>
  </sheetPr>
  <dimension ref="A1:AG105"/>
  <sheetViews>
    <sheetView zoomScale="55" zoomScaleNormal="55" workbookViewId="0">
      <selection activeCell="K1" sqref="K1"/>
    </sheetView>
  </sheetViews>
  <sheetFormatPr defaultColWidth="12.5" defaultRowHeight="12.5" x14ac:dyDescent="0.25"/>
  <cols>
    <col min="1" max="1" width="12.5" style="14" customWidth="1"/>
    <col min="2" max="2" width="31.4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7" width="6.75" style="14" customWidth="1"/>
    <col min="18" max="18" width="23.08203125" style="14" customWidth="1"/>
    <col min="19" max="19" width="12.5" style="14" customWidth="1"/>
    <col min="20" max="24" width="4" style="14" customWidth="1"/>
    <col min="25" max="16384" width="12.5" style="14"/>
  </cols>
  <sheetData>
    <row r="1" spans="1:33" ht="28.5" customHeight="1" x14ac:dyDescent="0.25">
      <c r="B1" s="80" t="s">
        <v>243</v>
      </c>
      <c r="C1" s="81">
        <v>1000</v>
      </c>
      <c r="D1" s="82" t="s">
        <v>244</v>
      </c>
      <c r="E1" s="117">
        <f>$S$30</f>
        <v>18900</v>
      </c>
      <c r="F1" s="80" t="s">
        <v>245</v>
      </c>
      <c r="G1" s="117">
        <f>E1/C1</f>
        <v>18.899999999999999</v>
      </c>
      <c r="H1" s="80" t="s">
        <v>246</v>
      </c>
      <c r="I1" s="117">
        <f>G1/K1</f>
        <v>18.899999999999999</v>
      </c>
      <c r="J1" s="326" t="s">
        <v>247</v>
      </c>
      <c r="K1" s="327">
        <v>1</v>
      </c>
      <c r="L1" s="100"/>
      <c r="M1" s="100" t="s">
        <v>384</v>
      </c>
      <c r="N1" s="100"/>
      <c r="O1" s="100"/>
      <c r="P1" s="100"/>
      <c r="Q1" s="100"/>
      <c r="R1" s="100"/>
      <c r="S1" s="100"/>
      <c r="T1" s="100"/>
      <c r="U1" s="100"/>
      <c r="V1" s="100"/>
      <c r="Y1" s="91" t="s">
        <v>479</v>
      </c>
      <c r="Z1" s="847">
        <v>18900</v>
      </c>
      <c r="AA1" s="91" t="s">
        <v>600</v>
      </c>
      <c r="AB1" s="847">
        <v>0</v>
      </c>
      <c r="AC1" s="91" t="s">
        <v>587</v>
      </c>
      <c r="AD1" s="847">
        <v>126</v>
      </c>
    </row>
    <row r="2" spans="1:33" ht="12.75" customHeight="1" x14ac:dyDescent="0.25">
      <c r="A2" s="330"/>
      <c r="B2" s="1408" t="s">
        <v>385</v>
      </c>
      <c r="C2" s="1429"/>
      <c r="D2" s="1429"/>
      <c r="E2" s="1429"/>
      <c r="F2" s="1429"/>
      <c r="G2" s="1429"/>
      <c r="H2" s="1429"/>
      <c r="I2" s="100"/>
      <c r="J2" s="100"/>
      <c r="K2" s="100"/>
      <c r="L2" s="100"/>
      <c r="M2" s="100"/>
      <c r="N2" s="100"/>
      <c r="O2" s="100"/>
      <c r="P2" s="100"/>
      <c r="Q2" s="100"/>
      <c r="R2" s="100"/>
      <c r="S2" s="100"/>
      <c r="T2" s="100"/>
      <c r="U2" s="100"/>
      <c r="AE2" s="1417"/>
      <c r="AF2" s="1389"/>
      <c r="AG2" s="1389"/>
    </row>
    <row r="3" spans="1:33" ht="12.75" customHeight="1" x14ac:dyDescent="0.25">
      <c r="A3" s="330"/>
      <c r="B3" s="1388"/>
      <c r="C3" s="1388"/>
      <c r="D3" s="1388"/>
      <c r="E3" s="1388"/>
      <c r="F3" s="1388"/>
      <c r="G3" s="1388"/>
      <c r="H3" s="1388"/>
      <c r="I3" s="100"/>
      <c r="J3" s="100"/>
      <c r="K3" s="100"/>
      <c r="L3" s="100"/>
      <c r="M3" s="100"/>
      <c r="N3" s="100"/>
      <c r="O3" s="100"/>
      <c r="P3" s="100"/>
      <c r="Q3" s="100"/>
      <c r="R3" s="100"/>
      <c r="S3" s="100"/>
      <c r="T3" s="100"/>
      <c r="U3" s="100"/>
      <c r="AE3" s="1389"/>
      <c r="AF3" s="1389"/>
      <c r="AG3" s="1389"/>
    </row>
    <row r="4" spans="1:33" ht="68.75" customHeight="1" x14ac:dyDescent="0.25">
      <c r="A4" s="91" t="s">
        <v>1</v>
      </c>
      <c r="B4" s="91" t="s">
        <v>253</v>
      </c>
      <c r="C4" s="107" t="s">
        <v>254</v>
      </c>
      <c r="D4" s="91" t="s">
        <v>243</v>
      </c>
      <c r="E4" s="218" t="s">
        <v>246</v>
      </c>
      <c r="F4" s="108" t="s">
        <v>255</v>
      </c>
      <c r="G4" s="91" t="s">
        <v>256</v>
      </c>
      <c r="H4" s="107" t="s">
        <v>347</v>
      </c>
      <c r="I4" s="91" t="s">
        <v>258</v>
      </c>
      <c r="J4" s="91" t="s">
        <v>259</v>
      </c>
      <c r="K4" s="91" t="s">
        <v>260</v>
      </c>
      <c r="L4" s="91" t="s">
        <v>261</v>
      </c>
      <c r="M4" s="100"/>
      <c r="N4" s="100"/>
      <c r="O4" s="100"/>
      <c r="P4" s="100"/>
      <c r="Q4" s="100"/>
      <c r="R4" s="100"/>
      <c r="S4" s="100"/>
      <c r="T4" s="100"/>
      <c r="U4" s="100"/>
    </row>
    <row r="5" spans="1:33" ht="14.25" customHeight="1" x14ac:dyDescent="0.25">
      <c r="A5" s="219"/>
      <c r="B5" s="654"/>
      <c r="C5" s="655"/>
      <c r="D5" s="219"/>
      <c r="E5" s="656"/>
      <c r="F5" s="219"/>
      <c r="G5" s="219"/>
      <c r="H5" s="655"/>
      <c r="I5" s="81"/>
      <c r="J5" s="119"/>
      <c r="K5" s="122"/>
      <c r="L5" s="122"/>
    </row>
    <row r="6" spans="1:33" ht="14.25" customHeight="1" x14ac:dyDescent="0.25">
      <c r="A6" s="295" t="s">
        <v>13</v>
      </c>
      <c r="B6" s="22" t="s">
        <v>19</v>
      </c>
      <c r="C6" s="124" t="s">
        <v>14</v>
      </c>
      <c r="D6" s="1142">
        <v>450</v>
      </c>
      <c r="E6" s="116">
        <f t="shared" ref="E6:E13" si="0">$I$1</f>
        <v>18.899999999999999</v>
      </c>
      <c r="F6" s="127">
        <v>1</v>
      </c>
      <c r="G6" s="119">
        <f t="shared" ref="G6:G13" si="1">D6*E6</f>
        <v>8505</v>
      </c>
      <c r="H6" s="120">
        <f t="shared" ref="H6:H13" si="2">G6*F6</f>
        <v>8505</v>
      </c>
      <c r="I6" s="81">
        <f>VLOOKUP(B6,All_Ingredients!$A$1:$F$151,6,FALSE())</f>
        <v>0.84</v>
      </c>
      <c r="J6" s="119">
        <f>VLOOKUP(B6,All_Ingredients!$A$1:$J$151,10,FALSE())</f>
        <v>2.6</v>
      </c>
      <c r="K6" s="122">
        <f t="shared" ref="K6" si="3">(H6/I6)/1000</f>
        <v>10.125</v>
      </c>
      <c r="L6" s="122">
        <f t="shared" ref="L6" si="4">K6*J6</f>
        <v>26.324999999999999</v>
      </c>
    </row>
    <row r="7" spans="1:33" ht="14.25" customHeight="1" x14ac:dyDescent="0.25">
      <c r="A7" s="295" t="s">
        <v>13</v>
      </c>
      <c r="B7" s="22" t="s">
        <v>47</v>
      </c>
      <c r="C7" s="124" t="s">
        <v>14</v>
      </c>
      <c r="D7" s="1142">
        <v>450</v>
      </c>
      <c r="E7" s="116">
        <f t="shared" si="0"/>
        <v>18.899999999999999</v>
      </c>
      <c r="F7" s="127">
        <v>1</v>
      </c>
      <c r="G7" s="119">
        <f t="shared" si="1"/>
        <v>8505</v>
      </c>
      <c r="H7" s="120">
        <f t="shared" si="2"/>
        <v>8505</v>
      </c>
      <c r="I7" s="81">
        <f>VLOOKUP(B7,All_Ingredients!$A$1:$F$151,6,FALSE())</f>
        <v>0.78</v>
      </c>
      <c r="J7" s="119">
        <f>VLOOKUP(B7,All_Ingredients!$A$1:$J$151,10,FALSE())</f>
        <v>3.7</v>
      </c>
      <c r="K7" s="122">
        <f t="shared" ref="K7:K13" si="5">(H7/I7)/1000</f>
        <v>10.903846153846155</v>
      </c>
      <c r="L7" s="122">
        <f t="shared" ref="L7:L13" si="6">K7*J7</f>
        <v>40.344230769230776</v>
      </c>
    </row>
    <row r="8" spans="1:33" ht="14.25" customHeight="1" x14ac:dyDescent="0.25">
      <c r="A8" s="295" t="s">
        <v>13</v>
      </c>
      <c r="B8" s="22" t="s">
        <v>28</v>
      </c>
      <c r="C8" s="124" t="s">
        <v>14</v>
      </c>
      <c r="D8" s="1142">
        <v>80</v>
      </c>
      <c r="E8" s="116">
        <f t="shared" si="0"/>
        <v>18.899999999999999</v>
      </c>
      <c r="F8" s="127">
        <v>1</v>
      </c>
      <c r="G8" s="119">
        <f t="shared" si="1"/>
        <v>1512</v>
      </c>
      <c r="H8" s="120">
        <f t="shared" si="2"/>
        <v>1512</v>
      </c>
      <c r="I8" s="81">
        <f>VLOOKUP(B8,All_Ingredients!$A$1:$F$151,6,FALSE())</f>
        <v>0.56999999999999995</v>
      </c>
      <c r="J8" s="119">
        <f>VLOOKUP(B8,All_Ingredients!$A$1:$J$151,10,FALSE())</f>
        <v>8.5</v>
      </c>
      <c r="K8" s="122">
        <f t="shared" si="5"/>
        <v>2.6526315789473687</v>
      </c>
      <c r="L8" s="122">
        <f t="shared" si="6"/>
        <v>22.547368421052635</v>
      </c>
    </row>
    <row r="9" spans="1:33" ht="14.25" customHeight="1" x14ac:dyDescent="0.25">
      <c r="A9" s="295" t="s">
        <v>13</v>
      </c>
      <c r="B9" s="22" t="s">
        <v>30</v>
      </c>
      <c r="C9" s="124" t="s">
        <v>14</v>
      </c>
      <c r="D9" s="1142">
        <v>80</v>
      </c>
      <c r="E9" s="116">
        <f t="shared" si="0"/>
        <v>18.899999999999999</v>
      </c>
      <c r="F9" s="127">
        <v>1</v>
      </c>
      <c r="G9" s="119">
        <f t="shared" si="1"/>
        <v>1512</v>
      </c>
      <c r="H9" s="120">
        <f t="shared" si="2"/>
        <v>1512</v>
      </c>
      <c r="I9" s="81">
        <f>VLOOKUP(B9,All_Ingredients!$A$1:$F$151,6,FALSE())</f>
        <v>0.56999999999999995</v>
      </c>
      <c r="J9" s="119">
        <f>VLOOKUP(B9,All_Ingredients!$A$1:$J$151,10,FALSE())</f>
        <v>8.5</v>
      </c>
      <c r="K9" s="122">
        <f t="shared" si="5"/>
        <v>2.6526315789473687</v>
      </c>
      <c r="L9" s="122">
        <f t="shared" si="6"/>
        <v>22.547368421052635</v>
      </c>
    </row>
    <row r="10" spans="1:33" ht="14.25" customHeight="1" x14ac:dyDescent="0.25">
      <c r="A10" s="295" t="s">
        <v>13</v>
      </c>
      <c r="B10" s="22" t="s">
        <v>32</v>
      </c>
      <c r="C10" s="124" t="s">
        <v>14</v>
      </c>
      <c r="D10" s="1142">
        <v>80</v>
      </c>
      <c r="E10" s="116">
        <f t="shared" si="0"/>
        <v>18.899999999999999</v>
      </c>
      <c r="F10" s="127">
        <v>1</v>
      </c>
      <c r="G10" s="119">
        <f t="shared" si="1"/>
        <v>1512</v>
      </c>
      <c r="H10" s="120">
        <f t="shared" si="2"/>
        <v>1512</v>
      </c>
      <c r="I10" s="81">
        <f>VLOOKUP(B10,All_Ingredients!$A$1:$F$151,6,FALSE())</f>
        <v>0.96</v>
      </c>
      <c r="J10" s="119">
        <f>VLOOKUP(B10,All_Ingredients!$A$1:$J$151,10,FALSE())</f>
        <v>4</v>
      </c>
      <c r="K10" s="122">
        <f t="shared" si="5"/>
        <v>1.575</v>
      </c>
      <c r="L10" s="122">
        <f t="shared" si="6"/>
        <v>6.3</v>
      </c>
    </row>
    <row r="11" spans="1:33" ht="14.25" customHeight="1" x14ac:dyDescent="0.25">
      <c r="A11" s="295" t="s">
        <v>13</v>
      </c>
      <c r="B11" s="22" t="s">
        <v>51</v>
      </c>
      <c r="C11" s="124" t="s">
        <v>14</v>
      </c>
      <c r="D11" s="1142">
        <v>80</v>
      </c>
      <c r="E11" s="116">
        <f t="shared" si="0"/>
        <v>18.899999999999999</v>
      </c>
      <c r="F11" s="127">
        <v>1</v>
      </c>
      <c r="G11" s="119">
        <f t="shared" si="1"/>
        <v>1512</v>
      </c>
      <c r="H11" s="120">
        <f t="shared" si="2"/>
        <v>1512</v>
      </c>
      <c r="I11" s="81">
        <f>VLOOKUP(B11,All_Ingredients!$A$1:$F$151,6,FALSE())</f>
        <v>0.75</v>
      </c>
      <c r="J11" s="119">
        <f>VLOOKUP(B11,All_Ingredients!$A$1:$J$151,10,FALSE())</f>
        <v>20</v>
      </c>
      <c r="K11" s="122">
        <f t="shared" si="5"/>
        <v>2.016</v>
      </c>
      <c r="L11" s="122">
        <f t="shared" si="6"/>
        <v>40.32</v>
      </c>
    </row>
    <row r="12" spans="1:33" ht="14.25" customHeight="1" x14ac:dyDescent="0.25">
      <c r="A12" s="295" t="s">
        <v>97</v>
      </c>
      <c r="B12" s="22" t="s">
        <v>96</v>
      </c>
      <c r="C12" s="124" t="s">
        <v>14</v>
      </c>
      <c r="D12" s="116">
        <v>4</v>
      </c>
      <c r="E12" s="116">
        <f t="shared" si="0"/>
        <v>18.899999999999999</v>
      </c>
      <c r="F12" s="127">
        <v>0.75</v>
      </c>
      <c r="G12" s="119">
        <f t="shared" si="1"/>
        <v>75.599999999999994</v>
      </c>
      <c r="H12" s="120">
        <f t="shared" si="2"/>
        <v>56.699999999999996</v>
      </c>
      <c r="I12" s="81">
        <f>VLOOKUP(B12,All_Ingredients!$A$1:$F$151,6,FALSE())</f>
        <v>1</v>
      </c>
      <c r="J12" s="119">
        <f>VLOOKUP(B12,All_Ingredients!$A$1:$J$151,10,FALSE())</f>
        <v>0.74</v>
      </c>
      <c r="K12" s="122">
        <f t="shared" si="5"/>
        <v>5.6699999999999993E-2</v>
      </c>
      <c r="L12" s="122">
        <f t="shared" si="6"/>
        <v>4.1957999999999995E-2</v>
      </c>
    </row>
    <row r="13" spans="1:33" ht="14.25" customHeight="1" x14ac:dyDescent="0.25">
      <c r="A13" s="295" t="s">
        <v>97</v>
      </c>
      <c r="B13" s="323" t="s">
        <v>102</v>
      </c>
      <c r="C13" s="124" t="s">
        <v>14</v>
      </c>
      <c r="D13" s="197">
        <v>0.5</v>
      </c>
      <c r="E13" s="116">
        <f t="shared" si="0"/>
        <v>18.899999999999999</v>
      </c>
      <c r="F13" s="127">
        <v>1</v>
      </c>
      <c r="G13" s="119">
        <f t="shared" si="1"/>
        <v>9.4499999999999993</v>
      </c>
      <c r="H13" s="120">
        <f t="shared" si="2"/>
        <v>9.4499999999999993</v>
      </c>
      <c r="I13" s="81">
        <f>VLOOKUP(B13,All_Ingredients!$A$1:$F$151,6,FALSE())</f>
        <v>1</v>
      </c>
      <c r="J13" s="119">
        <f>VLOOKUP(B13,All_Ingredients!$A$1:$J$151,10,FALSE())</f>
        <v>31</v>
      </c>
      <c r="K13" s="122">
        <f t="shared" si="5"/>
        <v>9.4500000000000001E-3</v>
      </c>
      <c r="L13" s="122">
        <f t="shared" si="6"/>
        <v>0.29294999999999999</v>
      </c>
    </row>
    <row r="14" spans="1:33" ht="14.25" customHeight="1" x14ac:dyDescent="0.25">
      <c r="B14" s="356"/>
      <c r="C14" s="357"/>
      <c r="D14" s="359"/>
      <c r="E14" s="359"/>
      <c r="F14" s="360"/>
      <c r="G14" s="361"/>
      <c r="H14" s="362"/>
      <c r="I14" s="92"/>
      <c r="J14" s="139"/>
    </row>
    <row r="15" spans="1:33" ht="14.25" customHeight="1" x14ac:dyDescent="0.25">
      <c r="B15" s="349"/>
      <c r="C15" s="133"/>
      <c r="D15" s="254"/>
      <c r="E15" s="225"/>
      <c r="F15" s="136"/>
      <c r="G15" s="140"/>
      <c r="H15" s="138"/>
    </row>
    <row r="16" spans="1:33" ht="14.25" customHeight="1" x14ac:dyDescent="0.25">
      <c r="E16" s="100"/>
      <c r="F16" s="100"/>
    </row>
    <row r="17" spans="2:29" ht="14.25" customHeight="1" x14ac:dyDescent="0.25">
      <c r="D17" s="100"/>
      <c r="E17" s="100"/>
      <c r="F17" s="100"/>
    </row>
    <row r="18" spans="2:29" ht="14.25" customHeight="1" x14ac:dyDescent="0.25">
      <c r="D18" s="100"/>
      <c r="E18" s="100"/>
      <c r="F18" s="100"/>
    </row>
    <row r="19" spans="2:29" ht="14.25" customHeight="1" x14ac:dyDescent="0.25">
      <c r="D19" s="100"/>
      <c r="E19" s="100"/>
      <c r="F19" s="100"/>
    </row>
    <row r="20" spans="2:29" ht="14.25" customHeight="1" x14ac:dyDescent="0.25">
      <c r="D20" s="100"/>
      <c r="E20" s="100"/>
      <c r="F20" s="100"/>
    </row>
    <row r="21" spans="2:29" ht="14.25" customHeight="1" x14ac:dyDescent="0.3">
      <c r="D21" s="100"/>
      <c r="E21" s="100"/>
      <c r="F21" s="100"/>
      <c r="M21" s="1"/>
      <c r="N21"/>
      <c r="O21"/>
    </row>
    <row r="22" spans="2:29" ht="14.25" customHeight="1" x14ac:dyDescent="0.3">
      <c r="B22" s="11"/>
      <c r="C22" s="336"/>
      <c r="D22" s="100"/>
      <c r="E22" s="100"/>
      <c r="F22" s="100"/>
      <c r="M22" s="179"/>
      <c r="N22" s="492"/>
      <c r="O22"/>
    </row>
    <row r="23" spans="2:29" ht="14.25" customHeight="1" x14ac:dyDescent="0.3">
      <c r="B23" s="11"/>
      <c r="C23" s="336"/>
      <c r="D23" s="100"/>
      <c r="E23" s="100"/>
      <c r="F23" s="100"/>
    </row>
    <row r="24" spans="2:29" ht="14.25" customHeight="1" x14ac:dyDescent="0.3">
      <c r="B24" s="11"/>
      <c r="C24" s="336"/>
      <c r="D24" s="100"/>
      <c r="E24" s="100"/>
      <c r="F24" s="100"/>
      <c r="Z24" s="1234"/>
    </row>
    <row r="25" spans="2:29" ht="14.25" customHeight="1" x14ac:dyDescent="0.3">
      <c r="B25" s="11"/>
      <c r="C25" s="336"/>
      <c r="D25" s="100"/>
      <c r="E25" s="100"/>
      <c r="F25" s="100"/>
      <c r="R25" s="1430" t="s">
        <v>386</v>
      </c>
      <c r="S25" s="1388"/>
      <c r="T25" s="480"/>
      <c r="Z25" s="141" t="s">
        <v>14</v>
      </c>
      <c r="AA25" s="142">
        <v>18900</v>
      </c>
      <c r="AB25" s="141" t="s">
        <v>261</v>
      </c>
      <c r="AC25" s="143">
        <f>(S31/S30)*AA25</f>
        <v>158.71887561133605</v>
      </c>
    </row>
    <row r="26" spans="2:29" ht="14.25" customHeight="1" x14ac:dyDescent="0.3">
      <c r="B26" s="11"/>
      <c r="C26" s="336"/>
      <c r="D26" s="337"/>
      <c r="E26" s="100"/>
      <c r="F26" s="100"/>
      <c r="R26" s="1438" t="s">
        <v>350</v>
      </c>
      <c r="S26" s="1410"/>
      <c r="T26" s="480"/>
    </row>
    <row r="27" spans="2:29" ht="14.25" customHeight="1" x14ac:dyDescent="0.3">
      <c r="B27" s="11"/>
      <c r="C27" s="336"/>
      <c r="D27" s="337"/>
      <c r="E27" s="100"/>
      <c r="F27" s="100"/>
      <c r="R27" s="145" t="s">
        <v>266</v>
      </c>
      <c r="S27" s="148" t="s">
        <v>269</v>
      </c>
    </row>
    <row r="28" spans="2:29" ht="14.25" customHeight="1" x14ac:dyDescent="0.3">
      <c r="B28" s="11"/>
      <c r="C28" s="336"/>
      <c r="D28" s="337"/>
      <c r="E28" s="100"/>
      <c r="F28" s="100"/>
      <c r="R28" s="145" t="s">
        <v>487</v>
      </c>
      <c r="S28" s="790">
        <f>Z1</f>
        <v>18900</v>
      </c>
    </row>
    <row r="29" spans="2:29" ht="14.25" customHeight="1" x14ac:dyDescent="0.3">
      <c r="B29" s="11"/>
      <c r="C29" s="336"/>
      <c r="D29" s="337"/>
      <c r="E29" s="100"/>
      <c r="F29" s="100"/>
      <c r="R29" s="145" t="s">
        <v>277</v>
      </c>
      <c r="S29" s="822">
        <f>AB1</f>
        <v>0</v>
      </c>
    </row>
    <row r="30" spans="2:29" ht="14.25" customHeight="1" thickBot="1" x14ac:dyDescent="0.35">
      <c r="B30" s="11"/>
      <c r="C30" s="336"/>
      <c r="D30" s="337"/>
      <c r="E30" s="100"/>
      <c r="F30" s="100"/>
      <c r="R30" s="145" t="s">
        <v>269</v>
      </c>
      <c r="S30" s="339">
        <f>S28+S29</f>
        <v>18900</v>
      </c>
    </row>
    <row r="31" spans="2:29" ht="14.25" customHeight="1" thickBot="1" x14ac:dyDescent="0.35">
      <c r="B31" s="11"/>
      <c r="C31" s="336"/>
      <c r="D31" s="337"/>
      <c r="E31" s="100"/>
      <c r="F31" s="100"/>
      <c r="R31" s="163" t="s">
        <v>261</v>
      </c>
      <c r="S31" s="1144">
        <f>SUM(L6:L13)</f>
        <v>158.71887561133605</v>
      </c>
    </row>
    <row r="32" spans="2:29" x14ac:dyDescent="0.25">
      <c r="B32" s="100"/>
      <c r="E32" s="100"/>
      <c r="F32" s="100"/>
    </row>
    <row r="33" spans="2:6" x14ac:dyDescent="0.25">
      <c r="B33" s="100"/>
      <c r="E33" s="100"/>
      <c r="F33" s="100"/>
    </row>
    <row r="41" spans="2:6" ht="14" customHeight="1" x14ac:dyDescent="0.25"/>
    <row r="42" spans="2:6" ht="14" customHeight="1" x14ac:dyDescent="0.25"/>
    <row r="50" spans="1:8" ht="14" x14ac:dyDescent="0.3">
      <c r="B50" s="226"/>
      <c r="C50" s="226" t="s">
        <v>245</v>
      </c>
      <c r="D50" s="226" t="s">
        <v>291</v>
      </c>
    </row>
    <row r="51" spans="1:8" ht="14" x14ac:dyDescent="0.3">
      <c r="B51" s="180" t="s">
        <v>295</v>
      </c>
      <c r="C51" s="181">
        <f>10/$K$1</f>
        <v>10</v>
      </c>
      <c r="D51" s="182">
        <f>$C$1*10</f>
        <v>10000</v>
      </c>
    </row>
    <row r="52" spans="1:8" ht="14" x14ac:dyDescent="0.3">
      <c r="B52" s="231" t="s">
        <v>269</v>
      </c>
      <c r="C52" s="233">
        <f>G1</f>
        <v>18.899999999999999</v>
      </c>
      <c r="D52" s="233">
        <f>E1</f>
        <v>18900</v>
      </c>
    </row>
    <row r="53" spans="1:8" ht="14" x14ac:dyDescent="0.3">
      <c r="B53" s="231" t="s">
        <v>296</v>
      </c>
      <c r="C53" s="234">
        <f>MIN($C$52, $C$51)</f>
        <v>10</v>
      </c>
      <c r="D53" s="233">
        <f>(C53*$K$1)*$C$1</f>
        <v>10000</v>
      </c>
    </row>
    <row r="54" spans="1:8" ht="14" x14ac:dyDescent="0.3">
      <c r="B54" s="231" t="s">
        <v>297</v>
      </c>
      <c r="C54" s="234">
        <f>MIN(MAX($C$52-C53,0),$C$51)</f>
        <v>8.8999999999999986</v>
      </c>
      <c r="D54" s="233">
        <f>(C54*$K$1)*$C$1</f>
        <v>8899.9999999999982</v>
      </c>
    </row>
    <row r="55" spans="1:8" ht="14" x14ac:dyDescent="0.3">
      <c r="B55" s="231" t="s">
        <v>298</v>
      </c>
      <c r="C55" s="234">
        <f>MIN(MAX($C$52-C53-C54,0),$C$51)</f>
        <v>0</v>
      </c>
      <c r="D55" s="233">
        <f>(C55*$K$1)*$C$1</f>
        <v>0</v>
      </c>
    </row>
    <row r="61" spans="1:8" ht="10" customHeight="1" x14ac:dyDescent="0.25"/>
    <row r="62" spans="1:8" ht="14" customHeight="1" x14ac:dyDescent="0.3">
      <c r="A62" s="942"/>
      <c r="B62" s="1382" t="s">
        <v>842</v>
      </c>
      <c r="C62" s="1383"/>
      <c r="D62" s="1383"/>
      <c r="E62" s="1383"/>
      <c r="F62" s="1383"/>
      <c r="G62" s="1383"/>
      <c r="H62" s="1383"/>
    </row>
    <row r="63" spans="1:8" ht="17.75" customHeight="1" x14ac:dyDescent="0.3">
      <c r="A63" s="942"/>
      <c r="B63" s="1382" t="s">
        <v>843</v>
      </c>
      <c r="C63" s="1383"/>
      <c r="D63" s="1383"/>
      <c r="E63" s="1383"/>
      <c r="F63" s="1383"/>
      <c r="G63" s="1383"/>
      <c r="H63" s="1383"/>
    </row>
    <row r="64" spans="1:8" ht="40.5" customHeight="1" x14ac:dyDescent="0.25">
      <c r="A64" s="91"/>
      <c r="B64" s="243" t="s">
        <v>253</v>
      </c>
      <c r="C64" s="244" t="s">
        <v>254</v>
      </c>
      <c r="D64" s="245" t="s">
        <v>243</v>
      </c>
      <c r="E64" s="218" t="s">
        <v>246</v>
      </c>
      <c r="F64" s="218" t="s">
        <v>255</v>
      </c>
      <c r="G64" s="245" t="s">
        <v>256</v>
      </c>
      <c r="H64" s="218" t="s">
        <v>257</v>
      </c>
    </row>
    <row r="65" spans="1:8" ht="14" x14ac:dyDescent="0.25">
      <c r="A65" s="295" t="s">
        <v>13</v>
      </c>
      <c r="B65" s="323" t="str">
        <f t="shared" ref="B65:D72" si="7">B6</f>
        <v>Carrot - جزر</v>
      </c>
      <c r="C65" s="124" t="str">
        <f t="shared" si="7"/>
        <v>gm</v>
      </c>
      <c r="D65" s="116">
        <f t="shared" si="7"/>
        <v>450</v>
      </c>
      <c r="E65" s="116">
        <f>$C$52</f>
        <v>18.899999999999999</v>
      </c>
      <c r="F65" s="127">
        <f t="shared" ref="F65:F72" si="8">F6</f>
        <v>1</v>
      </c>
      <c r="G65" s="119">
        <f t="shared" ref="G65:G72" si="9">D65*E65</f>
        <v>8505</v>
      </c>
      <c r="H65" s="120">
        <f t="shared" ref="H65:H72" si="10">G65*F65</f>
        <v>8505</v>
      </c>
    </row>
    <row r="66" spans="1:8" ht="14" x14ac:dyDescent="0.25">
      <c r="A66" s="295" t="s">
        <v>13</v>
      </c>
      <c r="B66" s="323" t="str">
        <f t="shared" si="7"/>
        <v>Zucchini - كوسة</v>
      </c>
      <c r="C66" s="124" t="str">
        <f t="shared" si="7"/>
        <v>gm</v>
      </c>
      <c r="D66" s="116">
        <f t="shared" si="7"/>
        <v>450</v>
      </c>
      <c r="E66" s="116">
        <f t="shared" ref="E66:E72" si="11">$C$52</f>
        <v>18.899999999999999</v>
      </c>
      <c r="F66" s="127">
        <f t="shared" si="8"/>
        <v>1</v>
      </c>
      <c r="G66" s="119">
        <f t="shared" si="9"/>
        <v>8505</v>
      </c>
      <c r="H66" s="120">
        <f t="shared" si="10"/>
        <v>8505</v>
      </c>
    </row>
    <row r="67" spans="1:8" ht="14.25" customHeight="1" x14ac:dyDescent="0.25">
      <c r="A67" s="295" t="s">
        <v>13</v>
      </c>
      <c r="B67" s="323" t="str">
        <f t="shared" si="7"/>
        <v xml:space="preserve">Red Bell Pepper - فلفل أحمر </v>
      </c>
      <c r="C67" s="124" t="str">
        <f t="shared" si="7"/>
        <v>gm</v>
      </c>
      <c r="D67" s="116">
        <f t="shared" si="7"/>
        <v>80</v>
      </c>
      <c r="E67" s="116">
        <f t="shared" si="11"/>
        <v>18.899999999999999</v>
      </c>
      <c r="F67" s="127">
        <f t="shared" si="8"/>
        <v>1</v>
      </c>
      <c r="G67" s="119">
        <f t="shared" si="9"/>
        <v>1512</v>
      </c>
      <c r="H67" s="120">
        <f t="shared" si="10"/>
        <v>1512</v>
      </c>
    </row>
    <row r="68" spans="1:8" ht="14.25" customHeight="1" x14ac:dyDescent="0.25">
      <c r="A68" s="295" t="s">
        <v>13</v>
      </c>
      <c r="B68" s="323" t="str">
        <f t="shared" si="7"/>
        <v xml:space="preserve">Yellow Bell Pepper - فلفل أصفر </v>
      </c>
      <c r="C68" s="124" t="str">
        <f t="shared" si="7"/>
        <v>gm</v>
      </c>
      <c r="D68" s="116">
        <f t="shared" si="7"/>
        <v>80</v>
      </c>
      <c r="E68" s="116">
        <f t="shared" si="11"/>
        <v>18.899999999999999</v>
      </c>
      <c r="F68" s="127">
        <f t="shared" si="8"/>
        <v>1</v>
      </c>
      <c r="G68" s="119">
        <f t="shared" si="9"/>
        <v>1512</v>
      </c>
      <c r="H68" s="120">
        <f t="shared" si="10"/>
        <v>1512</v>
      </c>
    </row>
    <row r="69" spans="1:8" ht="14.25" customHeight="1" x14ac:dyDescent="0.25">
      <c r="A69" s="295" t="s">
        <v>13</v>
      </c>
      <c r="B69" s="323" t="str">
        <f t="shared" si="7"/>
        <v>Green Bell Pepper - فلفل أخضر رومى</v>
      </c>
      <c r="C69" s="124" t="str">
        <f t="shared" si="7"/>
        <v>gm</v>
      </c>
      <c r="D69" s="116">
        <f t="shared" si="7"/>
        <v>80</v>
      </c>
      <c r="E69" s="116">
        <f t="shared" si="11"/>
        <v>18.899999999999999</v>
      </c>
      <c r="F69" s="127">
        <f t="shared" si="8"/>
        <v>1</v>
      </c>
      <c r="G69" s="119">
        <f t="shared" si="9"/>
        <v>1512</v>
      </c>
      <c r="H69" s="120">
        <f t="shared" si="10"/>
        <v>1512</v>
      </c>
    </row>
    <row r="70" spans="1:8" ht="14.25" customHeight="1" x14ac:dyDescent="0.25">
      <c r="A70" s="295" t="s">
        <v>13</v>
      </c>
      <c r="B70" s="323" t="str">
        <f t="shared" si="7"/>
        <v>Chinese Cabbage - ملفوف صيني</v>
      </c>
      <c r="C70" s="124" t="str">
        <f t="shared" si="7"/>
        <v>gm</v>
      </c>
      <c r="D70" s="116">
        <f t="shared" si="7"/>
        <v>80</v>
      </c>
      <c r="E70" s="116">
        <f t="shared" si="11"/>
        <v>18.899999999999999</v>
      </c>
      <c r="F70" s="127">
        <f t="shared" si="8"/>
        <v>1</v>
      </c>
      <c r="G70" s="119">
        <f t="shared" si="9"/>
        <v>1512</v>
      </c>
      <c r="H70" s="120">
        <f t="shared" si="10"/>
        <v>1512</v>
      </c>
    </row>
    <row r="71" spans="1:8" ht="14.25" customHeight="1" x14ac:dyDescent="0.25">
      <c r="A71" s="295" t="s">
        <v>97</v>
      </c>
      <c r="B71" s="323" t="str">
        <f t="shared" si="7"/>
        <v>Salt - ملح</v>
      </c>
      <c r="C71" s="124" t="str">
        <f t="shared" si="7"/>
        <v>gm</v>
      </c>
      <c r="D71" s="116">
        <f t="shared" si="7"/>
        <v>4</v>
      </c>
      <c r="E71" s="116">
        <f t="shared" si="11"/>
        <v>18.899999999999999</v>
      </c>
      <c r="F71" s="127">
        <f t="shared" si="8"/>
        <v>0.75</v>
      </c>
      <c r="G71" s="119">
        <f t="shared" si="9"/>
        <v>75.599999999999994</v>
      </c>
      <c r="H71" s="120">
        <f t="shared" si="10"/>
        <v>56.699999999999996</v>
      </c>
    </row>
    <row r="72" spans="1:8" ht="14.25" customHeight="1" x14ac:dyDescent="0.25">
      <c r="A72" s="295" t="s">
        <v>97</v>
      </c>
      <c r="B72" s="323" t="str">
        <f t="shared" si="7"/>
        <v>Black Pepper Powder - فلفل أسود مطحون</v>
      </c>
      <c r="C72" s="124" t="str">
        <f t="shared" si="7"/>
        <v>gm</v>
      </c>
      <c r="D72" s="223">
        <f t="shared" si="7"/>
        <v>0.5</v>
      </c>
      <c r="E72" s="116">
        <f t="shared" si="11"/>
        <v>18.899999999999999</v>
      </c>
      <c r="F72" s="127">
        <f t="shared" si="8"/>
        <v>1</v>
      </c>
      <c r="G72" s="119">
        <f t="shared" si="9"/>
        <v>9.4499999999999993</v>
      </c>
      <c r="H72" s="120">
        <f t="shared" si="10"/>
        <v>9.4499999999999993</v>
      </c>
    </row>
    <row r="73" spans="1:8" ht="17" customHeight="1" x14ac:dyDescent="0.25">
      <c r="B73" s="198" t="s">
        <v>770</v>
      </c>
      <c r="E73" s="100"/>
      <c r="F73" s="100"/>
    </row>
    <row r="74" spans="1:8" ht="20.75" customHeight="1" x14ac:dyDescent="0.4">
      <c r="B74" s="199">
        <f>D52</f>
        <v>18900</v>
      </c>
      <c r="C74" s="208"/>
      <c r="D74" s="4"/>
      <c r="E74" s="100"/>
      <c r="F74" s="183"/>
    </row>
    <row r="75" spans="1:8" ht="12.75" customHeight="1" x14ac:dyDescent="0.25">
      <c r="B75" s="100"/>
      <c r="E75" s="100"/>
      <c r="F75" s="100"/>
    </row>
    <row r="76" spans="1:8" ht="12.75" customHeight="1" x14ac:dyDescent="0.25">
      <c r="B76" s="100"/>
      <c r="C76" s="100"/>
      <c r="D76" s="346"/>
      <c r="E76" s="100"/>
      <c r="F76" s="100"/>
      <c r="G76" s="100"/>
      <c r="H76" s="100"/>
    </row>
    <row r="77" spans="1:8" ht="12.75" customHeight="1" x14ac:dyDescent="0.25">
      <c r="B77" s="100"/>
      <c r="C77" s="100"/>
      <c r="D77" s="100"/>
      <c r="E77" s="100"/>
      <c r="F77" s="100"/>
      <c r="G77" s="100"/>
      <c r="H77" s="100"/>
    </row>
    <row r="78" spans="1:8" ht="17.75" customHeight="1" x14ac:dyDescent="0.3">
      <c r="B78" s="1428"/>
      <c r="C78" s="1422"/>
      <c r="D78" s="1422"/>
      <c r="E78" s="1422"/>
      <c r="F78" s="1422"/>
      <c r="G78" s="1422"/>
      <c r="H78" s="1422"/>
    </row>
    <row r="79" spans="1:8" ht="17.75" customHeight="1" x14ac:dyDescent="0.3">
      <c r="B79" s="1428"/>
      <c r="C79" s="1422"/>
      <c r="D79" s="1422"/>
      <c r="E79" s="1422"/>
      <c r="F79" s="1422"/>
      <c r="G79" s="1422"/>
      <c r="H79" s="1422"/>
    </row>
    <row r="80" spans="1:8" ht="39.5" customHeight="1" x14ac:dyDescent="0.25">
      <c r="A80" s="371"/>
      <c r="B80" s="347"/>
      <c r="C80" s="348"/>
      <c r="D80" s="347"/>
      <c r="E80" s="347"/>
      <c r="F80" s="347"/>
      <c r="G80" s="347"/>
      <c r="H80" s="347"/>
    </row>
    <row r="81" spans="1:8" ht="14" x14ac:dyDescent="0.25">
      <c r="B81" s="349"/>
      <c r="C81" s="349"/>
      <c r="D81" s="333"/>
      <c r="E81" s="333"/>
      <c r="F81" s="136"/>
      <c r="G81" s="137"/>
      <c r="H81" s="138"/>
    </row>
    <row r="82" spans="1:8" ht="14" x14ac:dyDescent="0.25">
      <c r="B82" s="349"/>
      <c r="C82" s="349"/>
      <c r="D82" s="333"/>
      <c r="E82" s="333"/>
      <c r="F82" s="136"/>
      <c r="G82" s="137"/>
      <c r="H82" s="138"/>
    </row>
    <row r="83" spans="1:8" ht="14.25" customHeight="1" x14ac:dyDescent="0.25">
      <c r="B83" s="349"/>
      <c r="C83" s="349"/>
      <c r="D83" s="333"/>
      <c r="E83" s="333"/>
      <c r="F83" s="136"/>
      <c r="G83" s="137"/>
      <c r="H83" s="138"/>
    </row>
    <row r="84" spans="1:8" ht="14.25" customHeight="1" x14ac:dyDescent="0.25">
      <c r="B84" s="349"/>
      <c r="C84" s="349"/>
      <c r="D84" s="333"/>
      <c r="E84" s="333"/>
      <c r="F84" s="136"/>
      <c r="G84" s="137"/>
      <c r="H84" s="138"/>
    </row>
    <row r="85" spans="1:8" ht="14.25" customHeight="1" x14ac:dyDescent="0.25">
      <c r="B85" s="349"/>
      <c r="C85" s="349"/>
      <c r="D85" s="333"/>
      <c r="E85" s="333"/>
      <c r="F85" s="136"/>
      <c r="G85" s="137"/>
      <c r="H85" s="138"/>
    </row>
    <row r="86" spans="1:8" ht="14.25" customHeight="1" x14ac:dyDescent="0.25">
      <c r="B86" s="349"/>
      <c r="C86" s="349"/>
      <c r="D86" s="333"/>
      <c r="E86" s="333"/>
      <c r="F86" s="136"/>
      <c r="G86" s="137"/>
      <c r="H86" s="138"/>
    </row>
    <row r="87" spans="1:8" ht="14.25" customHeight="1" x14ac:dyDescent="0.25">
      <c r="B87" s="349"/>
      <c r="C87" s="349"/>
      <c r="D87" s="333"/>
      <c r="E87" s="333"/>
      <c r="F87" s="136"/>
      <c r="G87" s="137"/>
      <c r="H87" s="138"/>
    </row>
    <row r="88" spans="1:8" ht="14.25" customHeight="1" x14ac:dyDescent="0.25">
      <c r="B88" s="349"/>
      <c r="C88" s="349"/>
      <c r="D88" s="296"/>
      <c r="E88" s="333"/>
      <c r="F88" s="136"/>
      <c r="G88" s="137"/>
      <c r="H88" s="138"/>
    </row>
    <row r="89" spans="1:8" ht="12.75" customHeight="1" x14ac:dyDescent="0.25">
      <c r="B89" s="204"/>
      <c r="E89" s="100"/>
      <c r="F89" s="100"/>
    </row>
    <row r="90" spans="1:8" ht="21.5" customHeight="1" x14ac:dyDescent="0.4">
      <c r="B90" s="484"/>
      <c r="C90" s="208"/>
      <c r="D90" s="4"/>
      <c r="E90" s="100"/>
      <c r="F90" s="183"/>
    </row>
    <row r="91" spans="1:8" ht="12.75" customHeight="1" x14ac:dyDescent="0.25">
      <c r="B91" s="100"/>
      <c r="C91" s="100"/>
      <c r="D91" s="100"/>
      <c r="E91" s="100"/>
      <c r="F91" s="100"/>
      <c r="G91" s="100"/>
      <c r="H91" s="100"/>
    </row>
    <row r="92" spans="1:8" ht="12.75" customHeight="1" x14ac:dyDescent="0.25">
      <c r="B92" s="100"/>
      <c r="C92" s="100"/>
      <c r="D92" s="100"/>
      <c r="E92" s="100"/>
      <c r="F92" s="100"/>
      <c r="G92" s="100"/>
      <c r="H92" s="100"/>
    </row>
    <row r="93" spans="1:8" ht="17.75" customHeight="1" x14ac:dyDescent="0.3">
      <c r="B93" s="1428"/>
      <c r="C93" s="1422"/>
      <c r="D93" s="1422"/>
      <c r="E93" s="1422"/>
      <c r="F93" s="1422"/>
      <c r="G93" s="1422"/>
      <c r="H93" s="1422"/>
    </row>
    <row r="94" spans="1:8" ht="17.75" customHeight="1" x14ac:dyDescent="0.3">
      <c r="B94" s="1428"/>
      <c r="C94" s="1422"/>
      <c r="D94" s="1422"/>
      <c r="E94" s="1422"/>
      <c r="F94" s="1422"/>
      <c r="G94" s="1422"/>
      <c r="H94" s="1422"/>
    </row>
    <row r="95" spans="1:8" ht="48" customHeight="1" x14ac:dyDescent="0.25">
      <c r="A95" s="371"/>
      <c r="B95" s="347"/>
      <c r="C95" s="348"/>
      <c r="D95" s="347"/>
      <c r="E95" s="347"/>
      <c r="F95" s="347"/>
      <c r="G95" s="347"/>
      <c r="H95" s="347"/>
    </row>
    <row r="96" spans="1:8" ht="14" x14ac:dyDescent="0.25">
      <c r="B96" s="349"/>
      <c r="C96" s="349"/>
      <c r="D96" s="349"/>
      <c r="E96" s="483"/>
      <c r="F96" s="136"/>
      <c r="G96" s="137"/>
      <c r="H96" s="138"/>
    </row>
    <row r="97" spans="2:8" ht="14.25" customHeight="1" x14ac:dyDescent="0.25">
      <c r="B97" s="349"/>
      <c r="C97" s="349"/>
      <c r="D97" s="349"/>
      <c r="E97" s="483"/>
      <c r="F97" s="136"/>
      <c r="G97" s="137"/>
      <c r="H97" s="138"/>
    </row>
    <row r="98" spans="2:8" ht="14.25" customHeight="1" x14ac:dyDescent="0.25">
      <c r="B98" s="349"/>
      <c r="C98" s="349"/>
      <c r="D98" s="349"/>
      <c r="E98" s="483"/>
      <c r="F98" s="136"/>
      <c r="G98" s="137"/>
      <c r="H98" s="138"/>
    </row>
    <row r="99" spans="2:8" ht="14.25" customHeight="1" x14ac:dyDescent="0.25">
      <c r="B99" s="349"/>
      <c r="C99" s="349"/>
      <c r="D99" s="349"/>
      <c r="E99" s="483"/>
      <c r="F99" s="136"/>
      <c r="G99" s="137"/>
      <c r="H99" s="138"/>
    </row>
    <row r="100" spans="2:8" ht="14.25" customHeight="1" x14ac:dyDescent="0.25">
      <c r="B100" s="349"/>
      <c r="C100" s="349"/>
      <c r="D100" s="349"/>
      <c r="E100" s="483"/>
      <c r="F100" s="136"/>
      <c r="G100" s="137"/>
      <c r="H100" s="138"/>
    </row>
    <row r="101" spans="2:8" ht="14.25" customHeight="1" x14ac:dyDescent="0.25">
      <c r="B101" s="349"/>
      <c r="C101" s="349"/>
      <c r="D101" s="349"/>
      <c r="E101" s="483"/>
      <c r="F101" s="136"/>
      <c r="G101" s="137"/>
      <c r="H101" s="138"/>
    </row>
    <row r="102" spans="2:8" ht="14.25" customHeight="1" x14ac:dyDescent="0.25">
      <c r="B102" s="349"/>
      <c r="C102" s="349"/>
      <c r="D102" s="349"/>
      <c r="E102" s="483"/>
      <c r="F102" s="136"/>
      <c r="G102" s="137"/>
      <c r="H102" s="138"/>
    </row>
    <row r="103" spans="2:8" ht="14.25" customHeight="1" x14ac:dyDescent="0.25">
      <c r="B103" s="349"/>
      <c r="C103" s="349"/>
      <c r="D103" s="349"/>
      <c r="E103" s="483"/>
      <c r="F103" s="136"/>
      <c r="G103" s="598"/>
      <c r="H103" s="1173"/>
    </row>
    <row r="104" spans="2:8" ht="15.5" x14ac:dyDescent="0.25">
      <c r="B104" s="204"/>
    </row>
    <row r="105" spans="2:8" ht="20" x14ac:dyDescent="0.4">
      <c r="B105" s="484"/>
    </row>
  </sheetData>
  <mergeCells count="10">
    <mergeCell ref="AE2:AG3"/>
    <mergeCell ref="R26:S26"/>
    <mergeCell ref="B93:H93"/>
    <mergeCell ref="B94:H94"/>
    <mergeCell ref="B79:H79"/>
    <mergeCell ref="R25:S25"/>
    <mergeCell ref="B62:H62"/>
    <mergeCell ref="B78:H78"/>
    <mergeCell ref="B2:H3"/>
    <mergeCell ref="B63:H63"/>
  </mergeCells>
  <printOptions horizontalCentered="1"/>
  <pageMargins left="0.4" right="0.4" top="1" bottom="0.5" header="0.3" footer="0.511811023622047"/>
  <pageSetup paperSize="9" scale="49" fitToHeight="0" orientation="landscape"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183A8-D3C1-4CDE-AC95-C8022719B214}">
  <sheetPr codeName="Sheet81">
    <tabColor theme="5" tint="-0.249977111117893"/>
    <pageSetUpPr fitToPage="1"/>
  </sheetPr>
  <dimension ref="A1:AD62"/>
  <sheetViews>
    <sheetView zoomScale="55" zoomScaleNormal="55" workbookViewId="0">
      <selection activeCell="H41" sqref="H41"/>
    </sheetView>
  </sheetViews>
  <sheetFormatPr defaultColWidth="12.5" defaultRowHeight="12.5" x14ac:dyDescent="0.3"/>
  <cols>
    <col min="1" max="1" width="8.08203125" style="698" customWidth="1"/>
    <col min="2" max="2" width="30.6640625" style="698" customWidth="1"/>
    <col min="3" max="3" width="24" style="698" customWidth="1"/>
    <col min="4" max="4" width="21.83203125" style="698" customWidth="1"/>
    <col min="5" max="5" width="16.1640625" style="698" customWidth="1"/>
    <col min="6" max="6" width="19.6640625" style="698" customWidth="1"/>
    <col min="7" max="7" width="10.83203125" style="698" customWidth="1"/>
    <col min="8" max="8" width="17.33203125" style="698" customWidth="1"/>
    <col min="9" max="11" width="12.5" style="698"/>
    <col min="12" max="12" width="8.33203125" style="698" customWidth="1"/>
    <col min="13" max="17" width="3.83203125" style="698" customWidth="1"/>
    <col min="18" max="16384" width="12.5" style="698"/>
  </cols>
  <sheetData>
    <row r="1" spans="1:30" ht="36" customHeight="1" x14ac:dyDescent="0.3">
      <c r="B1" s="753" t="s">
        <v>569</v>
      </c>
      <c r="C1" s="757">
        <v>5</v>
      </c>
      <c r="D1" s="756" t="s">
        <v>244</v>
      </c>
      <c r="E1" s="755">
        <f>T29</f>
        <v>3.3833333333333333</v>
      </c>
      <c r="F1" s="753" t="s">
        <v>245</v>
      </c>
      <c r="G1" s="754">
        <f>E1/C1</f>
        <v>0.67666666666666664</v>
      </c>
      <c r="H1" s="753" t="s">
        <v>246</v>
      </c>
      <c r="I1" s="752">
        <f>(G1/K1)</f>
        <v>0.67666666666666664</v>
      </c>
      <c r="J1" s="751" t="s">
        <v>247</v>
      </c>
      <c r="K1" s="750">
        <v>1</v>
      </c>
      <c r="L1" s="705"/>
      <c r="M1" s="705"/>
      <c r="N1" s="705"/>
      <c r="Y1" s="91" t="s">
        <v>479</v>
      </c>
      <c r="Z1" s="847">
        <v>19800</v>
      </c>
      <c r="AA1" s="91" t="s">
        <v>600</v>
      </c>
      <c r="AB1" s="847">
        <v>500</v>
      </c>
      <c r="AC1" s="91" t="s">
        <v>587</v>
      </c>
      <c r="AD1" s="847">
        <v>137</v>
      </c>
    </row>
    <row r="2" spans="1:30" ht="12.75" customHeight="1" x14ac:dyDescent="0.3">
      <c r="A2" s="1431"/>
      <c r="B2" s="1490" t="s">
        <v>573</v>
      </c>
      <c r="C2" s="1490"/>
      <c r="D2" s="1490"/>
      <c r="E2" s="1490"/>
      <c r="F2" s="1490"/>
      <c r="G2" s="1490"/>
      <c r="H2" s="1490"/>
      <c r="I2" s="721"/>
      <c r="J2" s="721"/>
      <c r="K2" s="1433"/>
      <c r="L2" s="705"/>
      <c r="M2" s="705"/>
      <c r="N2" s="705"/>
    </row>
    <row r="3" spans="1:30" ht="12.75" customHeight="1" x14ac:dyDescent="0.3">
      <c r="A3" s="1431"/>
      <c r="B3" s="1431"/>
      <c r="C3" s="1431"/>
      <c r="D3" s="1431"/>
      <c r="E3" s="1431"/>
      <c r="F3" s="1431"/>
      <c r="G3" s="1431"/>
      <c r="H3" s="1431"/>
      <c r="I3" s="720"/>
      <c r="J3" s="720"/>
      <c r="K3" s="1434"/>
      <c r="L3" s="705"/>
      <c r="M3" s="705"/>
      <c r="N3" s="705"/>
    </row>
    <row r="4" spans="1:30" ht="57" customHeight="1" x14ac:dyDescent="0.3">
      <c r="A4" s="703" t="s">
        <v>1</v>
      </c>
      <c r="B4" s="703" t="s">
        <v>253</v>
      </c>
      <c r="C4" s="704" t="s">
        <v>329</v>
      </c>
      <c r="D4" s="704" t="s">
        <v>567</v>
      </c>
      <c r="E4" s="719" t="s">
        <v>565</v>
      </c>
      <c r="F4" s="718" t="s">
        <v>255</v>
      </c>
      <c r="G4" s="717" t="s">
        <v>256</v>
      </c>
      <c r="H4" s="716" t="s">
        <v>334</v>
      </c>
      <c r="I4" s="91" t="s">
        <v>258</v>
      </c>
      <c r="J4" s="91" t="s">
        <v>259</v>
      </c>
      <c r="K4" s="91" t="s">
        <v>260</v>
      </c>
      <c r="L4" s="91" t="s">
        <v>261</v>
      </c>
      <c r="M4" s="705"/>
      <c r="N4" s="705"/>
    </row>
    <row r="5" spans="1:30" x14ac:dyDescent="0.25">
      <c r="B5" s="702" t="s">
        <v>56</v>
      </c>
      <c r="C5" s="710" t="s">
        <v>14</v>
      </c>
      <c r="D5" s="745">
        <v>125</v>
      </c>
      <c r="E5" s="701">
        <f t="shared" ref="E5:E19" si="0">$G$1</f>
        <v>0.67666666666666664</v>
      </c>
      <c r="F5" s="700">
        <v>1</v>
      </c>
      <c r="G5" s="744">
        <f t="shared" ref="G5:G19" si="1">D5*E5</f>
        <v>84.583333333333329</v>
      </c>
      <c r="H5" s="749">
        <f t="shared" ref="H5:H19" si="2">G5*F5</f>
        <v>84.583333333333329</v>
      </c>
      <c r="I5" s="81">
        <f>VLOOKUP(B5,All_Ingredients!$A$1:$F$151,6,FALSE())</f>
        <v>0.87</v>
      </c>
      <c r="J5" s="119">
        <f>VLOOKUP(B5,All_Ingredients!$A$1:$J$151,10,FALSE())</f>
        <v>7</v>
      </c>
      <c r="K5" s="122">
        <f t="shared" ref="K5" si="3">(H5/I5)/1000</f>
        <v>9.722222222222221E-2</v>
      </c>
      <c r="L5" s="122">
        <f t="shared" ref="L5" si="4">K5*J5</f>
        <v>0.68055555555555547</v>
      </c>
    </row>
    <row r="6" spans="1:30" x14ac:dyDescent="0.25">
      <c r="B6" s="702" t="s">
        <v>792</v>
      </c>
      <c r="C6" s="710" t="s">
        <v>14</v>
      </c>
      <c r="D6" s="745">
        <v>250</v>
      </c>
      <c r="E6" s="701">
        <f t="shared" si="0"/>
        <v>0.67666666666666664</v>
      </c>
      <c r="F6" s="700">
        <v>1</v>
      </c>
      <c r="G6" s="744">
        <f t="shared" si="1"/>
        <v>169.16666666666666</v>
      </c>
      <c r="H6" s="699">
        <f t="shared" si="2"/>
        <v>169.16666666666666</v>
      </c>
      <c r="I6" s="81">
        <f>VLOOKUP(B6,All_Ingredients!$A$1:$F$151,6,FALSE())</f>
        <v>1</v>
      </c>
      <c r="J6" s="119">
        <f>VLOOKUP(B6,All_Ingredients!$A$1:$J$151,10,FALSE())</f>
        <v>10.5</v>
      </c>
      <c r="K6" s="122">
        <f t="shared" ref="K6:K19" si="5">(H6/I6)/1000</f>
        <v>0.16916666666666666</v>
      </c>
      <c r="L6" s="122">
        <f t="shared" ref="L6:L19" si="6">K6*J6</f>
        <v>1.7762499999999999</v>
      </c>
    </row>
    <row r="7" spans="1:30" x14ac:dyDescent="0.25">
      <c r="B7" s="702" t="s">
        <v>199</v>
      </c>
      <c r="C7" s="710" t="s">
        <v>14</v>
      </c>
      <c r="D7" s="745">
        <v>250</v>
      </c>
      <c r="E7" s="701">
        <f t="shared" si="0"/>
        <v>0.67666666666666664</v>
      </c>
      <c r="F7" s="700">
        <v>1</v>
      </c>
      <c r="G7" s="744">
        <f t="shared" si="1"/>
        <v>169.16666666666666</v>
      </c>
      <c r="H7" s="699">
        <f t="shared" si="2"/>
        <v>169.16666666666666</v>
      </c>
      <c r="I7" s="81">
        <f>VLOOKUP(B7,All_Ingredients!$A$1:$F$151,6,FALSE())</f>
        <v>1</v>
      </c>
      <c r="J7" s="119">
        <f>VLOOKUP(B7,All_Ingredients!$A$1:$J$151,10,FALSE())</f>
        <v>37.001287001286997</v>
      </c>
      <c r="K7" s="122">
        <f t="shared" si="5"/>
        <v>0.16916666666666666</v>
      </c>
      <c r="L7" s="122">
        <f t="shared" si="6"/>
        <v>6.2593843843843837</v>
      </c>
    </row>
    <row r="8" spans="1:30" x14ac:dyDescent="0.25">
      <c r="B8" s="702" t="s">
        <v>19</v>
      </c>
      <c r="C8" s="710" t="s">
        <v>14</v>
      </c>
      <c r="D8" s="745">
        <v>500</v>
      </c>
      <c r="E8" s="748">
        <f t="shared" si="0"/>
        <v>0.67666666666666664</v>
      </c>
      <c r="F8" s="715">
        <v>1</v>
      </c>
      <c r="G8" s="747">
        <f t="shared" si="1"/>
        <v>338.33333333333331</v>
      </c>
      <c r="H8" s="746">
        <f t="shared" si="2"/>
        <v>338.33333333333331</v>
      </c>
      <c r="I8" s="81">
        <f>VLOOKUP(B8,All_Ingredients!$A$1:$F$151,6,FALSE())</f>
        <v>0.84</v>
      </c>
      <c r="J8" s="119">
        <f>VLOOKUP(B8,All_Ingredients!$A$1:$J$151,10,FALSE())</f>
        <v>2.6</v>
      </c>
      <c r="K8" s="122">
        <f t="shared" si="5"/>
        <v>0.40277777777777779</v>
      </c>
      <c r="L8" s="122">
        <f t="shared" si="6"/>
        <v>1.0472222222222223</v>
      </c>
    </row>
    <row r="9" spans="1:30" x14ac:dyDescent="0.25">
      <c r="B9" s="702" t="s">
        <v>572</v>
      </c>
      <c r="C9" s="710" t="s">
        <v>14</v>
      </c>
      <c r="D9" s="745">
        <v>250</v>
      </c>
      <c r="E9" s="748">
        <f t="shared" si="0"/>
        <v>0.67666666666666664</v>
      </c>
      <c r="F9" s="715">
        <v>1</v>
      </c>
      <c r="G9" s="747">
        <f t="shared" si="1"/>
        <v>169.16666666666666</v>
      </c>
      <c r="H9" s="746">
        <f t="shared" si="2"/>
        <v>169.16666666666666</v>
      </c>
      <c r="I9" s="81">
        <f>VLOOKUP(B9,All_Ingredients!$A$1:$F$151,6,FALSE())</f>
        <v>0.56999999999999995</v>
      </c>
      <c r="J9" s="119">
        <f>VLOOKUP(B9,All_Ingredients!$A$1:$J$151,10,FALSE())</f>
        <v>5</v>
      </c>
      <c r="K9" s="122">
        <f t="shared" si="5"/>
        <v>0.29678362573099415</v>
      </c>
      <c r="L9" s="122">
        <f t="shared" si="6"/>
        <v>1.4839181286549707</v>
      </c>
    </row>
    <row r="10" spans="1:30" x14ac:dyDescent="0.25">
      <c r="B10" s="702" t="s">
        <v>102</v>
      </c>
      <c r="C10" s="710" t="s">
        <v>14</v>
      </c>
      <c r="D10" s="745">
        <v>10</v>
      </c>
      <c r="E10" s="748">
        <f t="shared" si="0"/>
        <v>0.67666666666666664</v>
      </c>
      <c r="F10" s="715">
        <v>1</v>
      </c>
      <c r="G10" s="747">
        <f t="shared" si="1"/>
        <v>6.7666666666666666</v>
      </c>
      <c r="H10" s="746">
        <f t="shared" si="2"/>
        <v>6.7666666666666666</v>
      </c>
      <c r="I10" s="81">
        <f>VLOOKUP(B10,All_Ingredients!$A$1:$F$151,6,FALSE())</f>
        <v>1</v>
      </c>
      <c r="J10" s="119">
        <f>VLOOKUP(B10,All_Ingredients!$A$1:$J$151,10,FALSE())</f>
        <v>31</v>
      </c>
      <c r="K10" s="122">
        <f t="shared" si="5"/>
        <v>6.7666666666666665E-3</v>
      </c>
      <c r="L10" s="122">
        <f t="shared" si="6"/>
        <v>0.20976666666666666</v>
      </c>
    </row>
    <row r="11" spans="1:30" ht="13.5" customHeight="1" x14ac:dyDescent="0.25">
      <c r="B11" s="702" t="s">
        <v>28</v>
      </c>
      <c r="C11" s="710" t="s">
        <v>14</v>
      </c>
      <c r="D11" s="745">
        <v>250</v>
      </c>
      <c r="E11" s="748">
        <f t="shared" si="0"/>
        <v>0.67666666666666664</v>
      </c>
      <c r="F11" s="715">
        <v>1</v>
      </c>
      <c r="G11" s="747">
        <f t="shared" si="1"/>
        <v>169.16666666666666</v>
      </c>
      <c r="H11" s="746">
        <f t="shared" si="2"/>
        <v>169.16666666666666</v>
      </c>
      <c r="I11" s="81">
        <f>VLOOKUP(B11,All_Ingredients!$A$1:$F$151,6,FALSE())</f>
        <v>0.56999999999999995</v>
      </c>
      <c r="J11" s="119">
        <f>VLOOKUP(B11,All_Ingredients!$A$1:$J$151,10,FALSE())</f>
        <v>8.5</v>
      </c>
      <c r="K11" s="122">
        <f t="shared" si="5"/>
        <v>0.29678362573099415</v>
      </c>
      <c r="L11" s="122">
        <f t="shared" si="6"/>
        <v>2.52266081871345</v>
      </c>
    </row>
    <row r="12" spans="1:30" ht="13.5" customHeight="1" x14ac:dyDescent="0.25">
      <c r="B12" s="702" t="s">
        <v>30</v>
      </c>
      <c r="C12" s="710" t="s">
        <v>14</v>
      </c>
      <c r="D12" s="745">
        <v>250</v>
      </c>
      <c r="E12" s="748">
        <f t="shared" si="0"/>
        <v>0.67666666666666664</v>
      </c>
      <c r="F12" s="715">
        <v>1</v>
      </c>
      <c r="G12" s="747">
        <f t="shared" si="1"/>
        <v>169.16666666666666</v>
      </c>
      <c r="H12" s="746">
        <f t="shared" si="2"/>
        <v>169.16666666666666</v>
      </c>
      <c r="I12" s="81">
        <f>VLOOKUP(B12,All_Ingredients!$A$1:$F$151,6,FALSE())</f>
        <v>0.56999999999999995</v>
      </c>
      <c r="J12" s="119">
        <f>VLOOKUP(B12,All_Ingredients!$A$1:$J$151,10,FALSE())</f>
        <v>8.5</v>
      </c>
      <c r="K12" s="122">
        <f t="shared" si="5"/>
        <v>0.29678362573099415</v>
      </c>
      <c r="L12" s="122">
        <f t="shared" si="6"/>
        <v>2.52266081871345</v>
      </c>
    </row>
    <row r="13" spans="1:30" ht="13.5" customHeight="1" x14ac:dyDescent="0.25">
      <c r="B13" s="702" t="s">
        <v>32</v>
      </c>
      <c r="C13" s="710" t="s">
        <v>14</v>
      </c>
      <c r="D13" s="745">
        <v>250</v>
      </c>
      <c r="E13" s="748">
        <f t="shared" si="0"/>
        <v>0.67666666666666664</v>
      </c>
      <c r="F13" s="715">
        <v>1</v>
      </c>
      <c r="G13" s="747">
        <f t="shared" si="1"/>
        <v>169.16666666666666</v>
      </c>
      <c r="H13" s="746">
        <f t="shared" si="2"/>
        <v>169.16666666666666</v>
      </c>
      <c r="I13" s="81">
        <f>VLOOKUP(B13,All_Ingredients!$A$1:$F$151,6,FALSE())</f>
        <v>0.96</v>
      </c>
      <c r="J13" s="119">
        <f>VLOOKUP(B13,All_Ingredients!$A$1:$J$151,10,FALSE())</f>
        <v>4</v>
      </c>
      <c r="K13" s="122">
        <f t="shared" si="5"/>
        <v>0.17621527777777776</v>
      </c>
      <c r="L13" s="122">
        <f t="shared" si="6"/>
        <v>0.70486111111111105</v>
      </c>
    </row>
    <row r="14" spans="1:30" ht="13.5" customHeight="1" x14ac:dyDescent="0.25">
      <c r="B14" s="702" t="s">
        <v>184</v>
      </c>
      <c r="C14" s="710" t="s">
        <v>14</v>
      </c>
      <c r="D14" s="745">
        <v>250</v>
      </c>
      <c r="E14" s="748">
        <f t="shared" si="0"/>
        <v>0.67666666666666664</v>
      </c>
      <c r="F14" s="715">
        <v>1</v>
      </c>
      <c r="G14" s="747">
        <f t="shared" si="1"/>
        <v>169.16666666666666</v>
      </c>
      <c r="H14" s="746">
        <f t="shared" si="2"/>
        <v>169.16666666666666</v>
      </c>
      <c r="I14" s="81">
        <f>VLOOKUP(B14,All_Ingredients!$A$1:$F$151,6,FALSE())</f>
        <v>1</v>
      </c>
      <c r="J14" s="119">
        <f>VLOOKUP(B14,All_Ingredients!$A$1:$J$151,10,FALSE())</f>
        <v>40</v>
      </c>
      <c r="K14" s="122">
        <f t="shared" si="5"/>
        <v>0.16916666666666666</v>
      </c>
      <c r="L14" s="122">
        <f t="shared" si="6"/>
        <v>6.7666666666666666</v>
      </c>
      <c r="N14" s="1437"/>
      <c r="O14" s="1437"/>
    </row>
    <row r="15" spans="1:30" ht="14.25" customHeight="1" x14ac:dyDescent="0.25">
      <c r="B15" s="702" t="s">
        <v>198</v>
      </c>
      <c r="C15" s="710" t="s">
        <v>165</v>
      </c>
      <c r="D15" s="745">
        <v>100</v>
      </c>
      <c r="E15" s="748">
        <f t="shared" si="0"/>
        <v>0.67666666666666664</v>
      </c>
      <c r="F15" s="715">
        <v>1</v>
      </c>
      <c r="G15" s="747">
        <f t="shared" si="1"/>
        <v>67.666666666666657</v>
      </c>
      <c r="H15" s="746">
        <f t="shared" si="2"/>
        <v>67.666666666666657</v>
      </c>
      <c r="I15" s="81">
        <f>VLOOKUP(B15,All_Ingredients!$A$1:$F$151,6,FALSE())</f>
        <v>1</v>
      </c>
      <c r="J15" s="119">
        <f>VLOOKUP(B15,All_Ingredients!$A$1:$J$151,10,FALSE())</f>
        <v>58.685446009389672</v>
      </c>
      <c r="K15" s="122">
        <f t="shared" si="5"/>
        <v>6.7666666666666653E-2</v>
      </c>
      <c r="L15" s="122">
        <f t="shared" si="6"/>
        <v>3.9710485133020335</v>
      </c>
    </row>
    <row r="16" spans="1:30" ht="14.25" customHeight="1" x14ac:dyDescent="0.25">
      <c r="B16" s="702" t="s">
        <v>571</v>
      </c>
      <c r="C16" s="710" t="s">
        <v>14</v>
      </c>
      <c r="D16" s="745">
        <v>100</v>
      </c>
      <c r="E16" s="748">
        <f t="shared" si="0"/>
        <v>0.67666666666666664</v>
      </c>
      <c r="F16" s="715">
        <v>1</v>
      </c>
      <c r="G16" s="747">
        <f t="shared" si="1"/>
        <v>67.666666666666657</v>
      </c>
      <c r="H16" s="746">
        <f t="shared" si="2"/>
        <v>67.666666666666657</v>
      </c>
      <c r="I16" s="81">
        <f>VLOOKUP(B16,All_Ingredients!$A$1:$F$151,6,FALSE())</f>
        <v>1</v>
      </c>
      <c r="J16" s="119">
        <f>VLOOKUP(B16,All_Ingredients!$A$1:$J$151,10,FALSE())</f>
        <v>0</v>
      </c>
      <c r="K16" s="122">
        <f t="shared" si="5"/>
        <v>6.7666666666666653E-2</v>
      </c>
      <c r="L16" s="122">
        <f t="shared" si="6"/>
        <v>0</v>
      </c>
    </row>
    <row r="17" spans="2:29" ht="14.5" x14ac:dyDescent="0.35">
      <c r="B17" s="702" t="s">
        <v>204</v>
      </c>
      <c r="C17" s="1010" t="s">
        <v>165</v>
      </c>
      <c r="D17" s="745">
        <v>100</v>
      </c>
      <c r="E17" s="701">
        <f t="shared" si="0"/>
        <v>0.67666666666666664</v>
      </c>
      <c r="F17" s="700">
        <v>1</v>
      </c>
      <c r="G17" s="744">
        <f t="shared" si="1"/>
        <v>67.666666666666657</v>
      </c>
      <c r="H17" s="699">
        <f t="shared" si="2"/>
        <v>67.666666666666657</v>
      </c>
      <c r="I17" s="81">
        <f>VLOOKUP(B17,All_Ingredients!$A$1:$F$151,6,FALSE())</f>
        <v>1</v>
      </c>
      <c r="J17" s="119">
        <f>VLOOKUP(B17,All_Ingredients!$A$1:$J$151,10,FALSE())</f>
        <v>3.25</v>
      </c>
      <c r="K17" s="122">
        <f t="shared" si="5"/>
        <v>6.7666666666666653E-2</v>
      </c>
      <c r="L17" s="122">
        <f t="shared" si="6"/>
        <v>0.21991666666666662</v>
      </c>
    </row>
    <row r="18" spans="2:29" ht="25" x14ac:dyDescent="0.25">
      <c r="B18" s="702" t="s">
        <v>815</v>
      </c>
      <c r="C18" s="710" t="s">
        <v>14</v>
      </c>
      <c r="D18" s="745">
        <v>15</v>
      </c>
      <c r="E18" s="701">
        <f t="shared" si="0"/>
        <v>0.67666666666666664</v>
      </c>
      <c r="F18" s="700">
        <v>1</v>
      </c>
      <c r="G18" s="744">
        <f t="shared" si="1"/>
        <v>10.15</v>
      </c>
      <c r="H18" s="699">
        <f t="shared" si="2"/>
        <v>10.15</v>
      </c>
      <c r="I18" s="81">
        <f>VLOOKUP(B18,All_Ingredients!$A$1:$F$151,6,FALSE())</f>
        <v>1</v>
      </c>
      <c r="J18" s="119">
        <f>VLOOKUP(B18,All_Ingredients!$A$1:$J$151,10,FALSE())</f>
        <v>22.5</v>
      </c>
      <c r="K18" s="122">
        <f t="shared" si="5"/>
        <v>1.0150000000000001E-2</v>
      </c>
      <c r="L18" s="122">
        <f t="shared" si="6"/>
        <v>0.22837500000000002</v>
      </c>
    </row>
    <row r="19" spans="2:29" x14ac:dyDescent="0.25">
      <c r="B19" s="702" t="s">
        <v>515</v>
      </c>
      <c r="C19" s="710" t="s">
        <v>14</v>
      </c>
      <c r="D19" s="745">
        <v>125</v>
      </c>
      <c r="E19" s="701">
        <f t="shared" si="0"/>
        <v>0.67666666666666664</v>
      </c>
      <c r="F19" s="700">
        <v>1</v>
      </c>
      <c r="G19" s="744">
        <f t="shared" si="1"/>
        <v>84.583333333333329</v>
      </c>
      <c r="H19" s="699">
        <f t="shared" si="2"/>
        <v>84.583333333333329</v>
      </c>
      <c r="I19" s="81">
        <f>VLOOKUP(B19,All_Ingredients!$A$1:$F$151,6,FALSE())</f>
        <v>1</v>
      </c>
      <c r="J19" s="119">
        <f>VLOOKUP(B19,All_Ingredients!$A$1:$J$151,10,FALSE())</f>
        <v>16.666666666666668</v>
      </c>
      <c r="K19" s="122">
        <f t="shared" si="5"/>
        <v>8.458333333333333E-2</v>
      </c>
      <c r="L19" s="122">
        <f t="shared" si="6"/>
        <v>1.4097222222222223</v>
      </c>
      <c r="R19" s="698" t="s">
        <v>570</v>
      </c>
    </row>
    <row r="20" spans="2:29" ht="16.5" customHeight="1" x14ac:dyDescent="0.3">
      <c r="L20" s="706" t="s">
        <v>566</v>
      </c>
    </row>
    <row r="21" spans="2:29" ht="13.5" customHeight="1" x14ac:dyDescent="0.3">
      <c r="N21" s="1437"/>
      <c r="O21" s="1437"/>
    </row>
    <row r="25" spans="2:29" ht="14" x14ac:dyDescent="0.3">
      <c r="R25" s="1491" t="s">
        <v>573</v>
      </c>
      <c r="S25" s="1491"/>
      <c r="T25" s="1491"/>
      <c r="Z25" s="141" t="s">
        <v>14</v>
      </c>
      <c r="AA25" s="1330">
        <f>T29</f>
        <v>3.3833333333333333</v>
      </c>
      <c r="AB25" s="141" t="s">
        <v>261</v>
      </c>
      <c r="AC25" s="143">
        <f>(T30/T29)*AA25</f>
        <v>29.803008774879402</v>
      </c>
    </row>
    <row r="26" spans="2:29" ht="14" x14ac:dyDescent="0.3">
      <c r="R26" s="714" t="s">
        <v>266</v>
      </c>
      <c r="S26" s="714" t="s">
        <v>548</v>
      </c>
      <c r="T26" s="714" t="s">
        <v>574</v>
      </c>
    </row>
    <row r="27" spans="2:29" ht="14" x14ac:dyDescent="0.3">
      <c r="R27" s="714" t="s">
        <v>549</v>
      </c>
      <c r="S27" s="1208">
        <f>Z1</f>
        <v>19800</v>
      </c>
      <c r="T27" s="1209">
        <f>S29/30000</f>
        <v>0.67666666666666664</v>
      </c>
    </row>
    <row r="28" spans="2:29" ht="14" x14ac:dyDescent="0.3">
      <c r="O28" s="730"/>
      <c r="P28" s="730"/>
      <c r="Q28" s="730"/>
      <c r="R28" s="714"/>
      <c r="S28" s="1210">
        <f>AB1</f>
        <v>500</v>
      </c>
      <c r="T28" s="993"/>
      <c r="U28" s="730"/>
    </row>
    <row r="29" spans="2:29" ht="14.5" thickBot="1" x14ac:dyDescent="0.35">
      <c r="O29" s="730"/>
      <c r="P29" s="730"/>
      <c r="Q29" s="730"/>
      <c r="R29" s="714"/>
      <c r="S29" s="991">
        <f>S27+S28</f>
        <v>20300</v>
      </c>
      <c r="T29" s="1209">
        <f>5*T27</f>
        <v>3.3833333333333333</v>
      </c>
      <c r="U29" s="730"/>
    </row>
    <row r="30" spans="2:29" ht="13.5" thickBot="1" x14ac:dyDescent="0.35">
      <c r="O30" s="730"/>
      <c r="P30" s="730"/>
      <c r="Q30" s="730"/>
      <c r="R30" s="163" t="s">
        <v>261</v>
      </c>
      <c r="S30" s="1144">
        <f>SUM(L5:L19)</f>
        <v>29.803008774879398</v>
      </c>
      <c r="T30" s="1240">
        <f>SUM(L5:L19)</f>
        <v>29.803008774879398</v>
      </c>
      <c r="U30" s="730"/>
    </row>
    <row r="31" spans="2:29" ht="14.5" x14ac:dyDescent="0.35">
      <c r="O31" s="820"/>
      <c r="P31" s="741"/>
      <c r="Q31" s="741"/>
      <c r="R31" s="741"/>
      <c r="S31" s="730"/>
      <c r="T31" s="741"/>
      <c r="U31" s="730"/>
    </row>
    <row r="32" spans="2:29" ht="14" x14ac:dyDescent="0.3">
      <c r="O32" s="741"/>
      <c r="P32" s="741"/>
      <c r="Q32" s="741"/>
      <c r="R32" s="741"/>
      <c r="S32" s="741"/>
      <c r="T32" s="730"/>
      <c r="U32" s="730"/>
    </row>
    <row r="33" spans="2:21" ht="14.5" x14ac:dyDescent="0.35">
      <c r="O33" s="820"/>
      <c r="P33" s="821"/>
      <c r="Q33" s="821"/>
      <c r="R33" s="741"/>
      <c r="S33" s="741"/>
      <c r="T33" s="730"/>
      <c r="U33" s="730"/>
    </row>
    <row r="34" spans="2:21" ht="14.5" x14ac:dyDescent="0.35">
      <c r="O34" s="820"/>
      <c r="P34" s="821"/>
      <c r="Q34" s="821"/>
      <c r="R34" s="741"/>
      <c r="S34" s="741"/>
      <c r="T34" s="730"/>
      <c r="U34" s="730"/>
    </row>
    <row r="35" spans="2:21" ht="14.5" x14ac:dyDescent="0.35">
      <c r="O35" s="820"/>
      <c r="P35" s="821"/>
      <c r="Q35" s="821"/>
      <c r="R35" s="741"/>
      <c r="S35" s="741"/>
      <c r="T35" s="730"/>
      <c r="U35" s="730"/>
    </row>
    <row r="36" spans="2:21" ht="14.5" x14ac:dyDescent="0.35">
      <c r="O36" s="820"/>
      <c r="P36" s="821"/>
      <c r="Q36" s="821"/>
      <c r="R36" s="741"/>
      <c r="S36" s="741"/>
      <c r="T36" s="730"/>
      <c r="U36" s="730"/>
    </row>
    <row r="37" spans="2:21" ht="14.5" x14ac:dyDescent="0.35">
      <c r="O37" s="820"/>
      <c r="P37" s="821"/>
      <c r="Q37" s="821"/>
      <c r="R37" s="741"/>
      <c r="S37" s="741"/>
      <c r="T37" s="730"/>
      <c r="U37" s="730"/>
    </row>
    <row r="38" spans="2:21" ht="14.5" x14ac:dyDescent="0.35">
      <c r="O38" s="820"/>
      <c r="P38" s="821"/>
      <c r="Q38" s="821"/>
      <c r="R38" s="741"/>
      <c r="S38" s="741"/>
      <c r="T38" s="730"/>
      <c r="U38" s="730"/>
    </row>
    <row r="39" spans="2:21" ht="18" x14ac:dyDescent="0.35">
      <c r="B39" s="737"/>
      <c r="C39" s="737"/>
      <c r="D39" s="737"/>
      <c r="E39" s="737"/>
      <c r="F39" s="737"/>
      <c r="G39" s="737"/>
      <c r="H39" s="737"/>
      <c r="O39" s="820"/>
      <c r="P39" s="821"/>
      <c r="Q39" s="821"/>
      <c r="R39" s="741"/>
      <c r="S39" s="741"/>
      <c r="T39" s="730"/>
      <c r="U39" s="730"/>
    </row>
    <row r="40" spans="2:21" ht="18" x14ac:dyDescent="0.35">
      <c r="B40" s="737"/>
      <c r="C40" s="737"/>
      <c r="D40" s="737"/>
      <c r="E40" s="737"/>
      <c r="F40" s="737"/>
      <c r="G40" s="737"/>
      <c r="H40" s="737"/>
      <c r="I40" s="737"/>
      <c r="O40" s="820"/>
      <c r="P40" s="821"/>
      <c r="Q40" s="821"/>
      <c r="R40" s="741"/>
      <c r="S40" s="741"/>
      <c r="T40" s="730"/>
      <c r="U40" s="730"/>
    </row>
    <row r="41" spans="2:21" ht="18" customHeight="1" x14ac:dyDescent="0.35">
      <c r="B41" s="739"/>
      <c r="C41" s="740"/>
      <c r="D41" s="739"/>
      <c r="E41" s="739"/>
      <c r="F41" s="736"/>
      <c r="G41" s="739"/>
      <c r="H41" s="738"/>
      <c r="I41" s="737"/>
      <c r="O41" s="820"/>
      <c r="P41" s="821"/>
      <c r="Q41" s="821"/>
      <c r="R41" s="741"/>
      <c r="S41" s="741"/>
      <c r="T41" s="730"/>
      <c r="U41" s="730"/>
    </row>
    <row r="42" spans="2:21" ht="28.25" customHeight="1" x14ac:dyDescent="0.35">
      <c r="B42" s="705"/>
      <c r="C42" s="705"/>
      <c r="D42" s="705"/>
      <c r="E42" s="743"/>
      <c r="F42" s="743"/>
      <c r="G42" s="733"/>
      <c r="H42" s="742"/>
      <c r="I42" s="736"/>
      <c r="O42" s="820"/>
      <c r="P42" s="821"/>
      <c r="Q42" s="821"/>
      <c r="R42" s="741"/>
      <c r="S42" s="741"/>
      <c r="T42" s="730"/>
      <c r="U42" s="730"/>
    </row>
    <row r="43" spans="2:21" ht="14.5" x14ac:dyDescent="0.35">
      <c r="B43" s="705"/>
      <c r="C43" s="705"/>
      <c r="D43" s="705"/>
      <c r="E43" s="743"/>
      <c r="F43" s="743"/>
      <c r="G43" s="733"/>
      <c r="H43" s="742"/>
      <c r="I43" s="731"/>
      <c r="O43" s="820"/>
      <c r="P43" s="821"/>
      <c r="Q43" s="821"/>
      <c r="R43" s="741"/>
      <c r="S43" s="741"/>
      <c r="T43" s="730"/>
      <c r="U43" s="730"/>
    </row>
    <row r="44" spans="2:21" ht="14.5" x14ac:dyDescent="0.35">
      <c r="B44" s="705"/>
      <c r="C44" s="705"/>
      <c r="D44" s="705"/>
      <c r="E44" s="743"/>
      <c r="F44" s="743"/>
      <c r="G44" s="733"/>
      <c r="H44" s="742"/>
      <c r="I44" s="731"/>
      <c r="O44" s="820"/>
      <c r="P44" s="821"/>
      <c r="Q44" s="821"/>
      <c r="R44" s="741"/>
      <c r="S44" s="741"/>
      <c r="T44" s="730"/>
      <c r="U44" s="730"/>
    </row>
    <row r="45" spans="2:21" ht="14.5" x14ac:dyDescent="0.35">
      <c r="B45" s="705"/>
      <c r="C45" s="705"/>
      <c r="D45" s="705"/>
      <c r="E45" s="743"/>
      <c r="F45" s="743"/>
      <c r="G45" s="733"/>
      <c r="H45" s="742"/>
      <c r="I45" s="731"/>
      <c r="O45" s="820"/>
      <c r="P45" s="821"/>
      <c r="Q45" s="821"/>
      <c r="R45" s="741"/>
      <c r="S45" s="741"/>
      <c r="T45" s="730"/>
      <c r="U45" s="730"/>
    </row>
    <row r="46" spans="2:21" ht="14.5" x14ac:dyDescent="0.35">
      <c r="B46" s="705"/>
      <c r="C46" s="705"/>
      <c r="D46" s="705"/>
      <c r="E46" s="743"/>
      <c r="F46" s="743"/>
      <c r="G46" s="733"/>
      <c r="H46" s="742"/>
      <c r="I46" s="731"/>
      <c r="O46" s="820"/>
      <c r="P46" s="821"/>
      <c r="Q46" s="821"/>
      <c r="R46" s="741"/>
      <c r="S46" s="741"/>
      <c r="T46" s="730"/>
      <c r="U46" s="730"/>
    </row>
    <row r="47" spans="2:21" ht="14.5" x14ac:dyDescent="0.35">
      <c r="B47" s="705"/>
      <c r="C47" s="705"/>
      <c r="D47" s="705"/>
      <c r="E47" s="743"/>
      <c r="F47" s="743"/>
      <c r="G47" s="733"/>
      <c r="H47" s="742"/>
      <c r="I47" s="731"/>
      <c r="O47" s="820"/>
      <c r="P47" s="821"/>
      <c r="Q47" s="821"/>
      <c r="R47" s="741"/>
      <c r="S47" s="741"/>
      <c r="T47" s="730"/>
      <c r="U47" s="730"/>
    </row>
    <row r="48" spans="2:21" ht="14.5" x14ac:dyDescent="0.35">
      <c r="I48" s="731"/>
      <c r="O48" s="820"/>
      <c r="P48" s="821"/>
      <c r="Q48" s="821"/>
      <c r="R48" s="741"/>
      <c r="S48" s="741"/>
      <c r="T48" s="730"/>
      <c r="U48" s="730"/>
    </row>
    <row r="49" spans="2:21" ht="14.5" x14ac:dyDescent="0.35">
      <c r="O49" s="820"/>
      <c r="P49" s="821"/>
      <c r="Q49" s="821"/>
      <c r="R49" s="741"/>
      <c r="S49" s="741"/>
      <c r="T49" s="730"/>
      <c r="U49" s="730"/>
    </row>
    <row r="50" spans="2:21" ht="13" x14ac:dyDescent="0.3">
      <c r="O50" s="730"/>
      <c r="P50" s="730"/>
      <c r="Q50" s="730"/>
      <c r="R50" s="730"/>
      <c r="S50" s="730"/>
      <c r="T50" s="730"/>
      <c r="U50" s="730"/>
    </row>
    <row r="53" spans="2:21" ht="18" x14ac:dyDescent="0.3">
      <c r="B53" s="737"/>
      <c r="C53" s="737"/>
      <c r="D53" s="927">
        <f>(C53*$K$1)*$C$1</f>
        <v>0</v>
      </c>
      <c r="E53" s="737"/>
      <c r="F53" s="737"/>
      <c r="G53" s="737"/>
      <c r="H53" s="737"/>
    </row>
    <row r="54" spans="2:21" ht="18" x14ac:dyDescent="0.3">
      <c r="B54" s="737"/>
      <c r="C54" s="737"/>
      <c r="D54" s="927">
        <f>(C54*$K$1)*$C$1</f>
        <v>0</v>
      </c>
      <c r="E54" s="737"/>
      <c r="F54" s="737"/>
      <c r="G54" s="737"/>
      <c r="H54" s="737"/>
      <c r="I54" s="737"/>
    </row>
    <row r="55" spans="2:21" ht="18" customHeight="1" x14ac:dyDescent="0.3">
      <c r="B55" s="739"/>
      <c r="C55" s="740"/>
      <c r="D55" s="928">
        <f>(C55*$K$1)*$C$1</f>
        <v>0</v>
      </c>
      <c r="E55" s="739"/>
      <c r="F55" s="736"/>
      <c r="G55" s="739"/>
      <c r="H55" s="738"/>
      <c r="I55" s="737"/>
    </row>
    <row r="56" spans="2:21" ht="13" x14ac:dyDescent="0.3">
      <c r="B56" s="705"/>
      <c r="C56" s="705"/>
      <c r="D56" s="705"/>
      <c r="E56" s="735"/>
      <c r="F56" s="734"/>
      <c r="G56" s="733"/>
      <c r="H56" s="732"/>
      <c r="I56" s="736"/>
    </row>
    <row r="57" spans="2:21" x14ac:dyDescent="0.3">
      <c r="B57" s="705"/>
      <c r="C57" s="705"/>
      <c r="D57" s="705"/>
      <c r="E57" s="735"/>
      <c r="F57" s="734"/>
      <c r="G57" s="733"/>
      <c r="H57" s="732"/>
      <c r="I57" s="731"/>
    </row>
    <row r="58" spans="2:21" x14ac:dyDescent="0.3">
      <c r="B58" s="705"/>
      <c r="C58" s="705"/>
      <c r="D58" s="705"/>
      <c r="E58" s="735"/>
      <c r="F58" s="734"/>
      <c r="G58" s="733"/>
      <c r="H58" s="732"/>
      <c r="I58" s="731"/>
    </row>
    <row r="59" spans="2:21" x14ac:dyDescent="0.3">
      <c r="B59" s="705"/>
      <c r="C59" s="705"/>
      <c r="D59" s="705"/>
      <c r="E59" s="735"/>
      <c r="F59" s="734"/>
      <c r="G59" s="733"/>
      <c r="H59" s="732"/>
      <c r="I59" s="731"/>
    </row>
    <row r="60" spans="2:21" x14ac:dyDescent="0.3">
      <c r="B60" s="705"/>
      <c r="C60" s="705"/>
      <c r="D60" s="705"/>
      <c r="E60" s="735"/>
      <c r="F60" s="734"/>
      <c r="G60" s="733"/>
      <c r="H60" s="732"/>
      <c r="I60" s="731"/>
    </row>
    <row r="61" spans="2:21" x14ac:dyDescent="0.3">
      <c r="B61" s="705"/>
      <c r="C61" s="705"/>
      <c r="D61" s="705"/>
      <c r="E61" s="735"/>
      <c r="F61" s="734"/>
      <c r="G61" s="733"/>
      <c r="H61" s="732"/>
      <c r="I61" s="731"/>
    </row>
    <row r="62" spans="2:21" x14ac:dyDescent="0.3">
      <c r="I62" s="731"/>
    </row>
  </sheetData>
  <mergeCells count="6">
    <mergeCell ref="A2:A3"/>
    <mergeCell ref="B2:H3"/>
    <mergeCell ref="K2:K3"/>
    <mergeCell ref="N21:O21"/>
    <mergeCell ref="R25:T25"/>
    <mergeCell ref="N14:O14"/>
  </mergeCells>
  <printOptions horizontalCentered="1"/>
  <pageMargins left="0.4" right="0.4" top="1" bottom="0.5" header="0.3" footer="0.511811023622047"/>
  <pageSetup paperSize="9" scale="34" orientation="landscape"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DC69F-86D8-4817-8C2C-0DE5CE48B8CC}">
  <sheetPr codeName="Sheet63">
    <tabColor theme="5" tint="-0.249977111117893"/>
    <pageSetUpPr fitToPage="1"/>
  </sheetPr>
  <dimension ref="A1:AD61"/>
  <sheetViews>
    <sheetView topLeftCell="J1" zoomScale="85" zoomScaleNormal="85" workbookViewId="0">
      <selection activeCell="W46" sqref="W46"/>
    </sheetView>
  </sheetViews>
  <sheetFormatPr defaultColWidth="12.5" defaultRowHeight="12.5" x14ac:dyDescent="0.3"/>
  <cols>
    <col min="1" max="1" width="8.08203125" style="698" customWidth="1"/>
    <col min="2" max="2" width="30.6640625" style="698" customWidth="1"/>
    <col min="3" max="3" width="24" style="698" customWidth="1"/>
    <col min="4" max="4" width="21.83203125" style="698" customWidth="1"/>
    <col min="5" max="5" width="16.1640625" style="698" customWidth="1"/>
    <col min="6" max="6" width="14.33203125" style="698" customWidth="1"/>
    <col min="7" max="7" width="15.4140625" style="698" customWidth="1"/>
    <col min="8" max="8" width="24.58203125" style="698" customWidth="1"/>
    <col min="9" max="9" width="14.6640625" style="698" customWidth="1"/>
    <col min="10" max="11" width="12.5" style="698"/>
    <col min="12" max="12" width="8.33203125" style="698" customWidth="1"/>
    <col min="13" max="17" width="2.83203125" style="698" customWidth="1"/>
    <col min="18" max="20" width="12.5" style="698"/>
    <col min="21" max="24" width="4.58203125" style="698" customWidth="1"/>
    <col min="25" max="16384" width="12.5" style="698"/>
  </cols>
  <sheetData>
    <row r="1" spans="1:30" ht="36" customHeight="1" x14ac:dyDescent="0.3">
      <c r="A1" s="730"/>
      <c r="B1" s="725" t="s">
        <v>569</v>
      </c>
      <c r="C1" s="729">
        <v>5</v>
      </c>
      <c r="D1" s="728" t="s">
        <v>244</v>
      </c>
      <c r="E1" s="727">
        <f>T29</f>
        <v>4.9283333333333337</v>
      </c>
      <c r="F1" s="725" t="s">
        <v>245</v>
      </c>
      <c r="G1" s="726">
        <f>E1/C1</f>
        <v>0.98566666666666669</v>
      </c>
      <c r="H1" s="725" t="s">
        <v>246</v>
      </c>
      <c r="I1" s="724">
        <f>G1/K1</f>
        <v>0.98566666666666669</v>
      </c>
      <c r="J1" s="723" t="s">
        <v>247</v>
      </c>
      <c r="K1" s="722">
        <v>1</v>
      </c>
      <c r="L1" s="705"/>
      <c r="M1" s="705"/>
      <c r="N1" s="705"/>
      <c r="Y1" s="91" t="s">
        <v>479</v>
      </c>
      <c r="Z1" s="847">
        <v>29070</v>
      </c>
      <c r="AA1" s="91" t="s">
        <v>600</v>
      </c>
      <c r="AB1" s="847">
        <v>500</v>
      </c>
      <c r="AC1" s="91" t="s">
        <v>587</v>
      </c>
      <c r="AD1" s="847">
        <v>192</v>
      </c>
    </row>
    <row r="2" spans="1:30" ht="12.75" customHeight="1" x14ac:dyDescent="0.3">
      <c r="A2" s="1431"/>
      <c r="B2" s="1432" t="s">
        <v>568</v>
      </c>
      <c r="C2" s="1432"/>
      <c r="D2" s="1432"/>
      <c r="E2" s="1432"/>
      <c r="F2" s="1432"/>
      <c r="G2" s="1432"/>
      <c r="H2" s="1432"/>
      <c r="I2" s="721"/>
      <c r="J2" s="721"/>
      <c r="K2" s="1433"/>
      <c r="L2" s="705"/>
      <c r="M2" s="705"/>
      <c r="N2" s="705"/>
    </row>
    <row r="3" spans="1:30" ht="12.75" customHeight="1" x14ac:dyDescent="0.3">
      <c r="A3" s="1431"/>
      <c r="B3" s="1431"/>
      <c r="C3" s="1431"/>
      <c r="D3" s="1431"/>
      <c r="E3" s="1431"/>
      <c r="F3" s="1431"/>
      <c r="G3" s="1431"/>
      <c r="H3" s="1431"/>
      <c r="I3" s="720"/>
      <c r="J3" s="720"/>
      <c r="K3" s="1434"/>
      <c r="L3" s="705"/>
      <c r="M3" s="705"/>
      <c r="N3" s="705"/>
    </row>
    <row r="4" spans="1:30" ht="57" customHeight="1" x14ac:dyDescent="0.3">
      <c r="A4" s="703" t="s">
        <v>1</v>
      </c>
      <c r="B4" s="703" t="s">
        <v>253</v>
      </c>
      <c r="C4" s="704" t="s">
        <v>329</v>
      </c>
      <c r="D4" s="704" t="s">
        <v>567</v>
      </c>
      <c r="E4" s="719" t="s">
        <v>565</v>
      </c>
      <c r="F4" s="718" t="s">
        <v>255</v>
      </c>
      <c r="G4" s="717" t="s">
        <v>256</v>
      </c>
      <c r="H4" s="716" t="s">
        <v>334</v>
      </c>
      <c r="I4" s="91" t="s">
        <v>258</v>
      </c>
      <c r="J4" s="91" t="s">
        <v>259</v>
      </c>
      <c r="K4" s="91" t="s">
        <v>260</v>
      </c>
      <c r="L4" s="91" t="s">
        <v>261</v>
      </c>
      <c r="M4" s="705"/>
      <c r="N4" s="705"/>
    </row>
    <row r="5" spans="1:30" ht="14" x14ac:dyDescent="0.25">
      <c r="A5" s="872"/>
      <c r="B5" s="873" t="s">
        <v>32</v>
      </c>
      <c r="C5" s="874" t="s">
        <v>14</v>
      </c>
      <c r="D5" s="874">
        <v>600</v>
      </c>
      <c r="E5" s="709">
        <f t="shared" ref="E5:E20" si="0">$I$1</f>
        <v>0.98566666666666669</v>
      </c>
      <c r="F5" s="700">
        <v>1</v>
      </c>
      <c r="G5" s="708">
        <f t="shared" ref="G5:G20" si="1">D5*E5</f>
        <v>591.4</v>
      </c>
      <c r="H5" s="707">
        <f t="shared" ref="H5:H20" si="2">G5*F5</f>
        <v>591.4</v>
      </c>
      <c r="I5" s="81">
        <f>VLOOKUP(B5,All_Ingredients!$A$1:$F$151,6,FALSE())</f>
        <v>0.96</v>
      </c>
      <c r="J5" s="119">
        <f>VLOOKUP(B5,All_Ingredients!$A$1:$J$151,10,FALSE())</f>
        <v>4</v>
      </c>
      <c r="K5" s="122">
        <f t="shared" ref="K5" si="3">(H5/I5)/1000</f>
        <v>0.6160416666666666</v>
      </c>
      <c r="L5" s="122">
        <f t="shared" ref="L5" si="4">K5*J5</f>
        <v>2.4641666666666664</v>
      </c>
      <c r="M5" s="706" t="s">
        <v>566</v>
      </c>
    </row>
    <row r="6" spans="1:30" ht="14" x14ac:dyDescent="0.25">
      <c r="A6" s="872"/>
      <c r="B6" s="873" t="s">
        <v>30</v>
      </c>
      <c r="C6" s="874" t="s">
        <v>14</v>
      </c>
      <c r="D6" s="874">
        <v>600</v>
      </c>
      <c r="E6" s="709">
        <f t="shared" si="0"/>
        <v>0.98566666666666669</v>
      </c>
      <c r="F6" s="715">
        <v>1</v>
      </c>
      <c r="G6" s="708">
        <f t="shared" si="1"/>
        <v>591.4</v>
      </c>
      <c r="H6" s="707">
        <f t="shared" si="2"/>
        <v>591.4</v>
      </c>
      <c r="I6" s="81">
        <f>VLOOKUP(B6,All_Ingredients!$A$1:$F$151,6,FALSE())</f>
        <v>0.56999999999999995</v>
      </c>
      <c r="J6" s="119">
        <f>VLOOKUP(B6,All_Ingredients!$A$1:$J$151,10,FALSE())</f>
        <v>8.5</v>
      </c>
      <c r="K6" s="122">
        <f t="shared" ref="K6:K20" si="5">(H6/I6)/1000</f>
        <v>1.0375438596491229</v>
      </c>
      <c r="L6" s="122">
        <f t="shared" ref="L6:L20" si="6">K6*J6</f>
        <v>8.8191228070175445</v>
      </c>
    </row>
    <row r="7" spans="1:30" ht="14" x14ac:dyDescent="0.25">
      <c r="A7" s="872"/>
      <c r="B7" s="873" t="s">
        <v>28</v>
      </c>
      <c r="C7" s="874" t="s">
        <v>14</v>
      </c>
      <c r="D7" s="874">
        <v>600</v>
      </c>
      <c r="E7" s="709">
        <f t="shared" si="0"/>
        <v>0.98566666666666669</v>
      </c>
      <c r="F7" s="715">
        <v>1</v>
      </c>
      <c r="G7" s="708">
        <f t="shared" si="1"/>
        <v>591.4</v>
      </c>
      <c r="H7" s="707">
        <f t="shared" si="2"/>
        <v>591.4</v>
      </c>
      <c r="I7" s="81">
        <f>VLOOKUP(B7,All_Ingredients!$A$1:$F$151,6,FALSE())</f>
        <v>0.56999999999999995</v>
      </c>
      <c r="J7" s="119">
        <f>VLOOKUP(B7,All_Ingredients!$A$1:$J$151,10,FALSE())</f>
        <v>8.5</v>
      </c>
      <c r="K7" s="122">
        <f t="shared" si="5"/>
        <v>1.0375438596491229</v>
      </c>
      <c r="L7" s="122">
        <f t="shared" si="6"/>
        <v>8.8191228070175445</v>
      </c>
    </row>
    <row r="8" spans="1:30" ht="14" x14ac:dyDescent="0.25">
      <c r="A8" s="872"/>
      <c r="B8" s="873" t="s">
        <v>564</v>
      </c>
      <c r="C8" s="874" t="s">
        <v>14</v>
      </c>
      <c r="D8" s="874">
        <v>1368</v>
      </c>
      <c r="E8" s="709">
        <f t="shared" si="0"/>
        <v>0.98566666666666669</v>
      </c>
      <c r="F8" s="700">
        <v>1</v>
      </c>
      <c r="G8" s="708">
        <f t="shared" si="1"/>
        <v>1348.3920000000001</v>
      </c>
      <c r="H8" s="707">
        <f t="shared" si="2"/>
        <v>1348.3920000000001</v>
      </c>
      <c r="I8" s="81">
        <f>VLOOKUP(B8,All_Ingredients!$A$1:$F$151,6,FALSE())</f>
        <v>1</v>
      </c>
      <c r="J8" s="119">
        <f>VLOOKUP(B8,All_Ingredients!$A$1:$J$151,10,FALSE())</f>
        <v>8.3333333333333339</v>
      </c>
      <c r="K8" s="122">
        <f t="shared" si="5"/>
        <v>1.348392</v>
      </c>
      <c r="L8" s="122">
        <f t="shared" si="6"/>
        <v>11.236600000000001</v>
      </c>
    </row>
    <row r="9" spans="1:30" ht="14" x14ac:dyDescent="0.25">
      <c r="A9" s="872"/>
      <c r="B9" s="873" t="s">
        <v>563</v>
      </c>
      <c r="C9" s="874" t="s">
        <v>14</v>
      </c>
      <c r="D9" s="874">
        <v>2125</v>
      </c>
      <c r="E9" s="709">
        <f t="shared" si="0"/>
        <v>0.98566666666666669</v>
      </c>
      <c r="F9" s="700">
        <v>1</v>
      </c>
      <c r="G9" s="708">
        <f t="shared" si="1"/>
        <v>2094.5416666666665</v>
      </c>
      <c r="H9" s="707">
        <f t="shared" si="2"/>
        <v>2094.5416666666665</v>
      </c>
      <c r="I9" s="81">
        <f>VLOOKUP(B9,All_Ingredients!$A$1:$F$151,6,FALSE())</f>
        <v>1</v>
      </c>
      <c r="J9" s="119">
        <f>VLOOKUP(B9,All_Ingredients!$A$1:$J$151,10,FALSE())</f>
        <v>10.196078431372548</v>
      </c>
      <c r="K9" s="122">
        <f t="shared" si="5"/>
        <v>2.0945416666666663</v>
      </c>
      <c r="L9" s="122">
        <f t="shared" si="6"/>
        <v>21.356111111111105</v>
      </c>
    </row>
    <row r="10" spans="1:30" ht="14" x14ac:dyDescent="0.25">
      <c r="A10" s="872"/>
      <c r="B10" s="873" t="s">
        <v>157</v>
      </c>
      <c r="C10" s="874" t="s">
        <v>14</v>
      </c>
      <c r="D10" s="874">
        <v>300</v>
      </c>
      <c r="E10" s="709">
        <f t="shared" si="0"/>
        <v>0.98566666666666669</v>
      </c>
      <c r="F10" s="700">
        <v>1</v>
      </c>
      <c r="G10" s="708">
        <f t="shared" si="1"/>
        <v>295.7</v>
      </c>
      <c r="H10" s="707">
        <f t="shared" si="2"/>
        <v>295.7</v>
      </c>
      <c r="I10" s="81">
        <f>VLOOKUP(B10,All_Ingredients!$A$1:$F$151,6,FALSE())</f>
        <v>1</v>
      </c>
      <c r="J10" s="119">
        <f>VLOOKUP(B10,All_Ingredients!$A$1:$J$151,10,FALSE())</f>
        <v>30</v>
      </c>
      <c r="K10" s="122">
        <f t="shared" si="5"/>
        <v>0.29569999999999996</v>
      </c>
      <c r="L10" s="122">
        <f t="shared" si="6"/>
        <v>8.8709999999999987</v>
      </c>
    </row>
    <row r="11" spans="1:30" ht="13.5" customHeight="1" x14ac:dyDescent="0.25">
      <c r="B11" s="702" t="s">
        <v>108</v>
      </c>
      <c r="C11" s="710" t="s">
        <v>14</v>
      </c>
      <c r="D11" s="710">
        <v>25</v>
      </c>
      <c r="E11" s="709">
        <f t="shared" si="0"/>
        <v>0.98566666666666669</v>
      </c>
      <c r="F11" s="700">
        <v>1</v>
      </c>
      <c r="G11" s="708">
        <f t="shared" si="1"/>
        <v>24.641666666666666</v>
      </c>
      <c r="H11" s="707">
        <f t="shared" si="2"/>
        <v>24.641666666666666</v>
      </c>
      <c r="I11" s="81">
        <f>VLOOKUP(B11,All_Ingredients!$A$1:$F$151,6,FALSE())</f>
        <v>1</v>
      </c>
      <c r="J11" s="119">
        <f>VLOOKUP(B11,All_Ingredients!$A$1:$J$151,10,FALSE())</f>
        <v>15</v>
      </c>
      <c r="K11" s="122">
        <f t="shared" si="5"/>
        <v>2.4641666666666666E-2</v>
      </c>
      <c r="L11" s="122">
        <f t="shared" si="6"/>
        <v>0.36962499999999998</v>
      </c>
    </row>
    <row r="12" spans="1:30" ht="13.5" customHeight="1" x14ac:dyDescent="0.25">
      <c r="B12" s="702" t="s">
        <v>114</v>
      </c>
      <c r="C12" s="710" t="s">
        <v>14</v>
      </c>
      <c r="D12" s="710">
        <v>25</v>
      </c>
      <c r="E12" s="709">
        <f t="shared" si="0"/>
        <v>0.98566666666666669</v>
      </c>
      <c r="F12" s="700">
        <v>1</v>
      </c>
      <c r="G12" s="708">
        <f t="shared" si="1"/>
        <v>24.641666666666666</v>
      </c>
      <c r="H12" s="707">
        <f t="shared" si="2"/>
        <v>24.641666666666666</v>
      </c>
      <c r="I12" s="81">
        <f>VLOOKUP(B12,All_Ingredients!$A$1:$F$151,6,FALSE())</f>
        <v>1</v>
      </c>
      <c r="J12" s="119">
        <f>VLOOKUP(B12,All_Ingredients!$A$1:$J$151,10,FALSE())</f>
        <v>64.243759177679877</v>
      </c>
      <c r="K12" s="122">
        <f t="shared" si="5"/>
        <v>2.4641666666666666E-2</v>
      </c>
      <c r="L12" s="122">
        <f t="shared" si="6"/>
        <v>1.5830732990699949</v>
      </c>
    </row>
    <row r="13" spans="1:30" ht="13.5" customHeight="1" x14ac:dyDescent="0.25">
      <c r="B13" s="702" t="s">
        <v>117</v>
      </c>
      <c r="C13" s="710" t="s">
        <v>14</v>
      </c>
      <c r="D13" s="710">
        <v>10</v>
      </c>
      <c r="E13" s="709">
        <f t="shared" si="0"/>
        <v>0.98566666666666669</v>
      </c>
      <c r="F13" s="700">
        <v>1</v>
      </c>
      <c r="G13" s="708">
        <f t="shared" si="1"/>
        <v>9.8566666666666674</v>
      </c>
      <c r="H13" s="707">
        <f t="shared" si="2"/>
        <v>9.8566666666666674</v>
      </c>
      <c r="I13" s="81">
        <f>VLOOKUP(B13,All_Ingredients!$A$1:$F$151,6,FALSE())</f>
        <v>1</v>
      </c>
      <c r="J13" s="119">
        <f>VLOOKUP(B13,All_Ingredients!$A$1:$J$151,10,FALSE())</f>
        <v>20</v>
      </c>
      <c r="K13" s="122">
        <f t="shared" si="5"/>
        <v>9.8566666666666681E-3</v>
      </c>
      <c r="L13" s="122">
        <f t="shared" si="6"/>
        <v>0.19713333333333335</v>
      </c>
    </row>
    <row r="14" spans="1:30" ht="13.5" customHeight="1" x14ac:dyDescent="0.25">
      <c r="B14" s="702" t="s">
        <v>102</v>
      </c>
      <c r="C14" s="710" t="s">
        <v>14</v>
      </c>
      <c r="D14" s="710">
        <v>10</v>
      </c>
      <c r="E14" s="709">
        <f t="shared" si="0"/>
        <v>0.98566666666666669</v>
      </c>
      <c r="F14" s="700">
        <v>1</v>
      </c>
      <c r="G14" s="708">
        <f t="shared" si="1"/>
        <v>9.8566666666666674</v>
      </c>
      <c r="H14" s="707">
        <f t="shared" si="2"/>
        <v>9.8566666666666674</v>
      </c>
      <c r="I14" s="81">
        <f>VLOOKUP(B14,All_Ingredients!$A$1:$F$151,6,FALSE())</f>
        <v>1</v>
      </c>
      <c r="J14" s="119">
        <f>VLOOKUP(B14,All_Ingredients!$A$1:$J$151,10,FALSE())</f>
        <v>31</v>
      </c>
      <c r="K14" s="122">
        <f t="shared" si="5"/>
        <v>9.8566666666666681E-3</v>
      </c>
      <c r="L14" s="122">
        <f t="shared" si="6"/>
        <v>0.3055566666666667</v>
      </c>
    </row>
    <row r="15" spans="1:30" ht="14.25" customHeight="1" x14ac:dyDescent="0.25">
      <c r="B15" s="702" t="s">
        <v>85</v>
      </c>
      <c r="C15" s="710" t="s">
        <v>14</v>
      </c>
      <c r="D15" s="710">
        <v>10</v>
      </c>
      <c r="E15" s="709">
        <f t="shared" si="0"/>
        <v>0.98566666666666669</v>
      </c>
      <c r="F15" s="700">
        <v>1</v>
      </c>
      <c r="G15" s="708">
        <f t="shared" si="1"/>
        <v>9.8566666666666674</v>
      </c>
      <c r="H15" s="707">
        <f t="shared" si="2"/>
        <v>9.8566666666666674</v>
      </c>
      <c r="I15" s="81">
        <f>VLOOKUP(B15,All_Ingredients!$A$1:$F$151,6,FALSE())</f>
        <v>1</v>
      </c>
      <c r="J15" s="119">
        <f>VLOOKUP(B15,All_Ingredients!$A$1:$J$151,10,FALSE())</f>
        <v>147.88732394366198</v>
      </c>
      <c r="K15" s="122">
        <f t="shared" si="5"/>
        <v>9.8566666666666681E-3</v>
      </c>
      <c r="L15" s="122">
        <f t="shared" si="6"/>
        <v>1.4576760563380284</v>
      </c>
    </row>
    <row r="16" spans="1:30" ht="14.25" customHeight="1" x14ac:dyDescent="0.25">
      <c r="B16" s="702" t="s">
        <v>96</v>
      </c>
      <c r="C16" s="710" t="s">
        <v>14</v>
      </c>
      <c r="D16" s="710">
        <v>50</v>
      </c>
      <c r="E16" s="709">
        <f t="shared" si="0"/>
        <v>0.98566666666666669</v>
      </c>
      <c r="F16" s="700">
        <v>1</v>
      </c>
      <c r="G16" s="708">
        <f t="shared" si="1"/>
        <v>49.283333333333331</v>
      </c>
      <c r="H16" s="707">
        <f t="shared" si="2"/>
        <v>49.283333333333331</v>
      </c>
      <c r="I16" s="81">
        <f>VLOOKUP(B16,All_Ingredients!$A$1:$F$151,6,FALSE())</f>
        <v>1</v>
      </c>
      <c r="J16" s="119">
        <f>VLOOKUP(B16,All_Ingredients!$A$1:$J$151,10,FALSE())</f>
        <v>0.74</v>
      </c>
      <c r="K16" s="122">
        <f t="shared" si="5"/>
        <v>4.9283333333333332E-2</v>
      </c>
      <c r="L16" s="122">
        <f t="shared" si="6"/>
        <v>3.6469666666666664E-2</v>
      </c>
      <c r="M16" s="712"/>
      <c r="N16" s="712"/>
    </row>
    <row r="17" spans="2:29" ht="13.5" customHeight="1" x14ac:dyDescent="0.25">
      <c r="B17" s="702" t="s">
        <v>221</v>
      </c>
      <c r="C17" s="710" t="s">
        <v>14</v>
      </c>
      <c r="D17" s="710">
        <v>10</v>
      </c>
      <c r="E17" s="709">
        <f t="shared" si="0"/>
        <v>0.98566666666666669</v>
      </c>
      <c r="F17" s="700">
        <v>1</v>
      </c>
      <c r="G17" s="708">
        <f t="shared" si="1"/>
        <v>9.8566666666666674</v>
      </c>
      <c r="H17" s="707">
        <f t="shared" si="2"/>
        <v>9.8566666666666674</v>
      </c>
      <c r="I17" s="81">
        <f>VLOOKUP(B17,All_Ingredients!$A$1:$F$151,6,FALSE())</f>
        <v>1</v>
      </c>
      <c r="J17" s="119">
        <f>VLOOKUP(B17,All_Ingredients!$A$1:$J$151,10,FALSE())</f>
        <v>35</v>
      </c>
      <c r="K17" s="122">
        <f t="shared" si="5"/>
        <v>9.8566666666666681E-3</v>
      </c>
      <c r="L17" s="122">
        <f t="shared" si="6"/>
        <v>0.34498333333333336</v>
      </c>
    </row>
    <row r="18" spans="2:29" ht="14" x14ac:dyDescent="0.25">
      <c r="B18" s="702" t="s">
        <v>12</v>
      </c>
      <c r="C18" s="710" t="s">
        <v>14</v>
      </c>
      <c r="D18" s="710">
        <v>500</v>
      </c>
      <c r="E18" s="709">
        <f t="shared" si="0"/>
        <v>0.98566666666666669</v>
      </c>
      <c r="F18" s="711">
        <v>1</v>
      </c>
      <c r="G18" s="708">
        <f t="shared" si="1"/>
        <v>492.83333333333337</v>
      </c>
      <c r="H18" s="707">
        <f t="shared" si="2"/>
        <v>492.83333333333337</v>
      </c>
      <c r="I18" s="81">
        <f>VLOOKUP(B18,All_Ingredients!$A$1:$F$151,6,FALSE())</f>
        <v>0.9</v>
      </c>
      <c r="J18" s="119">
        <f>VLOOKUP(B18,All_Ingredients!$A$1:$J$151,10,FALSE())</f>
        <v>3</v>
      </c>
      <c r="K18" s="122">
        <f t="shared" si="5"/>
        <v>0.54759259259259263</v>
      </c>
      <c r="L18" s="122">
        <f t="shared" si="6"/>
        <v>1.6427777777777779</v>
      </c>
    </row>
    <row r="19" spans="2:29" ht="18" customHeight="1" x14ac:dyDescent="0.25">
      <c r="B19" s="702" t="s">
        <v>792</v>
      </c>
      <c r="C19" s="710" t="s">
        <v>14</v>
      </c>
      <c r="D19" s="710">
        <v>100</v>
      </c>
      <c r="E19" s="709">
        <f t="shared" si="0"/>
        <v>0.98566666666666669</v>
      </c>
      <c r="F19" s="700">
        <v>1</v>
      </c>
      <c r="G19" s="708">
        <f t="shared" si="1"/>
        <v>98.566666666666663</v>
      </c>
      <c r="H19" s="707">
        <f t="shared" si="2"/>
        <v>98.566666666666663</v>
      </c>
      <c r="I19" s="81">
        <f>VLOOKUP(B19,All_Ingredients!$A$1:$F$151,6,FALSE())</f>
        <v>1</v>
      </c>
      <c r="J19" s="119">
        <f>VLOOKUP(B19,All_Ingredients!$A$1:$J$151,10,FALSE())</f>
        <v>10.5</v>
      </c>
      <c r="K19" s="122">
        <f t="shared" si="5"/>
        <v>9.8566666666666664E-2</v>
      </c>
      <c r="L19" s="122">
        <f t="shared" si="6"/>
        <v>1.03495</v>
      </c>
    </row>
    <row r="20" spans="2:29" ht="14" customHeight="1" x14ac:dyDescent="0.25">
      <c r="B20" s="702" t="s">
        <v>761</v>
      </c>
      <c r="C20" s="710" t="s">
        <v>14</v>
      </c>
      <c r="D20" s="710">
        <v>2000</v>
      </c>
      <c r="E20" s="709">
        <f t="shared" si="0"/>
        <v>0.98566666666666669</v>
      </c>
      <c r="F20" s="700">
        <v>1</v>
      </c>
      <c r="G20" s="708">
        <f t="shared" si="1"/>
        <v>1971.3333333333335</v>
      </c>
      <c r="H20" s="707">
        <f t="shared" si="2"/>
        <v>1971.3333333333335</v>
      </c>
      <c r="I20" s="81">
        <f>VLOOKUP(B20,All_Ingredients!$A$1:$F$151,6,FALSE())</f>
        <v>1</v>
      </c>
      <c r="J20" s="119">
        <f>VLOOKUP(B20,All_Ingredients!$A$1:$J$151,10,FALSE())</f>
        <v>8.1520833333333336</v>
      </c>
      <c r="K20" s="122">
        <f t="shared" si="5"/>
        <v>1.9713333333333334</v>
      </c>
      <c r="L20" s="122">
        <f t="shared" si="6"/>
        <v>16.070473611111112</v>
      </c>
    </row>
    <row r="21" spans="2:29" ht="16.5" customHeight="1" x14ac:dyDescent="0.3"/>
    <row r="22" spans="2:29" ht="13.5" customHeight="1" x14ac:dyDescent="0.3">
      <c r="N22" s="1437"/>
      <c r="O22" s="1437"/>
    </row>
    <row r="24" spans="2:29" x14ac:dyDescent="0.3">
      <c r="Z24" s="1296"/>
    </row>
    <row r="25" spans="2:29" ht="14" x14ac:dyDescent="0.3">
      <c r="R25" s="1435" t="s">
        <v>568</v>
      </c>
      <c r="S25" s="1436"/>
      <c r="T25" s="1436"/>
      <c r="Z25" s="141" t="s">
        <v>14</v>
      </c>
      <c r="AA25" s="1330">
        <f>T29</f>
        <v>4.9283333333333337</v>
      </c>
      <c r="AB25" s="141" t="s">
        <v>261</v>
      </c>
      <c r="AC25" s="143">
        <f>(T30/T29)*AA25</f>
        <v>84.608842136109757</v>
      </c>
    </row>
    <row r="26" spans="2:29" ht="14" x14ac:dyDescent="0.3">
      <c r="R26" s="714" t="s">
        <v>266</v>
      </c>
      <c r="S26" s="714" t="s">
        <v>548</v>
      </c>
      <c r="T26" s="714" t="s">
        <v>574</v>
      </c>
    </row>
    <row r="27" spans="2:29" ht="14" x14ac:dyDescent="0.3">
      <c r="R27" s="714" t="s">
        <v>549</v>
      </c>
      <c r="S27" s="796">
        <f>Z1</f>
        <v>29070</v>
      </c>
      <c r="T27" s="798">
        <f>S29/30000</f>
        <v>0.98566666666666669</v>
      </c>
    </row>
    <row r="28" spans="2:29" ht="14" x14ac:dyDescent="0.3">
      <c r="R28" s="714"/>
      <c r="S28" s="829">
        <f>AB1</f>
        <v>500</v>
      </c>
      <c r="T28" s="830"/>
    </row>
    <row r="29" spans="2:29" ht="14.5" thickBot="1" x14ac:dyDescent="0.35">
      <c r="R29" s="713"/>
      <c r="S29" s="797">
        <f>S27+S28</f>
        <v>29570</v>
      </c>
      <c r="T29" s="758">
        <f>5*T27</f>
        <v>4.9283333333333337</v>
      </c>
    </row>
    <row r="30" spans="2:29" ht="13.5" thickBot="1" x14ac:dyDescent="0.35">
      <c r="R30" s="163" t="s">
        <v>261</v>
      </c>
      <c r="S30" s="1144">
        <f>SUM(L5:L20)</f>
        <v>84.608842136109772</v>
      </c>
      <c r="T30" s="1240">
        <f>SUM(L5:L20)</f>
        <v>84.608842136109772</v>
      </c>
    </row>
    <row r="37" spans="2:20" ht="18" x14ac:dyDescent="0.3">
      <c r="B37" s="737"/>
      <c r="C37" s="737"/>
      <c r="D37" s="737"/>
      <c r="E37" s="737"/>
      <c r="F37" s="737"/>
      <c r="G37" s="737"/>
      <c r="H37" s="737"/>
    </row>
    <row r="38" spans="2:20" ht="18" x14ac:dyDescent="0.3">
      <c r="B38" s="737"/>
      <c r="C38" s="737"/>
      <c r="D38" s="737"/>
      <c r="E38" s="737"/>
      <c r="F38" s="737"/>
      <c r="G38" s="737"/>
      <c r="H38" s="737"/>
    </row>
    <row r="39" spans="2:20" ht="13" x14ac:dyDescent="0.3">
      <c r="B39" s="739"/>
      <c r="C39" s="740"/>
      <c r="D39" s="739"/>
      <c r="E39" s="739"/>
      <c r="F39" s="736"/>
      <c r="G39" s="739"/>
      <c r="H39" s="738"/>
    </row>
    <row r="40" spans="2:20" ht="18" x14ac:dyDescent="0.3">
      <c r="B40" s="705"/>
      <c r="C40" s="705"/>
      <c r="D40" s="705"/>
      <c r="E40" s="743"/>
      <c r="F40" s="743"/>
      <c r="G40" s="733"/>
      <c r="H40" s="732"/>
      <c r="I40" s="737"/>
      <c r="M40" s="1492"/>
      <c r="N40" s="1492"/>
      <c r="O40" s="1492"/>
      <c r="P40" s="1492"/>
      <c r="Q40" s="1492"/>
      <c r="R40" s="1492"/>
      <c r="S40" s="1492"/>
      <c r="T40" s="1492"/>
    </row>
    <row r="41" spans="2:20" ht="18" x14ac:dyDescent="0.3">
      <c r="B41" s="705"/>
      <c r="C41" s="705"/>
      <c r="D41" s="705"/>
      <c r="E41" s="743"/>
      <c r="F41" s="743"/>
      <c r="G41" s="733"/>
      <c r="H41" s="732"/>
      <c r="I41" s="737"/>
      <c r="M41" s="912"/>
      <c r="N41" s="913"/>
      <c r="O41" s="914"/>
      <c r="P41" s="912"/>
      <c r="Q41" s="915"/>
      <c r="R41" s="916"/>
      <c r="S41" s="914"/>
      <c r="T41" s="914"/>
    </row>
    <row r="42" spans="2:20" ht="14" x14ac:dyDescent="0.3">
      <c r="B42" s="705"/>
      <c r="C42" s="705"/>
      <c r="D42" s="705"/>
      <c r="E42" s="743"/>
      <c r="F42" s="743"/>
      <c r="G42" s="733"/>
      <c r="H42" s="732"/>
      <c r="I42" s="736"/>
      <c r="M42" s="917"/>
      <c r="N42" s="917"/>
      <c r="O42" s="917"/>
      <c r="P42" s="917"/>
      <c r="Q42" s="917"/>
      <c r="R42" s="917"/>
      <c r="S42" s="917"/>
      <c r="T42" s="914"/>
    </row>
    <row r="43" spans="2:20" ht="13.5" customHeight="1" x14ac:dyDescent="0.3">
      <c r="B43" s="705"/>
      <c r="C43" s="705"/>
      <c r="D43" s="705"/>
      <c r="E43" s="743"/>
      <c r="F43" s="743"/>
      <c r="G43" s="733"/>
      <c r="H43" s="732"/>
      <c r="I43" s="731"/>
      <c r="M43" s="916"/>
      <c r="N43" s="916"/>
      <c r="O43" s="918"/>
      <c r="P43" s="918"/>
      <c r="Q43" s="919"/>
      <c r="R43" s="918"/>
      <c r="S43" s="916"/>
      <c r="T43" s="914"/>
    </row>
    <row r="44" spans="2:20" ht="14" x14ac:dyDescent="0.3">
      <c r="B44" s="705"/>
      <c r="C44" s="705"/>
      <c r="D44" s="705"/>
      <c r="E44" s="743"/>
      <c r="F44" s="743"/>
      <c r="G44" s="733"/>
      <c r="H44" s="732"/>
      <c r="I44" s="731"/>
      <c r="M44" s="916"/>
      <c r="N44" s="916"/>
      <c r="O44" s="918"/>
      <c r="P44" s="918"/>
      <c r="Q44" s="919"/>
      <c r="R44" s="918"/>
      <c r="S44" s="916"/>
      <c r="T44" s="914"/>
    </row>
    <row r="45" spans="2:20" ht="14" x14ac:dyDescent="0.3">
      <c r="B45" s="705"/>
      <c r="C45" s="705"/>
      <c r="D45" s="705"/>
      <c r="E45" s="743"/>
      <c r="F45" s="743"/>
      <c r="G45" s="733"/>
      <c r="H45" s="732"/>
      <c r="I45" s="731"/>
      <c r="M45" s="916"/>
      <c r="N45" s="916"/>
      <c r="O45" s="918"/>
      <c r="P45" s="918"/>
      <c r="Q45" s="919"/>
      <c r="R45" s="918"/>
      <c r="S45" s="916"/>
      <c r="T45" s="914"/>
    </row>
    <row r="46" spans="2:20" ht="14" x14ac:dyDescent="0.3">
      <c r="B46" s="705"/>
      <c r="C46" s="705"/>
      <c r="D46" s="705"/>
      <c r="E46" s="743"/>
      <c r="F46" s="743"/>
      <c r="G46" s="733"/>
      <c r="H46" s="732"/>
      <c r="I46" s="731"/>
      <c r="M46" s="916"/>
      <c r="N46" s="916"/>
      <c r="O46" s="918"/>
      <c r="P46" s="918"/>
      <c r="Q46" s="919"/>
      <c r="R46" s="918"/>
      <c r="S46" s="916"/>
      <c r="T46" s="914"/>
    </row>
    <row r="47" spans="2:20" ht="14" x14ac:dyDescent="0.3">
      <c r="B47" s="705"/>
      <c r="E47" s="705"/>
      <c r="F47" s="705"/>
      <c r="H47" s="920"/>
      <c r="I47" s="731"/>
      <c r="M47" s="916"/>
      <c r="N47" s="916"/>
      <c r="O47" s="918"/>
      <c r="P47" s="918"/>
      <c r="Q47" s="919"/>
      <c r="R47" s="918"/>
      <c r="S47" s="916"/>
      <c r="T47" s="914"/>
    </row>
    <row r="48" spans="2:20" ht="14" x14ac:dyDescent="0.3">
      <c r="B48" s="705"/>
      <c r="C48" s="896"/>
      <c r="D48" s="921"/>
      <c r="E48" s="922"/>
      <c r="F48" s="705"/>
      <c r="H48" s="920"/>
      <c r="I48" s="731"/>
      <c r="M48" s="916"/>
      <c r="N48" s="916"/>
      <c r="O48" s="918"/>
      <c r="P48" s="918"/>
      <c r="Q48" s="919"/>
      <c r="R48" s="918"/>
      <c r="S48" s="916"/>
      <c r="T48" s="914"/>
    </row>
    <row r="49" spans="2:20" ht="14" x14ac:dyDescent="0.3">
      <c r="B49" s="705"/>
      <c r="E49" s="705"/>
      <c r="F49" s="705"/>
      <c r="H49" s="920"/>
      <c r="I49" s="731"/>
      <c r="M49" s="916"/>
      <c r="N49" s="916"/>
      <c r="O49" s="918"/>
      <c r="P49" s="918"/>
      <c r="Q49" s="919"/>
      <c r="R49" s="918"/>
      <c r="S49" s="916"/>
      <c r="T49" s="914"/>
    </row>
    <row r="50" spans="2:20" ht="18" x14ac:dyDescent="0.3">
      <c r="B50" s="737"/>
      <c r="C50" s="737"/>
      <c r="D50" s="737"/>
      <c r="E50" s="737"/>
      <c r="F50" s="737"/>
      <c r="G50" s="737"/>
      <c r="H50" s="737"/>
      <c r="M50" s="916"/>
      <c r="N50" s="916"/>
      <c r="O50" s="918"/>
      <c r="P50" s="918"/>
      <c r="Q50" s="919"/>
      <c r="R50" s="918"/>
      <c r="S50" s="916"/>
      <c r="T50" s="914"/>
    </row>
    <row r="51" spans="2:20" ht="18" x14ac:dyDescent="0.3">
      <c r="B51" s="737"/>
      <c r="C51" s="737"/>
      <c r="D51" s="737"/>
      <c r="E51" s="737"/>
      <c r="F51" s="737"/>
      <c r="G51" s="737"/>
      <c r="H51" s="737"/>
      <c r="M51" s="916"/>
      <c r="N51" s="916"/>
      <c r="O51" s="918"/>
      <c r="P51" s="918"/>
      <c r="Q51" s="919"/>
      <c r="R51" s="918"/>
      <c r="S51" s="916"/>
      <c r="T51" s="914"/>
    </row>
    <row r="52" spans="2:20" ht="14" x14ac:dyDescent="0.3">
      <c r="B52" s="739"/>
      <c r="C52" s="740"/>
      <c r="D52" s="739"/>
      <c r="E52" s="739"/>
      <c r="F52" s="736"/>
      <c r="G52" s="739"/>
      <c r="H52" s="738"/>
      <c r="M52" s="916"/>
      <c r="N52" s="916"/>
      <c r="O52" s="918"/>
      <c r="P52" s="918"/>
      <c r="Q52" s="919"/>
      <c r="R52" s="918"/>
      <c r="S52" s="916"/>
      <c r="T52" s="914"/>
    </row>
    <row r="53" spans="2:20" ht="18" x14ac:dyDescent="0.3">
      <c r="B53" s="705"/>
      <c r="C53" s="705"/>
      <c r="D53" s="926">
        <f>(C53*$K$1)*$C$1</f>
        <v>0</v>
      </c>
      <c r="E53" s="735"/>
      <c r="F53" s="734"/>
      <c r="G53" s="733"/>
      <c r="H53" s="732"/>
      <c r="I53" s="737"/>
      <c r="M53" s="916"/>
      <c r="N53" s="916"/>
      <c r="O53" s="918"/>
      <c r="P53" s="918"/>
      <c r="Q53" s="919"/>
      <c r="R53" s="918"/>
      <c r="S53" s="916"/>
      <c r="T53" s="914"/>
    </row>
    <row r="54" spans="2:20" ht="18" x14ac:dyDescent="0.3">
      <c r="B54" s="705"/>
      <c r="C54" s="705"/>
      <c r="D54" s="926">
        <f>(C54*$K$1)*$C$1</f>
        <v>0</v>
      </c>
      <c r="E54" s="735"/>
      <c r="F54" s="734"/>
      <c r="G54" s="733"/>
      <c r="H54" s="732"/>
      <c r="I54" s="737"/>
      <c r="M54" s="916"/>
      <c r="N54" s="916"/>
      <c r="O54" s="918"/>
      <c r="P54" s="918"/>
      <c r="Q54" s="919"/>
      <c r="R54" s="918"/>
      <c r="S54" s="916"/>
      <c r="T54" s="914"/>
    </row>
    <row r="55" spans="2:20" ht="14" x14ac:dyDescent="0.3">
      <c r="B55" s="705"/>
      <c r="C55" s="705"/>
      <c r="D55" s="926">
        <f>(C55*$K$1)*$C$1</f>
        <v>0</v>
      </c>
      <c r="E55" s="735"/>
      <c r="F55" s="734"/>
      <c r="G55" s="733"/>
      <c r="H55" s="732"/>
      <c r="I55" s="736"/>
      <c r="M55" s="916"/>
      <c r="N55" s="916"/>
      <c r="O55" s="918"/>
      <c r="P55" s="918"/>
      <c r="Q55" s="919"/>
      <c r="R55" s="918"/>
      <c r="S55" s="916"/>
      <c r="T55" s="914"/>
    </row>
    <row r="56" spans="2:20" ht="14" x14ac:dyDescent="0.3">
      <c r="B56" s="705"/>
      <c r="C56" s="705"/>
      <c r="D56" s="705"/>
      <c r="E56" s="735"/>
      <c r="F56" s="734"/>
      <c r="G56" s="733"/>
      <c r="H56" s="732"/>
      <c r="I56" s="731"/>
      <c r="M56" s="916"/>
      <c r="N56" s="916"/>
      <c r="O56" s="918"/>
      <c r="P56" s="918"/>
      <c r="Q56" s="919"/>
      <c r="R56" s="918"/>
      <c r="S56" s="916"/>
      <c r="T56" s="914"/>
    </row>
    <row r="57" spans="2:20" ht="14" x14ac:dyDescent="0.3">
      <c r="B57" s="705"/>
      <c r="C57" s="705"/>
      <c r="D57" s="705"/>
      <c r="E57" s="735"/>
      <c r="F57" s="734"/>
      <c r="G57" s="733"/>
      <c r="H57" s="732"/>
      <c r="I57" s="731"/>
      <c r="M57" s="916"/>
      <c r="N57" s="916"/>
      <c r="O57" s="918"/>
      <c r="P57" s="918"/>
      <c r="Q57" s="919"/>
      <c r="R57" s="918"/>
      <c r="S57" s="916"/>
      <c r="T57" s="914"/>
    </row>
    <row r="58" spans="2:20" ht="14" x14ac:dyDescent="0.3">
      <c r="B58" s="705"/>
      <c r="C58" s="705"/>
      <c r="D58" s="705"/>
      <c r="E58" s="735"/>
      <c r="F58" s="734"/>
      <c r="G58" s="733"/>
      <c r="H58" s="732"/>
      <c r="I58" s="731"/>
      <c r="M58" s="916"/>
      <c r="N58" s="916"/>
      <c r="O58" s="918"/>
      <c r="P58" s="918"/>
      <c r="Q58" s="919"/>
      <c r="R58" s="918"/>
      <c r="S58" s="916"/>
      <c r="T58" s="914"/>
    </row>
    <row r="59" spans="2:20" ht="14" x14ac:dyDescent="0.3">
      <c r="B59" s="705"/>
      <c r="C59" s="705"/>
      <c r="D59" s="705"/>
      <c r="E59" s="735"/>
      <c r="F59" s="734"/>
      <c r="G59" s="733"/>
      <c r="H59" s="732"/>
      <c r="I59" s="731"/>
      <c r="M59" s="912"/>
      <c r="N59" s="916"/>
      <c r="O59" s="914"/>
      <c r="P59" s="923"/>
      <c r="Q59" s="914"/>
      <c r="R59" s="923"/>
      <c r="S59" s="914"/>
      <c r="T59" s="914"/>
    </row>
    <row r="60" spans="2:20" x14ac:dyDescent="0.3">
      <c r="I60" s="731"/>
    </row>
    <row r="61" spans="2:20" x14ac:dyDescent="0.3">
      <c r="I61" s="731"/>
    </row>
  </sheetData>
  <mergeCells count="6">
    <mergeCell ref="M40:T40"/>
    <mergeCell ref="A2:A3"/>
    <mergeCell ref="B2:H3"/>
    <mergeCell ref="K2:K3"/>
    <mergeCell ref="N22:O22"/>
    <mergeCell ref="R25:T25"/>
  </mergeCells>
  <printOptions horizontalCentered="1"/>
  <pageMargins left="0.4" right="0.4" top="1" bottom="0.5" header="0.3" footer="0.511811023622047"/>
  <pageSetup paperSize="9" scale="36" orientation="landscape" r:id="rId1"/>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69">
    <tabColor rgb="FF333F50"/>
    <pageSetUpPr fitToPage="1"/>
  </sheetPr>
  <dimension ref="A1:AT108"/>
  <sheetViews>
    <sheetView topLeftCell="D36" zoomScale="55" zoomScaleNormal="55" workbookViewId="0">
      <selection activeCell="H108" activeCellId="1" sqref="H84 H108"/>
    </sheetView>
  </sheetViews>
  <sheetFormatPr defaultColWidth="12.5" defaultRowHeight="14" x14ac:dyDescent="0.3"/>
  <cols>
    <col min="1" max="1" width="12.5" style="79" customWidth="1"/>
    <col min="2" max="2" width="38.7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4.1640625" style="14" customWidth="1"/>
    <col min="15" max="17" width="12.5" style="14" customWidth="1"/>
    <col min="18" max="18" width="31.1640625" style="14" customWidth="1"/>
    <col min="19" max="26" width="12.5" style="14" customWidth="1"/>
    <col min="27" max="27" width="10.08203125" style="14" bestFit="1" customWidth="1"/>
    <col min="28" max="28" width="6.9140625" style="14" customWidth="1"/>
    <col min="29" max="29" width="11.75" style="14" bestFit="1" customWidth="1"/>
    <col min="30" max="30" width="13.25" style="14" bestFit="1" customWidth="1"/>
    <col min="31" max="31" width="10.08203125" style="14" bestFit="1" customWidth="1"/>
    <col min="32" max="32" width="10.33203125" style="14" bestFit="1" customWidth="1"/>
    <col min="33" max="34" width="2.9140625" style="14" customWidth="1"/>
    <col min="35" max="35" width="12.5" style="14" customWidth="1"/>
    <col min="36" max="36" width="31.4140625" style="14" customWidth="1"/>
    <col min="37" max="37" width="12.5" style="14" customWidth="1"/>
    <col min="38" max="41" width="12.5" style="14"/>
    <col min="42" max="42" width="15.5" style="14" customWidth="1"/>
    <col min="43" max="16384" width="12.5" style="14"/>
  </cols>
  <sheetData>
    <row r="1" spans="1:46" ht="39.75" customHeight="1" x14ac:dyDescent="0.3">
      <c r="B1" s="80" t="s">
        <v>243</v>
      </c>
      <c r="C1" s="81">
        <v>1000</v>
      </c>
      <c r="D1" s="82" t="s">
        <v>244</v>
      </c>
      <c r="E1" s="83">
        <f>T32</f>
        <v>19754.8717948718</v>
      </c>
      <c r="F1" s="80" t="s">
        <v>245</v>
      </c>
      <c r="G1" s="84">
        <f>E1/C1</f>
        <v>19.7548717948718</v>
      </c>
      <c r="H1" s="80" t="s">
        <v>246</v>
      </c>
      <c r="I1" s="85">
        <f>(G1/K1)</f>
        <v>19.95441595441596</v>
      </c>
      <c r="J1" s="86" t="s">
        <v>247</v>
      </c>
      <c r="K1" s="387">
        <v>0.99</v>
      </c>
      <c r="L1" s="88"/>
      <c r="M1" s="89"/>
      <c r="N1" s="90"/>
      <c r="O1" s="91" t="s">
        <v>248</v>
      </c>
      <c r="P1" s="92" t="s">
        <v>249</v>
      </c>
      <c r="Q1" s="93" t="s">
        <v>250</v>
      </c>
      <c r="R1" s="92">
        <v>0.59</v>
      </c>
      <c r="Y1" s="91" t="s">
        <v>479</v>
      </c>
      <c r="Z1" s="847">
        <v>34020</v>
      </c>
      <c r="AA1" s="91" t="s">
        <v>600</v>
      </c>
      <c r="AB1" s="847">
        <v>1000</v>
      </c>
      <c r="AC1" s="91" t="s">
        <v>587</v>
      </c>
      <c r="AD1" s="847">
        <v>225</v>
      </c>
      <c r="AE1" s="250"/>
      <c r="AF1" s="252"/>
      <c r="AG1" s="92"/>
      <c r="AI1" s="79"/>
      <c r="AJ1" s="94" t="s">
        <v>262</v>
      </c>
      <c r="AK1" s="94">
        <v>10000</v>
      </c>
      <c r="AL1" s="628" t="s">
        <v>520</v>
      </c>
      <c r="AM1" s="629">
        <f>$S$32</f>
        <v>26938.461538461532</v>
      </c>
      <c r="AN1" s="94" t="s">
        <v>251</v>
      </c>
      <c r="AO1" s="329">
        <f>((S32)/$R$1)/$AK$1</f>
        <v>4.5658409387222934</v>
      </c>
      <c r="AP1" s="95"/>
    </row>
    <row r="2" spans="1:46" ht="12.75" customHeight="1" x14ac:dyDescent="0.3">
      <c r="A2" s="97"/>
      <c r="B2" s="98"/>
      <c r="C2" s="98"/>
      <c r="D2" s="98"/>
      <c r="E2" s="98"/>
      <c r="F2" s="1408" t="s">
        <v>153</v>
      </c>
      <c r="G2" s="98"/>
      <c r="H2" s="98"/>
      <c r="I2" s="98"/>
      <c r="J2" s="98"/>
      <c r="K2" s="98"/>
      <c r="L2" s="293"/>
      <c r="M2" s="100"/>
      <c r="N2" s="100"/>
      <c r="O2" s="100"/>
      <c r="P2" s="100"/>
      <c r="Q2" s="100"/>
      <c r="R2" s="100"/>
      <c r="AC2" s="99"/>
      <c r="AD2" s="99"/>
      <c r="AE2" s="1391"/>
      <c r="AF2" s="1389"/>
      <c r="AG2" s="1389"/>
      <c r="AI2" s="79"/>
      <c r="AJ2" s="101"/>
      <c r="AK2" s="1386" t="s">
        <v>488</v>
      </c>
      <c r="AL2" s="1386"/>
      <c r="AM2" s="1386"/>
      <c r="AN2" s="1386"/>
      <c r="AO2" s="101"/>
      <c r="AP2" s="101"/>
    </row>
    <row r="3" spans="1:46" ht="12.75" customHeight="1" x14ac:dyDescent="0.3">
      <c r="A3" s="97"/>
      <c r="B3" s="103"/>
      <c r="C3" s="103"/>
      <c r="D3" s="103"/>
      <c r="E3" s="103"/>
      <c r="F3" s="1388"/>
      <c r="G3" s="103"/>
      <c r="H3" s="103"/>
      <c r="I3" s="103"/>
      <c r="J3" s="103"/>
      <c r="K3" s="103"/>
      <c r="L3" s="293"/>
      <c r="O3" s="100"/>
      <c r="P3" s="100"/>
      <c r="Q3" s="100"/>
      <c r="R3" s="100"/>
      <c r="AC3" s="99"/>
      <c r="AD3" s="99"/>
      <c r="AE3" s="1389"/>
      <c r="AF3" s="1389"/>
      <c r="AG3" s="1389"/>
      <c r="AI3" s="79"/>
      <c r="AJ3" s="101"/>
      <c r="AK3" s="101"/>
      <c r="AL3" s="101"/>
      <c r="AM3" s="101"/>
      <c r="AN3" s="1389"/>
      <c r="AO3" s="101"/>
      <c r="AP3" s="101"/>
    </row>
    <row r="4" spans="1:46" ht="46.5" customHeight="1" x14ac:dyDescent="0.3">
      <c r="A4" s="91" t="s">
        <v>1</v>
      </c>
      <c r="B4" s="91" t="s">
        <v>253</v>
      </c>
      <c r="C4" s="107" t="s">
        <v>254</v>
      </c>
      <c r="D4" s="91" t="s">
        <v>243</v>
      </c>
      <c r="E4" s="108" t="s">
        <v>246</v>
      </c>
      <c r="F4" s="108" t="s">
        <v>255</v>
      </c>
      <c r="G4" s="91" t="s">
        <v>256</v>
      </c>
      <c r="H4" s="331" t="s">
        <v>347</v>
      </c>
      <c r="I4" s="91" t="s">
        <v>258</v>
      </c>
      <c r="J4" s="91" t="s">
        <v>259</v>
      </c>
      <c r="K4" s="91" t="s">
        <v>260</v>
      </c>
      <c r="L4" s="91" t="s">
        <v>261</v>
      </c>
      <c r="O4" s="100"/>
      <c r="P4" s="100"/>
      <c r="AA4" s="251"/>
      <c r="AB4" s="253"/>
      <c r="AC4" s="253"/>
      <c r="AD4" s="253"/>
      <c r="AE4" s="251"/>
      <c r="AF4" s="251"/>
      <c r="AG4" s="251"/>
      <c r="AI4" s="79"/>
      <c r="AJ4" s="94" t="s">
        <v>253</v>
      </c>
      <c r="AK4" s="530" t="s">
        <v>254</v>
      </c>
      <c r="AL4" s="94" t="s">
        <v>262</v>
      </c>
      <c r="AM4" s="94" t="s">
        <v>246</v>
      </c>
      <c r="AN4" s="94" t="s">
        <v>255</v>
      </c>
      <c r="AO4" s="94" t="s">
        <v>256</v>
      </c>
      <c r="AP4" s="94" t="s">
        <v>347</v>
      </c>
      <c r="AQ4" s="91" t="s">
        <v>258</v>
      </c>
      <c r="AR4" s="91" t="s">
        <v>259</v>
      </c>
      <c r="AS4" s="91" t="s">
        <v>260</v>
      </c>
      <c r="AT4" s="91" t="s">
        <v>261</v>
      </c>
    </row>
    <row r="5" spans="1:46" ht="14.25" customHeight="1" x14ac:dyDescent="0.3">
      <c r="A5" s="266" t="s">
        <v>230</v>
      </c>
      <c r="B5" s="309" t="s">
        <v>229</v>
      </c>
      <c r="C5" s="115" t="s">
        <v>14</v>
      </c>
      <c r="D5" s="268">
        <f>I51/10</f>
        <v>2456.4701694915252</v>
      </c>
      <c r="E5" s="126">
        <f>H52</f>
        <v>18.586999327035979</v>
      </c>
      <c r="F5" s="118">
        <v>1</v>
      </c>
      <c r="G5" s="119">
        <f t="shared" ref="G5:G22" si="0">D5*E5</f>
        <v>45658.409387222935</v>
      </c>
      <c r="H5" s="207">
        <f t="shared" ref="H5:H22" si="1">G5*F5</f>
        <v>45658.409387222935</v>
      </c>
      <c r="I5" s="81">
        <f>VLOOKUP(B5,All_Ingredients!$A$1:$F$151,6,FALSE())</f>
        <v>0.86</v>
      </c>
      <c r="J5" s="119">
        <f>VLOOKUP(B5,All_Ingredients!$A$1:$J$151,10,FALSE())</f>
        <v>17.100000000000001</v>
      </c>
      <c r="K5" s="122">
        <f t="shared" ref="K5" si="2">(H5/I5)/1000</f>
        <v>53.091173706073185</v>
      </c>
      <c r="L5" s="122">
        <f t="shared" ref="L5" si="3">K5*J5</f>
        <v>907.85907037385152</v>
      </c>
      <c r="O5" s="100"/>
      <c r="P5" s="100"/>
      <c r="AA5" s="92"/>
      <c r="AB5" s="133"/>
      <c r="AC5" s="133"/>
      <c r="AD5" s="133"/>
      <c r="AE5" s="254"/>
      <c r="AF5" s="135"/>
      <c r="AG5" s="136"/>
      <c r="AI5" s="79"/>
      <c r="AJ5" s="374" t="s">
        <v>229</v>
      </c>
      <c r="AK5" s="124" t="s">
        <v>238</v>
      </c>
      <c r="AL5" s="116">
        <v>10</v>
      </c>
      <c r="AM5" s="223">
        <f t="shared" ref="AM5:AM12" si="4">$AO$1</f>
        <v>4.5658409387222934</v>
      </c>
      <c r="AN5" s="127">
        <v>1</v>
      </c>
      <c r="AO5" s="119">
        <f t="shared" ref="AO5:AO11" si="5">AL5*AM5</f>
        <v>45.658409387222932</v>
      </c>
      <c r="AP5" s="120">
        <f t="shared" ref="AP5:AP11" si="6">AO5*AN5</f>
        <v>45.658409387222932</v>
      </c>
      <c r="AQ5" s="295"/>
      <c r="AR5" s="1171"/>
      <c r="AS5" s="175"/>
      <c r="AT5" s="1172"/>
    </row>
    <row r="6" spans="1:46" ht="14.25" customHeight="1" x14ac:dyDescent="0.3">
      <c r="A6" s="128" t="s">
        <v>13</v>
      </c>
      <c r="B6" s="114" t="s">
        <v>12</v>
      </c>
      <c r="C6" s="115" t="s">
        <v>14</v>
      </c>
      <c r="D6" s="125">
        <v>100</v>
      </c>
      <c r="E6" s="126">
        <f t="shared" ref="E6:E22" si="7">$I$1</f>
        <v>19.95441595441596</v>
      </c>
      <c r="F6" s="299">
        <v>0.95</v>
      </c>
      <c r="G6" s="119">
        <f t="shared" si="0"/>
        <v>1995.4415954415961</v>
      </c>
      <c r="H6" s="207">
        <f t="shared" si="1"/>
        <v>1895.6695156695162</v>
      </c>
      <c r="I6" s="81">
        <f>VLOOKUP(B6,All_Ingredients!$A$1:$F$151,6,FALSE())</f>
        <v>0.9</v>
      </c>
      <c r="J6" s="119">
        <f>VLOOKUP(B6,All_Ingredients!$A$1:$J$151,10,FALSE())</f>
        <v>3</v>
      </c>
      <c r="K6" s="122">
        <f t="shared" ref="K6:K22" si="8">(H6/I6)/1000</f>
        <v>2.1062994618550177</v>
      </c>
      <c r="L6" s="122">
        <f t="shared" ref="L6:L22" si="9">K6*J6</f>
        <v>6.3188983855650527</v>
      </c>
      <c r="AI6" s="79" t="s">
        <v>57</v>
      </c>
      <c r="AJ6" s="323" t="s">
        <v>56</v>
      </c>
      <c r="AK6" s="334" t="s">
        <v>14</v>
      </c>
      <c r="AL6" s="116">
        <v>100</v>
      </c>
      <c r="AM6" s="223">
        <f t="shared" si="4"/>
        <v>4.5658409387222934</v>
      </c>
      <c r="AN6" s="127">
        <v>1</v>
      </c>
      <c r="AO6" s="119">
        <f t="shared" si="5"/>
        <v>456.58409387222935</v>
      </c>
      <c r="AP6" s="120">
        <f t="shared" si="6"/>
        <v>456.58409387222935</v>
      </c>
      <c r="AQ6" s="1172">
        <f>VLOOKUP(AJ6,Marination_Ordering!$A:$J,6,FALSE)</f>
        <v>0.87</v>
      </c>
      <c r="AR6" s="1172">
        <f>VLOOKUP(AJ6,Marination_Ordering!$A:$J,10,FALSE)</f>
        <v>3.2</v>
      </c>
      <c r="AS6" s="175">
        <f>AP6/AQ6</f>
        <v>524.80930330141302</v>
      </c>
      <c r="AT6" s="1172">
        <f>AR6*(AS6/1000)</f>
        <v>1.679389770564522</v>
      </c>
    </row>
    <row r="7" spans="1:46" ht="14.25" customHeight="1" x14ac:dyDescent="0.3">
      <c r="A7" s="128" t="s">
        <v>13</v>
      </c>
      <c r="B7" s="114" t="s">
        <v>792</v>
      </c>
      <c r="C7" s="115" t="s">
        <v>14</v>
      </c>
      <c r="D7" s="125">
        <v>20</v>
      </c>
      <c r="E7" s="126">
        <f t="shared" si="7"/>
        <v>19.95441595441596</v>
      </c>
      <c r="F7" s="299">
        <v>1</v>
      </c>
      <c r="G7" s="119">
        <f t="shared" si="0"/>
        <v>399.08831908831922</v>
      </c>
      <c r="H7" s="207">
        <f t="shared" si="1"/>
        <v>399.08831908831922</v>
      </c>
      <c r="I7" s="81">
        <f>VLOOKUP(B7,All_Ingredients!$A$1:$F$151,6,FALSE())</f>
        <v>1</v>
      </c>
      <c r="J7" s="119">
        <f>VLOOKUP(B7,All_Ingredients!$A$1:$J$151,10,FALSE())</f>
        <v>10.5</v>
      </c>
      <c r="K7" s="122">
        <f t="shared" si="8"/>
        <v>0.39908831908831921</v>
      </c>
      <c r="L7" s="122">
        <f t="shared" si="9"/>
        <v>4.1904273504273517</v>
      </c>
      <c r="AI7" s="79" t="s">
        <v>13</v>
      </c>
      <c r="AJ7" s="323" t="s">
        <v>792</v>
      </c>
      <c r="AK7" s="334" t="s">
        <v>14</v>
      </c>
      <c r="AL7" s="116">
        <v>100</v>
      </c>
      <c r="AM7" s="223">
        <f t="shared" si="4"/>
        <v>4.5658409387222934</v>
      </c>
      <c r="AN7" s="127">
        <v>1</v>
      </c>
      <c r="AO7" s="119">
        <f t="shared" si="5"/>
        <v>456.58409387222935</v>
      </c>
      <c r="AP7" s="120">
        <f t="shared" si="6"/>
        <v>456.58409387222935</v>
      </c>
      <c r="AQ7" s="1172">
        <f>VLOOKUP(AJ7,Marination_Ordering!$A:$J,6,FALSE)</f>
        <v>1</v>
      </c>
      <c r="AR7" s="1172">
        <f>VLOOKUP(AJ7,Marination_Ordering!$A:$J,10,FALSE)</f>
        <v>10.5</v>
      </c>
      <c r="AS7" s="175">
        <f t="shared" ref="AS7:AS8" si="10">AP7/AQ7</f>
        <v>456.58409387222935</v>
      </c>
      <c r="AT7" s="1172">
        <f t="shared" ref="AT7:AT8" si="11">AR7*(AS7/1000)</f>
        <v>4.7941329856584085</v>
      </c>
    </row>
    <row r="8" spans="1:46" ht="14.25" customHeight="1" x14ac:dyDescent="0.3">
      <c r="A8" s="128" t="s">
        <v>13</v>
      </c>
      <c r="B8" s="114" t="s">
        <v>17</v>
      </c>
      <c r="C8" s="115" t="s">
        <v>14</v>
      </c>
      <c r="D8" s="125">
        <v>500</v>
      </c>
      <c r="E8" s="126">
        <f t="shared" si="7"/>
        <v>19.95441595441596</v>
      </c>
      <c r="F8" s="299">
        <v>0.9</v>
      </c>
      <c r="G8" s="119">
        <f t="shared" si="0"/>
        <v>9977.2079772079796</v>
      </c>
      <c r="H8" s="207">
        <f t="shared" si="1"/>
        <v>8979.4871794871815</v>
      </c>
      <c r="I8" s="81">
        <f>VLOOKUP(B8,All_Ingredients!$A$1:$F$151,6,FALSE())</f>
        <v>0.98</v>
      </c>
      <c r="J8" s="119">
        <f>VLOOKUP(B8,All_Ingredients!$A$1:$J$151,10,FALSE())</f>
        <v>3.5</v>
      </c>
      <c r="K8" s="122">
        <f t="shared" si="8"/>
        <v>9.1627420198848792</v>
      </c>
      <c r="L8" s="122">
        <f t="shared" si="9"/>
        <v>32.06959706959708</v>
      </c>
      <c r="AI8" s="79" t="s">
        <v>210</v>
      </c>
      <c r="AJ8" s="323" t="s">
        <v>219</v>
      </c>
      <c r="AK8" s="334" t="s">
        <v>165</v>
      </c>
      <c r="AL8" s="116">
        <v>200</v>
      </c>
      <c r="AM8" s="223">
        <f t="shared" si="4"/>
        <v>4.5658409387222934</v>
      </c>
      <c r="AN8" s="127">
        <v>1</v>
      </c>
      <c r="AO8" s="119">
        <f t="shared" si="5"/>
        <v>913.16818774445869</v>
      </c>
      <c r="AP8" s="120">
        <f t="shared" si="6"/>
        <v>913.16818774445869</v>
      </c>
      <c r="AQ8" s="1172">
        <f>VLOOKUP(AJ8,Marination_Ordering!$A:$J,6,FALSE)</f>
        <v>1</v>
      </c>
      <c r="AR8" s="1172">
        <f>VLOOKUP(AJ8,Marination_Ordering!$A:$J,10,FALSE)</f>
        <v>5</v>
      </c>
      <c r="AS8" s="175">
        <f t="shared" si="10"/>
        <v>913.16818774445869</v>
      </c>
      <c r="AT8" s="1172">
        <f t="shared" si="11"/>
        <v>4.5658409387222934</v>
      </c>
    </row>
    <row r="9" spans="1:46" ht="14.25" customHeight="1" x14ac:dyDescent="0.3">
      <c r="A9" s="128" t="s">
        <v>83</v>
      </c>
      <c r="B9" s="114" t="s">
        <v>82</v>
      </c>
      <c r="C9" s="115" t="s">
        <v>14</v>
      </c>
      <c r="D9" s="125">
        <v>0.5</v>
      </c>
      <c r="E9" s="126">
        <f t="shared" si="7"/>
        <v>19.95441595441596</v>
      </c>
      <c r="F9" s="299">
        <v>0.75</v>
      </c>
      <c r="G9" s="119">
        <f t="shared" si="0"/>
        <v>9.9772079772079802</v>
      </c>
      <c r="H9" s="207">
        <f t="shared" si="1"/>
        <v>7.4829059829059847</v>
      </c>
      <c r="I9" s="81">
        <f>VLOOKUP(B9,All_Ingredients!$A$1:$F$151,6,FALSE())</f>
        <v>1</v>
      </c>
      <c r="J9" s="119">
        <f>VLOOKUP(B9,All_Ingredients!$A$1:$J$151,10,FALSE())</f>
        <v>7</v>
      </c>
      <c r="K9" s="122">
        <f t="shared" si="8"/>
        <v>7.4829059829059847E-3</v>
      </c>
      <c r="L9" s="122">
        <f t="shared" si="9"/>
        <v>5.2380341880341894E-2</v>
      </c>
      <c r="AI9" s="79" t="s">
        <v>210</v>
      </c>
      <c r="AJ9" s="323" t="s">
        <v>215</v>
      </c>
      <c r="AK9" s="124" t="s">
        <v>165</v>
      </c>
      <c r="AL9" s="116">
        <v>150</v>
      </c>
      <c r="AM9" s="223">
        <f t="shared" si="4"/>
        <v>4.5658409387222934</v>
      </c>
      <c r="AN9" s="127">
        <v>1</v>
      </c>
      <c r="AO9" s="119">
        <f t="shared" si="5"/>
        <v>684.87614080834396</v>
      </c>
      <c r="AP9" s="120">
        <f t="shared" si="6"/>
        <v>684.87614080834396</v>
      </c>
      <c r="AQ9" s="1172">
        <f>VLOOKUP(AJ9,Marination_Ordering!$A:$J,6,FALSE)</f>
        <v>1</v>
      </c>
      <c r="AR9" s="1172">
        <f>VLOOKUP(AJ9,Marination_Ordering!$A:$J,10,FALSE)</f>
        <v>2.1621621621621623</v>
      </c>
      <c r="AS9" s="175">
        <f t="shared" ref="AS9:AS12" si="12">AP9/AQ9</f>
        <v>684.87614080834396</v>
      </c>
      <c r="AT9" s="1172">
        <f t="shared" ref="AT9:AT12" si="13">AR9*(AS9/1000)</f>
        <v>1.4808132774234464</v>
      </c>
    </row>
    <row r="10" spans="1:46" ht="14.25" customHeight="1" x14ac:dyDescent="0.3">
      <c r="A10" s="128" t="s">
        <v>83</v>
      </c>
      <c r="B10" s="114" t="s">
        <v>87</v>
      </c>
      <c r="C10" s="115" t="s">
        <v>14</v>
      </c>
      <c r="D10" s="125">
        <v>0.5</v>
      </c>
      <c r="E10" s="126">
        <f t="shared" si="7"/>
        <v>19.95441595441596</v>
      </c>
      <c r="F10" s="299">
        <v>0.9</v>
      </c>
      <c r="G10" s="119">
        <f t="shared" si="0"/>
        <v>9.9772079772079802</v>
      </c>
      <c r="H10" s="207">
        <f t="shared" si="1"/>
        <v>8.9794871794871831</v>
      </c>
      <c r="I10" s="81">
        <f>VLOOKUP(B10,All_Ingredients!$A$1:$F$151,6,FALSE())</f>
        <v>1</v>
      </c>
      <c r="J10" s="119">
        <f>VLOOKUP(B10,All_Ingredients!$A$1:$J$151,10,FALSE())</f>
        <v>140.84507042253523</v>
      </c>
      <c r="K10" s="122">
        <f t="shared" si="8"/>
        <v>8.9794871794871833E-3</v>
      </c>
      <c r="L10" s="122">
        <f t="shared" si="9"/>
        <v>1.2647165041531245</v>
      </c>
      <c r="AI10" s="79" t="s">
        <v>97</v>
      </c>
      <c r="AJ10" s="323" t="s">
        <v>96</v>
      </c>
      <c r="AK10" s="334" t="s">
        <v>14</v>
      </c>
      <c r="AL10" s="116">
        <v>2</v>
      </c>
      <c r="AM10" s="223">
        <f t="shared" si="4"/>
        <v>4.5658409387222934</v>
      </c>
      <c r="AN10" s="127">
        <v>1</v>
      </c>
      <c r="AO10" s="119">
        <f t="shared" si="5"/>
        <v>9.1316818774445867</v>
      </c>
      <c r="AP10" s="120">
        <f t="shared" si="6"/>
        <v>9.1316818774445867</v>
      </c>
      <c r="AQ10" s="1172">
        <f>VLOOKUP(AJ10,Marination_Ordering!$A:$J,6,FALSE)</f>
        <v>1</v>
      </c>
      <c r="AR10" s="1172">
        <f>VLOOKUP(AJ10,Marination_Ordering!$A:$J,10,FALSE)</f>
        <v>0.74</v>
      </c>
      <c r="AS10" s="175">
        <f t="shared" si="12"/>
        <v>9.1316818774445867</v>
      </c>
      <c r="AT10" s="1172">
        <f t="shared" si="13"/>
        <v>6.7574445893089944E-3</v>
      </c>
    </row>
    <row r="11" spans="1:46" ht="14.25" customHeight="1" x14ac:dyDescent="0.3">
      <c r="A11" s="128" t="s">
        <v>83</v>
      </c>
      <c r="B11" s="114" t="s">
        <v>85</v>
      </c>
      <c r="C11" s="115" t="s">
        <v>14</v>
      </c>
      <c r="D11" s="125">
        <v>0.5</v>
      </c>
      <c r="E11" s="126">
        <f t="shared" si="7"/>
        <v>19.95441595441596</v>
      </c>
      <c r="F11" s="299">
        <v>0.9</v>
      </c>
      <c r="G11" s="119">
        <f t="shared" si="0"/>
        <v>9.9772079772079802</v>
      </c>
      <c r="H11" s="207">
        <f t="shared" si="1"/>
        <v>8.9794871794871831</v>
      </c>
      <c r="I11" s="81">
        <f>VLOOKUP(B11,All_Ingredients!$A$1:$F$151,6,FALSE())</f>
        <v>1</v>
      </c>
      <c r="J11" s="119">
        <f>VLOOKUP(B11,All_Ingredients!$A$1:$J$151,10,FALSE())</f>
        <v>147.88732394366198</v>
      </c>
      <c r="K11" s="122">
        <f t="shared" si="8"/>
        <v>8.9794871794871833E-3</v>
      </c>
      <c r="L11" s="122">
        <f t="shared" si="9"/>
        <v>1.3279523293607807</v>
      </c>
      <c r="AI11" s="79" t="s">
        <v>97</v>
      </c>
      <c r="AJ11" s="323" t="s">
        <v>102</v>
      </c>
      <c r="AK11" s="334" t="s">
        <v>14</v>
      </c>
      <c r="AL11" s="224">
        <v>5</v>
      </c>
      <c r="AM11" s="223">
        <f t="shared" si="4"/>
        <v>4.5658409387222934</v>
      </c>
      <c r="AN11" s="127">
        <v>1</v>
      </c>
      <c r="AO11" s="119">
        <f t="shared" si="5"/>
        <v>22.829204693611466</v>
      </c>
      <c r="AP11" s="120">
        <f t="shared" si="6"/>
        <v>22.829204693611466</v>
      </c>
      <c r="AQ11" s="1172">
        <f>VLOOKUP(AJ11,Marination_Ordering!$A:$J,6,FALSE)</f>
        <v>1</v>
      </c>
      <c r="AR11" s="1172">
        <f>VLOOKUP(AJ11,Marination_Ordering!$A:$J,10,FALSE)</f>
        <v>31</v>
      </c>
      <c r="AS11" s="175">
        <f t="shared" si="12"/>
        <v>22.829204693611466</v>
      </c>
      <c r="AT11" s="1172">
        <f t="shared" si="13"/>
        <v>0.70770534550195541</v>
      </c>
    </row>
    <row r="12" spans="1:46" ht="14.25" customHeight="1" x14ac:dyDescent="0.3">
      <c r="A12" s="128" t="s">
        <v>97</v>
      </c>
      <c r="B12" s="114" t="s">
        <v>96</v>
      </c>
      <c r="C12" s="115" t="s">
        <v>14</v>
      </c>
      <c r="D12" s="125">
        <v>10</v>
      </c>
      <c r="E12" s="126">
        <f t="shared" si="7"/>
        <v>19.95441595441596</v>
      </c>
      <c r="F12" s="299">
        <v>0.75</v>
      </c>
      <c r="G12" s="119">
        <f t="shared" si="0"/>
        <v>199.54415954415961</v>
      </c>
      <c r="H12" s="207">
        <f t="shared" si="1"/>
        <v>149.65811965811972</v>
      </c>
      <c r="I12" s="81">
        <f>VLOOKUP(B12,All_Ingredients!$A$1:$F$151,6,FALSE())</f>
        <v>1</v>
      </c>
      <c r="J12" s="119">
        <f>VLOOKUP(B12,All_Ingredients!$A$1:$J$151,10,FALSE())</f>
        <v>0.74</v>
      </c>
      <c r="K12" s="122">
        <f t="shared" si="8"/>
        <v>0.1496581196581197</v>
      </c>
      <c r="L12" s="122">
        <f t="shared" si="9"/>
        <v>0.11074700854700859</v>
      </c>
      <c r="AI12" s="79" t="s">
        <v>97</v>
      </c>
      <c r="AJ12" s="323" t="s">
        <v>221</v>
      </c>
      <c r="AK12" s="334" t="s">
        <v>14</v>
      </c>
      <c r="AL12" s="224">
        <v>5</v>
      </c>
      <c r="AM12" s="223">
        <f t="shared" si="4"/>
        <v>4.5658409387222934</v>
      </c>
      <c r="AN12" s="127">
        <v>1</v>
      </c>
      <c r="AO12" s="119">
        <f>AL12*AM12</f>
        <v>22.829204693611466</v>
      </c>
      <c r="AP12" s="120">
        <f>AO12*AN12</f>
        <v>22.829204693611466</v>
      </c>
      <c r="AQ12" s="1172">
        <f>VLOOKUP(AJ12,Marination_Ordering!$A:$J,6,FALSE)</f>
        <v>1</v>
      </c>
      <c r="AR12" s="1172">
        <f>VLOOKUP(AJ12,Marination_Ordering!$A:$J,10,FALSE)</f>
        <v>35</v>
      </c>
      <c r="AS12" s="175">
        <f t="shared" si="12"/>
        <v>22.829204693611466</v>
      </c>
      <c r="AT12" s="1172">
        <f t="shared" si="13"/>
        <v>0.79902216427640127</v>
      </c>
    </row>
    <row r="13" spans="1:46" ht="14.25" customHeight="1" x14ac:dyDescent="0.3">
      <c r="A13" s="128" t="s">
        <v>97</v>
      </c>
      <c r="B13" s="114" t="s">
        <v>102</v>
      </c>
      <c r="C13" s="115" t="s">
        <v>14</v>
      </c>
      <c r="D13" s="125">
        <v>1</v>
      </c>
      <c r="E13" s="126">
        <f t="shared" si="7"/>
        <v>19.95441595441596</v>
      </c>
      <c r="F13" s="299">
        <v>0.75</v>
      </c>
      <c r="G13" s="119">
        <f t="shared" si="0"/>
        <v>19.95441595441596</v>
      </c>
      <c r="H13" s="207">
        <f t="shared" si="1"/>
        <v>14.965811965811969</v>
      </c>
      <c r="I13" s="81">
        <f>VLOOKUP(B13,All_Ingredients!$A$1:$F$151,6,FALSE())</f>
        <v>1</v>
      </c>
      <c r="J13" s="119">
        <f>VLOOKUP(B13,All_Ingredients!$A$1:$J$151,10,FALSE())</f>
        <v>31</v>
      </c>
      <c r="K13" s="122">
        <f t="shared" si="8"/>
        <v>1.4965811965811969E-2</v>
      </c>
      <c r="L13" s="122">
        <f t="shared" si="9"/>
        <v>0.46394017094017104</v>
      </c>
      <c r="AI13" s="79"/>
    </row>
    <row r="14" spans="1:46" ht="14.25" customHeight="1" x14ac:dyDescent="0.3">
      <c r="A14" s="128" t="s">
        <v>186</v>
      </c>
      <c r="B14" s="114" t="s">
        <v>189</v>
      </c>
      <c r="C14" s="115" t="s">
        <v>14</v>
      </c>
      <c r="D14" s="125">
        <v>20</v>
      </c>
      <c r="E14" s="126">
        <f t="shared" si="7"/>
        <v>19.95441595441596</v>
      </c>
      <c r="F14" s="299">
        <v>0.75</v>
      </c>
      <c r="G14" s="119">
        <f t="shared" si="0"/>
        <v>399.08831908831922</v>
      </c>
      <c r="H14" s="207">
        <f t="shared" si="1"/>
        <v>299.31623931623943</v>
      </c>
      <c r="I14" s="81">
        <f>VLOOKUP(B14,All_Ingredients!$A$1:$F$151,6,FALSE())</f>
        <v>1</v>
      </c>
      <c r="J14" s="119">
        <f>VLOOKUP(B14,All_Ingredients!$A$1:$J$151,10,FALSE())</f>
        <v>17</v>
      </c>
      <c r="K14" s="122">
        <f t="shared" si="8"/>
        <v>0.29931623931623941</v>
      </c>
      <c r="L14" s="122">
        <f t="shared" si="9"/>
        <v>5.0883760683760695</v>
      </c>
      <c r="AI14" s="79"/>
    </row>
    <row r="15" spans="1:46" ht="14.25" customHeight="1" x14ac:dyDescent="0.3">
      <c r="A15" s="128" t="s">
        <v>158</v>
      </c>
      <c r="B15" s="114" t="s">
        <v>157</v>
      </c>
      <c r="C15" s="115" t="s">
        <v>14</v>
      </c>
      <c r="D15" s="125">
        <v>30</v>
      </c>
      <c r="E15" s="126">
        <f t="shared" si="7"/>
        <v>19.95441595441596</v>
      </c>
      <c r="F15" s="299">
        <v>1</v>
      </c>
      <c r="G15" s="119">
        <f t="shared" si="0"/>
        <v>598.63247863247886</v>
      </c>
      <c r="H15" s="207">
        <f t="shared" si="1"/>
        <v>598.63247863247886</v>
      </c>
      <c r="I15" s="81">
        <f>VLOOKUP(B15,All_Ingredients!$A$1:$F$151,6,FALSE())</f>
        <v>1</v>
      </c>
      <c r="J15" s="119">
        <f>VLOOKUP(B15,All_Ingredients!$A$1:$J$151,10,FALSE())</f>
        <v>30</v>
      </c>
      <c r="K15" s="122">
        <f t="shared" si="8"/>
        <v>0.59863247863247881</v>
      </c>
      <c r="L15" s="122">
        <f t="shared" si="9"/>
        <v>17.958974358974366</v>
      </c>
      <c r="AI15" s="79"/>
    </row>
    <row r="16" spans="1:46" ht="14.25" customHeight="1" x14ac:dyDescent="0.3">
      <c r="A16" s="128" t="s">
        <v>192</v>
      </c>
      <c r="B16" s="114" t="s">
        <v>191</v>
      </c>
      <c r="C16" s="115" t="s">
        <v>14</v>
      </c>
      <c r="D16" s="125">
        <v>10</v>
      </c>
      <c r="E16" s="126">
        <f t="shared" si="7"/>
        <v>19.95441595441596</v>
      </c>
      <c r="F16" s="299">
        <v>1</v>
      </c>
      <c r="G16" s="119">
        <f t="shared" si="0"/>
        <v>199.54415954415961</v>
      </c>
      <c r="H16" s="207">
        <f t="shared" si="1"/>
        <v>199.54415954415961</v>
      </c>
      <c r="I16" s="81">
        <f>VLOOKUP(B16,All_Ingredients!$A$1:$F$151,6,FALSE())</f>
        <v>1</v>
      </c>
      <c r="J16" s="119">
        <f>VLOOKUP(B16,All_Ingredients!$A$1:$J$151,10,FALSE())</f>
        <v>1.7</v>
      </c>
      <c r="K16" s="122">
        <f t="shared" si="8"/>
        <v>0.1995441595441596</v>
      </c>
      <c r="L16" s="122">
        <f t="shared" si="9"/>
        <v>0.33922507122507134</v>
      </c>
      <c r="AI16" s="79"/>
    </row>
    <row r="17" spans="1:32" ht="14.25" customHeight="1" x14ac:dyDescent="0.3">
      <c r="A17" s="128" t="s">
        <v>158</v>
      </c>
      <c r="B17" s="114" t="s">
        <v>171</v>
      </c>
      <c r="C17" s="115" t="s">
        <v>165</v>
      </c>
      <c r="D17" s="125">
        <v>280</v>
      </c>
      <c r="E17" s="126">
        <f t="shared" si="7"/>
        <v>19.95441595441596</v>
      </c>
      <c r="F17" s="299">
        <v>1</v>
      </c>
      <c r="G17" s="119">
        <f t="shared" si="0"/>
        <v>5587.2364672364693</v>
      </c>
      <c r="H17" s="207">
        <f t="shared" si="1"/>
        <v>5587.2364672364693</v>
      </c>
      <c r="I17" s="81">
        <f>VLOOKUP(B17,All_Ingredients!$A$1:$F$151,6,FALSE())</f>
        <v>1</v>
      </c>
      <c r="J17" s="119">
        <f>VLOOKUP(B17,All_Ingredients!$A$1:$J$151,10,FALSE())</f>
        <v>12.666666666666666</v>
      </c>
      <c r="K17" s="122">
        <f t="shared" si="8"/>
        <v>5.5872364672364689</v>
      </c>
      <c r="L17" s="122">
        <f t="shared" si="9"/>
        <v>70.771661918328604</v>
      </c>
    </row>
    <row r="18" spans="1:32" ht="14.25" customHeight="1" x14ac:dyDescent="0.3">
      <c r="A18" s="128" t="s">
        <v>158</v>
      </c>
      <c r="B18" s="114" t="s">
        <v>164</v>
      </c>
      <c r="C18" s="115" t="s">
        <v>165</v>
      </c>
      <c r="D18" s="125">
        <v>400</v>
      </c>
      <c r="E18" s="126">
        <f t="shared" si="7"/>
        <v>19.95441595441596</v>
      </c>
      <c r="F18" s="299">
        <v>1</v>
      </c>
      <c r="G18" s="119">
        <f t="shared" si="0"/>
        <v>7981.7663817663843</v>
      </c>
      <c r="H18" s="207">
        <f t="shared" si="1"/>
        <v>7981.7663817663843</v>
      </c>
      <c r="I18" s="81">
        <f>VLOOKUP(B18,All_Ingredients!$A$1:$F$151,6,FALSE())</f>
        <v>1</v>
      </c>
      <c r="J18" s="119">
        <f>VLOOKUP(B18,All_Ingredients!$A$1:$J$151,10,FALSE())</f>
        <v>4.2033333333333331</v>
      </c>
      <c r="K18" s="122">
        <f t="shared" si="8"/>
        <v>7.9817663817663842</v>
      </c>
      <c r="L18" s="122">
        <f t="shared" si="9"/>
        <v>33.550024691358033</v>
      </c>
    </row>
    <row r="19" spans="1:32" ht="14.25" customHeight="1" x14ac:dyDescent="0.3">
      <c r="A19" s="128" t="s">
        <v>220</v>
      </c>
      <c r="B19" s="114" t="s">
        <v>221</v>
      </c>
      <c r="C19" s="115" t="s">
        <v>14</v>
      </c>
      <c r="D19" s="125">
        <v>1</v>
      </c>
      <c r="E19" s="126">
        <f t="shared" si="7"/>
        <v>19.95441595441596</v>
      </c>
      <c r="F19" s="299">
        <v>1</v>
      </c>
      <c r="G19" s="119">
        <f t="shared" si="0"/>
        <v>19.95441595441596</v>
      </c>
      <c r="H19" s="207">
        <f t="shared" si="1"/>
        <v>19.95441595441596</v>
      </c>
      <c r="I19" s="81">
        <f>VLOOKUP(B19,All_Ingredients!$A$1:$F$151,6,FALSE())</f>
        <v>1</v>
      </c>
      <c r="J19" s="119">
        <f>VLOOKUP(B19,All_Ingredients!$A$1:$J$151,10,FALSE())</f>
        <v>35</v>
      </c>
      <c r="K19" s="122">
        <f t="shared" si="8"/>
        <v>1.9954415954415959E-2</v>
      </c>
      <c r="L19" s="122">
        <f t="shared" si="9"/>
        <v>0.69840455840455862</v>
      </c>
    </row>
    <row r="20" spans="1:32" ht="14.75" customHeight="1" x14ac:dyDescent="0.3">
      <c r="A20" s="128" t="s">
        <v>158</v>
      </c>
      <c r="B20" s="114" t="s">
        <v>791</v>
      </c>
      <c r="C20" s="115" t="s">
        <v>14</v>
      </c>
      <c r="D20" s="125">
        <v>50</v>
      </c>
      <c r="E20" s="126">
        <f t="shared" si="7"/>
        <v>19.95441595441596</v>
      </c>
      <c r="F20" s="299">
        <v>1</v>
      </c>
      <c r="G20" s="119">
        <f t="shared" si="0"/>
        <v>997.72079772079803</v>
      </c>
      <c r="H20" s="207">
        <f t="shared" si="1"/>
        <v>997.72079772079803</v>
      </c>
      <c r="I20" s="81">
        <f>VLOOKUP(B20,All_Ingredients!$A$1:$F$151,6,FALSE())</f>
        <v>1</v>
      </c>
      <c r="J20" s="119">
        <f>VLOOKUP(B20,All_Ingredients!$A$1:$J$151,10,FALSE())</f>
        <v>67.91483113069016</v>
      </c>
      <c r="K20" s="122">
        <f t="shared" si="8"/>
        <v>0.99772079772079802</v>
      </c>
      <c r="L20" s="122">
        <f t="shared" si="9"/>
        <v>67.760039492785481</v>
      </c>
    </row>
    <row r="21" spans="1:32" ht="14.25" customHeight="1" x14ac:dyDescent="0.3">
      <c r="A21" s="128" t="s">
        <v>97</v>
      </c>
      <c r="B21" s="114" t="s">
        <v>144</v>
      </c>
      <c r="C21" s="115" t="s">
        <v>14</v>
      </c>
      <c r="D21" s="125">
        <v>5</v>
      </c>
      <c r="E21" s="126">
        <f t="shared" si="7"/>
        <v>19.95441595441596</v>
      </c>
      <c r="F21" s="570">
        <v>1</v>
      </c>
      <c r="G21" s="119">
        <f t="shared" si="0"/>
        <v>99.772079772079806</v>
      </c>
      <c r="H21" s="207">
        <f t="shared" si="1"/>
        <v>99.772079772079806</v>
      </c>
      <c r="I21" s="81">
        <f>VLOOKUP(B21,All_Ingredients!$A$1:$F$151,6,FALSE())</f>
        <v>1</v>
      </c>
      <c r="J21" s="119">
        <f>VLOOKUP(B21,All_Ingredients!$A$1:$J$151,10,FALSE())</f>
        <v>15.277777777777779</v>
      </c>
      <c r="K21" s="122">
        <f t="shared" si="8"/>
        <v>9.9772079772079802E-2</v>
      </c>
      <c r="L21" s="122">
        <f t="shared" si="9"/>
        <v>1.5242956631845526</v>
      </c>
    </row>
    <row r="22" spans="1:32" ht="14.25" customHeight="1" x14ac:dyDescent="0.35">
      <c r="A22" s="128" t="s">
        <v>196</v>
      </c>
      <c r="B22" s="114" t="s">
        <v>204</v>
      </c>
      <c r="C22" s="1010" t="s">
        <v>165</v>
      </c>
      <c r="D22" s="125">
        <v>50</v>
      </c>
      <c r="E22" s="572">
        <f t="shared" si="7"/>
        <v>19.95441595441596</v>
      </c>
      <c r="F22" s="573">
        <v>1</v>
      </c>
      <c r="G22" s="455">
        <f t="shared" si="0"/>
        <v>997.72079772079803</v>
      </c>
      <c r="H22" s="574">
        <f t="shared" si="1"/>
        <v>997.72079772079803</v>
      </c>
      <c r="I22" s="81">
        <f>VLOOKUP(B22,All_Ingredients!$A$1:$F$151,6,FALSE())</f>
        <v>1</v>
      </c>
      <c r="J22" s="119">
        <f>VLOOKUP(B22,All_Ingredients!$A$1:$J$151,10,FALSE())</f>
        <v>3.25</v>
      </c>
      <c r="K22" s="122">
        <f t="shared" si="8"/>
        <v>0.99772079772079802</v>
      </c>
      <c r="L22" s="122">
        <f t="shared" si="9"/>
        <v>3.2425925925925938</v>
      </c>
      <c r="P22"/>
    </row>
    <row r="23" spans="1:32" ht="14.25" customHeight="1" x14ac:dyDescent="0.3">
      <c r="A23" s="575"/>
      <c r="B23" s="423"/>
      <c r="C23" s="576"/>
      <c r="D23" s="358"/>
      <c r="E23" s="577"/>
      <c r="F23" s="578"/>
      <c r="G23" s="472"/>
      <c r="H23" s="579"/>
      <c r="I23" s="422"/>
      <c r="J23" s="489"/>
      <c r="K23" s="422"/>
      <c r="L23" s="472"/>
    </row>
    <row r="24" spans="1:32" ht="14.25" customHeight="1" x14ac:dyDescent="0.3">
      <c r="B24" s="100"/>
      <c r="C24" s="250"/>
      <c r="D24" s="254"/>
      <c r="E24" s="135"/>
      <c r="F24" s="535"/>
      <c r="G24" s="137"/>
      <c r="H24" s="536"/>
      <c r="I24" s="92"/>
      <c r="J24" s="139"/>
      <c r="K24" s="92"/>
      <c r="L24" s="137"/>
      <c r="Z24" s="1234"/>
    </row>
    <row r="25" spans="1:32" ht="14.25" customHeight="1" x14ac:dyDescent="0.35">
      <c r="L25" s="297"/>
      <c r="R25" s="1411" t="s">
        <v>488</v>
      </c>
      <c r="S25" s="1388"/>
      <c r="T25" s="1388"/>
      <c r="U25" s="1388"/>
      <c r="V25" s="1206"/>
      <c r="W25" s="1206"/>
      <c r="Z25" s="141" t="s">
        <v>264</v>
      </c>
      <c r="AA25" s="142">
        <v>35020</v>
      </c>
      <c r="AB25" s="141" t="s">
        <v>261</v>
      </c>
      <c r="AC25" s="143">
        <f>(AA25*(4/3))*AF30+(AA30*(AB28/R1))</f>
        <v>1169.715370491673</v>
      </c>
    </row>
    <row r="26" spans="1:32" ht="14.25" customHeight="1" x14ac:dyDescent="0.3">
      <c r="L26" s="297"/>
      <c r="R26" s="1423" t="s">
        <v>265</v>
      </c>
      <c r="S26" s="1388"/>
      <c r="T26" s="1388"/>
      <c r="U26" s="1388"/>
      <c r="V26" s="1206"/>
      <c r="W26" s="1206"/>
    </row>
    <row r="27" spans="1:32" ht="14.25" customHeight="1" thickBot="1" x14ac:dyDescent="0.35">
      <c r="B27" s="875"/>
      <c r="C27" s="1482"/>
      <c r="D27" s="1482"/>
      <c r="E27" s="1482"/>
      <c r="F27" s="1482"/>
      <c r="G27" s="1482"/>
      <c r="H27" s="876"/>
      <c r="L27" s="297"/>
      <c r="R27" s="145" t="s">
        <v>266</v>
      </c>
      <c r="S27" s="146" t="s">
        <v>267</v>
      </c>
      <c r="T27" s="146" t="s">
        <v>268</v>
      </c>
      <c r="U27" s="146" t="s">
        <v>269</v>
      </c>
      <c r="V27" s="146" t="s">
        <v>839</v>
      </c>
      <c r="W27" s="146" t="s">
        <v>848</v>
      </c>
      <c r="Z27" s="141" t="s">
        <v>270</v>
      </c>
      <c r="AA27" s="1185" t="s">
        <v>324</v>
      </c>
      <c r="AB27" s="147" t="s">
        <v>271</v>
      </c>
      <c r="AC27" s="147" t="s">
        <v>272</v>
      </c>
      <c r="AD27" s="147" t="s">
        <v>273</v>
      </c>
      <c r="AE27" s="1186" t="s">
        <v>848</v>
      </c>
      <c r="AF27" s="147" t="s">
        <v>274</v>
      </c>
    </row>
    <row r="28" spans="1:32" ht="15" customHeight="1" thickBot="1" x14ac:dyDescent="0.35">
      <c r="B28" s="877"/>
      <c r="C28" s="878"/>
      <c r="D28" s="879"/>
      <c r="E28" s="877"/>
      <c r="F28" s="877"/>
      <c r="G28" s="879"/>
      <c r="H28" s="880"/>
      <c r="L28" s="297"/>
      <c r="R28" s="148" t="s">
        <v>275</v>
      </c>
      <c r="S28" s="149">
        <f>U28*S40</f>
        <v>26169.230769230762</v>
      </c>
      <c r="T28" s="149">
        <f>U28*U40</f>
        <v>7850.7692307692387</v>
      </c>
      <c r="U28" s="1323">
        <f>Z1</f>
        <v>34020</v>
      </c>
      <c r="V28" s="149">
        <f>SUM(AP5:AP12)</f>
        <v>2611.661016949151</v>
      </c>
      <c r="W28" s="149">
        <f>H37</f>
        <v>15.750000000000002</v>
      </c>
      <c r="Z28" s="151"/>
      <c r="AA28" s="1188"/>
      <c r="AB28" s="152">
        <f>AA25*$S$40</f>
        <v>26938.461538461532</v>
      </c>
      <c r="AC28" s="152">
        <f>AA25*$U$40</f>
        <v>8081.5384615384701</v>
      </c>
      <c r="AD28" s="153">
        <f>AA25*(1/3)</f>
        <v>11673.333333333332</v>
      </c>
      <c r="AE28" s="1188"/>
      <c r="AF28" s="1331">
        <f>SUM(AB28:AD28)</f>
        <v>46693.333333333328</v>
      </c>
    </row>
    <row r="29" spans="1:32" ht="21" customHeight="1" thickBot="1" x14ac:dyDescent="0.35">
      <c r="L29" s="297"/>
      <c r="R29" s="148" t="s">
        <v>276</v>
      </c>
      <c r="S29" s="155"/>
      <c r="T29" s="149">
        <f>U28*(1/3)</f>
        <v>11340</v>
      </c>
      <c r="U29" s="149">
        <f>T29</f>
        <v>11340</v>
      </c>
      <c r="V29" s="149"/>
      <c r="W29" s="149"/>
      <c r="Z29" s="151"/>
      <c r="AA29" s="1192"/>
      <c r="AB29" s="156">
        <f>AB28/$AF$28</f>
        <v>0.57692307692307687</v>
      </c>
      <c r="AC29" s="156">
        <f>AC28/$AF$28</f>
        <v>0.17307692307692327</v>
      </c>
      <c r="AD29" s="156">
        <f>AD28/$AF$28</f>
        <v>0.25</v>
      </c>
      <c r="AE29" s="1192"/>
      <c r="AF29" s="156">
        <f>AF28/$AF$28</f>
        <v>1</v>
      </c>
    </row>
    <row r="30" spans="1:32" ht="14.25" customHeight="1" thickBot="1" x14ac:dyDescent="0.35">
      <c r="L30" s="297"/>
      <c r="R30" s="148" t="s">
        <v>277</v>
      </c>
      <c r="S30" s="1228">
        <f>U30*S40</f>
        <v>769.23076923076906</v>
      </c>
      <c r="T30" s="149">
        <f>(U30*U40)+(U30*(1/3))</f>
        <v>564.10256410256432</v>
      </c>
      <c r="U30" s="1323">
        <f>AB1</f>
        <v>1000</v>
      </c>
      <c r="V30" s="1143"/>
      <c r="W30" s="1143"/>
      <c r="Z30" s="141" t="s">
        <v>278</v>
      </c>
      <c r="AA30" s="1196">
        <f>V35/(S32/R1)</f>
        <v>3.0736204162783474E-4</v>
      </c>
      <c r="AB30" s="157">
        <f>S35/(S32)</f>
        <v>3.3701221915648408E-2</v>
      </c>
      <c r="AC30" s="158">
        <f>T35/T32</f>
        <v>1.2489691461310817E-2</v>
      </c>
      <c r="AD30" s="158">
        <f>T35/T32</f>
        <v>1.2489691461310817E-2</v>
      </c>
      <c r="AE30" s="1199">
        <f>W35/U32</f>
        <v>2.3352040592189084E-5</v>
      </c>
      <c r="AF30" s="1201">
        <f>SUMPRODUCT(AB30:AD30,AB29:AD29)+AE30</f>
        <v>2.4750464917867004E-2</v>
      </c>
    </row>
    <row r="31" spans="1:32" ht="14.25" customHeight="1" thickBot="1" x14ac:dyDescent="0.35">
      <c r="R31" s="148" t="s">
        <v>279</v>
      </c>
      <c r="S31" s="155"/>
      <c r="T31" s="149">
        <f>T28+T29</f>
        <v>19190.769230769238</v>
      </c>
      <c r="U31" s="149">
        <f>T31</f>
        <v>19190.769230769238</v>
      </c>
      <c r="V31" s="149"/>
      <c r="W31" s="149"/>
    </row>
    <row r="32" spans="1:32" ht="14.25" customHeight="1" thickBot="1" x14ac:dyDescent="0.35">
      <c r="R32" s="160" t="s">
        <v>269</v>
      </c>
      <c r="S32" s="149">
        <f>SUM(S28:S30)</f>
        <v>26938.461538461532</v>
      </c>
      <c r="T32" s="149">
        <f>SUM(T28:T30)</f>
        <v>19754.8717948718</v>
      </c>
      <c r="U32" s="149">
        <f>SUM(S32:T32)</f>
        <v>46693.333333333328</v>
      </c>
      <c r="V32" s="149"/>
      <c r="W32" s="149">
        <f>SUM(W28:W30)</f>
        <v>15.750000000000002</v>
      </c>
    </row>
    <row r="33" spans="2:23" ht="14.25" customHeight="1" thickBot="1" x14ac:dyDescent="0.35">
      <c r="R33" s="161" t="s">
        <v>280</v>
      </c>
      <c r="S33" s="155"/>
      <c r="T33" s="155"/>
      <c r="U33" s="155"/>
      <c r="V33" s="155"/>
      <c r="W33" s="155"/>
    </row>
    <row r="34" spans="2:23" ht="14.25" customHeight="1" thickBot="1" x14ac:dyDescent="0.35">
      <c r="R34" s="162" t="s">
        <v>281</v>
      </c>
      <c r="S34" s="155"/>
      <c r="T34" s="149"/>
      <c r="U34" s="155"/>
      <c r="V34" s="155"/>
      <c r="W34" s="155"/>
    </row>
    <row r="35" spans="2:23" ht="14.25" customHeight="1" thickBot="1" x14ac:dyDescent="0.35">
      <c r="B35" s="1412" t="s">
        <v>726</v>
      </c>
      <c r="C35" s="1412"/>
      <c r="D35" s="1412"/>
      <c r="E35" s="1412"/>
      <c r="F35" s="1412"/>
      <c r="G35" s="889"/>
      <c r="H35" s="889"/>
      <c r="I35" s="889"/>
      <c r="J35" s="889"/>
      <c r="K35" s="889"/>
      <c r="L35" s="889"/>
      <c r="R35" s="163" t="s">
        <v>261</v>
      </c>
      <c r="S35" s="164">
        <f>$L$5</f>
        <v>907.85907037385152</v>
      </c>
      <c r="T35" s="164">
        <f>SUM(L6:L22)</f>
        <v>246.73225357570021</v>
      </c>
      <c r="U35" s="1238">
        <f>S35+T35+V35+W35</f>
        <v>1169.7153704916727</v>
      </c>
      <c r="V35" s="1144">
        <f>SUM(AT6:AT12)</f>
        <v>14.033661926736336</v>
      </c>
      <c r="W35" s="1144">
        <f>L37</f>
        <v>1.0903846153846155</v>
      </c>
    </row>
    <row r="36" spans="2:23" ht="46.5" x14ac:dyDescent="0.3">
      <c r="B36" s="860" t="s">
        <v>253</v>
      </c>
      <c r="C36" s="860" t="s">
        <v>329</v>
      </c>
      <c r="D36" s="862" t="s">
        <v>671</v>
      </c>
      <c r="E36" s="859" t="s">
        <v>672</v>
      </c>
      <c r="F36" s="862" t="s">
        <v>673</v>
      </c>
      <c r="G36" s="882"/>
      <c r="H36" s="862" t="s">
        <v>673</v>
      </c>
      <c r="I36" s="862" t="s">
        <v>258</v>
      </c>
      <c r="J36" s="862" t="s">
        <v>259</v>
      </c>
      <c r="K36" s="862" t="s">
        <v>260</v>
      </c>
      <c r="L36" s="862" t="s">
        <v>261</v>
      </c>
    </row>
    <row r="37" spans="2:23" x14ac:dyDescent="0.3">
      <c r="B37" s="855" t="s">
        <v>746</v>
      </c>
      <c r="C37" s="856" t="s">
        <v>14</v>
      </c>
      <c r="D37" s="857">
        <v>7.0000000000000007E-2</v>
      </c>
      <c r="E37" s="855">
        <f>$AD$1</f>
        <v>225</v>
      </c>
      <c r="F37" s="855">
        <f>D37*E37</f>
        <v>15.750000000000002</v>
      </c>
      <c r="G37" s="881"/>
      <c r="H37" s="855">
        <f>F37</f>
        <v>15.750000000000002</v>
      </c>
      <c r="I37" s="855">
        <f>VLOOKUP(B37,All_Ingredients!$A$1:$F$151,6,FALSE())</f>
        <v>0.65</v>
      </c>
      <c r="J37" s="855">
        <f>VLOOKUP(B37,All_Ingredients!$A$1:$J$151,10,FALSE())</f>
        <v>45</v>
      </c>
      <c r="K37" s="855">
        <f>(H37/I37)/1000</f>
        <v>2.4230769230769233E-2</v>
      </c>
      <c r="L37" s="855">
        <f>K37*J37</f>
        <v>1.0903846153846155</v>
      </c>
    </row>
    <row r="40" spans="2:23" ht="18.75" customHeight="1" x14ac:dyDescent="0.3">
      <c r="R40" s="165" t="s">
        <v>282</v>
      </c>
      <c r="S40" s="166">
        <v>0.76923076923076905</v>
      </c>
      <c r="T40" s="165" t="s">
        <v>283</v>
      </c>
      <c r="U40" s="167">
        <v>0.230769230769231</v>
      </c>
      <c r="V40" s="168">
        <f>S40+U40</f>
        <v>1</v>
      </c>
    </row>
    <row r="41" spans="2:23" ht="14.25" customHeight="1" x14ac:dyDescent="0.3">
      <c r="U41" s="169"/>
    </row>
    <row r="43" spans="2:23" ht="14.25" customHeight="1" x14ac:dyDescent="0.3">
      <c r="Q43" s="170" t="s">
        <v>284</v>
      </c>
      <c r="R43" s="170" t="s">
        <v>285</v>
      </c>
      <c r="S43" s="170" t="s">
        <v>286</v>
      </c>
      <c r="T43" s="170" t="s">
        <v>287</v>
      </c>
      <c r="U43" s="170" t="s">
        <v>288</v>
      </c>
      <c r="V43" s="170" t="s">
        <v>289</v>
      </c>
      <c r="W43" s="170" t="s">
        <v>290</v>
      </c>
    </row>
    <row r="44" spans="2:23" ht="14.25" customHeight="1" x14ac:dyDescent="0.3">
      <c r="Q44" s="172">
        <v>18841</v>
      </c>
      <c r="R44" s="173">
        <f>D51</f>
        <v>10000</v>
      </c>
      <c r="S44" s="174">
        <v>0.43478260000000002</v>
      </c>
      <c r="T44" s="174">
        <v>0.56521739999999998</v>
      </c>
      <c r="U44" s="242">
        <f>R44*S44</f>
        <v>4347.826</v>
      </c>
      <c r="V44" s="176">
        <f>R44*T44</f>
        <v>5652.174</v>
      </c>
      <c r="W44" s="176">
        <f>Q44-U44</f>
        <v>14493.173999999999</v>
      </c>
    </row>
    <row r="50" spans="1:10" x14ac:dyDescent="0.3">
      <c r="B50" s="350"/>
      <c r="C50" s="178" t="s">
        <v>245</v>
      </c>
      <c r="D50" s="178" t="s">
        <v>291</v>
      </c>
      <c r="E50" s="100"/>
      <c r="F50" s="100"/>
      <c r="G50" s="145" t="s">
        <v>292</v>
      </c>
      <c r="H50" s="145" t="s">
        <v>245</v>
      </c>
      <c r="I50" s="178" t="s">
        <v>293</v>
      </c>
      <c r="J50" s="178" t="s">
        <v>294</v>
      </c>
    </row>
    <row r="51" spans="1:10" ht="14.25" customHeight="1" x14ac:dyDescent="0.3">
      <c r="B51" s="180" t="s">
        <v>295</v>
      </c>
      <c r="C51" s="181">
        <f>10/$K$1</f>
        <v>10.1010101010101</v>
      </c>
      <c r="D51" s="182">
        <f>$C$1*10</f>
        <v>10000</v>
      </c>
      <c r="E51" s="183"/>
      <c r="F51" s="100"/>
      <c r="G51" s="180" t="s">
        <v>295</v>
      </c>
      <c r="H51" s="277">
        <f>I51/$D$5</f>
        <v>10</v>
      </c>
      <c r="I51" s="181">
        <f>J51/$R$1</f>
        <v>24564.701694915253</v>
      </c>
      <c r="J51" s="181">
        <f>$W$44</f>
        <v>14493.173999999999</v>
      </c>
    </row>
    <row r="52" spans="1:10" ht="14.25" customHeight="1" x14ac:dyDescent="0.3">
      <c r="B52" s="231" t="s">
        <v>274</v>
      </c>
      <c r="C52" s="232">
        <f>$I$1</f>
        <v>19.95441595441596</v>
      </c>
      <c r="D52" s="233">
        <f>$E$1</f>
        <v>19754.8717948718</v>
      </c>
      <c r="E52" s="100"/>
      <c r="F52" s="100"/>
      <c r="G52" s="148" t="s">
        <v>274</v>
      </c>
      <c r="H52" s="210">
        <f>I52/$D$5</f>
        <v>18.586999327035979</v>
      </c>
      <c r="I52" s="176">
        <f>J52/$R$1</f>
        <v>45658.409387222935</v>
      </c>
      <c r="J52" s="184">
        <f>$S$32</f>
        <v>26938.461538461532</v>
      </c>
    </row>
    <row r="53" spans="1:10" ht="14.25" customHeight="1" x14ac:dyDescent="0.3">
      <c r="B53" s="231" t="s">
        <v>296</v>
      </c>
      <c r="C53" s="234">
        <f>MIN(C52, C51)</f>
        <v>10.1010101010101</v>
      </c>
      <c r="D53" s="233">
        <f>(C53*$K$1)*$C$1</f>
        <v>10000</v>
      </c>
      <c r="E53" s="100"/>
      <c r="F53" s="100"/>
      <c r="G53" s="148" t="s">
        <v>296</v>
      </c>
      <c r="H53" s="187">
        <f>MIN(H52,H51)</f>
        <v>10</v>
      </c>
      <c r="I53" s="176">
        <f>J53/$R$1</f>
        <v>24564.701694915253</v>
      </c>
      <c r="J53" s="176">
        <f>MIN(J52,J51)</f>
        <v>14493.173999999999</v>
      </c>
    </row>
    <row r="54" spans="1:10" ht="14.25" customHeight="1" x14ac:dyDescent="0.3">
      <c r="B54" s="231" t="s">
        <v>297</v>
      </c>
      <c r="C54" s="234">
        <f>MIN(MAX(C52-C53,0),C51)</f>
        <v>9.8534058534058602</v>
      </c>
      <c r="D54" s="233">
        <f>(C54*$K$1)*$C$1</f>
        <v>9754.8717948718022</v>
      </c>
      <c r="E54" s="100"/>
      <c r="F54" s="100"/>
      <c r="G54" s="148" t="s">
        <v>297</v>
      </c>
      <c r="H54" s="187">
        <f>MIN(MAX(H52-H53),H51)</f>
        <v>8.5869993270359792</v>
      </c>
      <c r="I54" s="176">
        <f>J54/$R$1</f>
        <v>21093.707692307682</v>
      </c>
      <c r="J54" s="176">
        <f>MIN(MAX(J52-J53),J51)</f>
        <v>12445.287538461533</v>
      </c>
    </row>
    <row r="55" spans="1:10" ht="14.25" customHeight="1" x14ac:dyDescent="0.3">
      <c r="B55" s="231" t="s">
        <v>298</v>
      </c>
      <c r="C55" s="234">
        <f>MIN(MAX(C52-C53-C54,0),C51)</f>
        <v>0</v>
      </c>
      <c r="D55" s="233">
        <f>(C55*$K$1)*$C$1</f>
        <v>0</v>
      </c>
      <c r="E55" s="100"/>
      <c r="F55" s="100"/>
      <c r="G55" s="145" t="s">
        <v>298</v>
      </c>
      <c r="H55" s="187">
        <f>MIN(MAX(H52-H53-H54),H51)</f>
        <v>0</v>
      </c>
      <c r="I55" s="176">
        <f>J55/$R$1</f>
        <v>0</v>
      </c>
      <c r="J55" s="176">
        <f>MIN(MAX(J52-J53-J54),J51)</f>
        <v>0</v>
      </c>
    </row>
    <row r="56" spans="1:10" ht="14.25" customHeight="1" x14ac:dyDescent="0.3"/>
    <row r="62" spans="1:10" ht="14" customHeight="1" x14ac:dyDescent="0.3">
      <c r="A62" s="937"/>
      <c r="B62" s="1384" t="str">
        <f>"دجاج بكريمة الطماطم   1 / " &amp; COUNTIF($C$53:$C$55, "&gt;0")</f>
        <v>دجاج بكريمة الطماطم   1 / 2</v>
      </c>
      <c r="C62" s="1385"/>
      <c r="D62" s="1385"/>
      <c r="E62" s="1385"/>
      <c r="F62" s="1385"/>
      <c r="G62" s="1385"/>
      <c r="H62" s="1385"/>
    </row>
    <row r="63" spans="1:10" ht="17.75" customHeight="1" x14ac:dyDescent="0.3">
      <c r="A63" s="937"/>
      <c r="B63" s="1384" t="str">
        <f>"Pink Chicken  1 / " &amp; COUNTIF($C$53:$C$55, "&gt;0")</f>
        <v>Pink Chicken  1 / 2</v>
      </c>
      <c r="C63" s="1385"/>
      <c r="D63" s="1385"/>
      <c r="E63" s="1385"/>
      <c r="F63" s="1385"/>
      <c r="G63" s="1385"/>
      <c r="H63" s="1385"/>
    </row>
    <row r="64" spans="1:10" ht="37.5" customHeight="1" x14ac:dyDescent="0.25">
      <c r="A64" s="91"/>
      <c r="B64" s="243" t="s">
        <v>253</v>
      </c>
      <c r="C64" s="244" t="s">
        <v>254</v>
      </c>
      <c r="D64" s="245" t="s">
        <v>243</v>
      </c>
      <c r="E64" s="218" t="s">
        <v>246</v>
      </c>
      <c r="F64" s="218" t="s">
        <v>255</v>
      </c>
      <c r="G64" s="245" t="s">
        <v>256</v>
      </c>
      <c r="H64" s="218" t="s">
        <v>257</v>
      </c>
    </row>
    <row r="65" spans="1:8" ht="13" x14ac:dyDescent="0.25">
      <c r="A65" s="219" t="s">
        <v>230</v>
      </c>
      <c r="B65" s="123" t="str">
        <f t="shared" ref="B65:D82" si="14">B5</f>
        <v>Chicken - دجاج</v>
      </c>
      <c r="C65" s="123" t="str">
        <f t="shared" si="14"/>
        <v>gm</v>
      </c>
      <c r="D65" s="263">
        <f t="shared" si="14"/>
        <v>2456.4701694915252</v>
      </c>
      <c r="E65" s="223">
        <f>H53</f>
        <v>10</v>
      </c>
      <c r="F65" s="299">
        <f t="shared" ref="F65:F82" si="15">F5</f>
        <v>1</v>
      </c>
      <c r="G65" s="119">
        <f t="shared" ref="G65:G82" si="16">D65*E65</f>
        <v>24564.701694915253</v>
      </c>
      <c r="H65" s="207">
        <f t="shared" ref="H65:H70" si="17">G65*F65</f>
        <v>24564.701694915253</v>
      </c>
    </row>
    <row r="66" spans="1:8" ht="14.25" customHeight="1" x14ac:dyDescent="0.3">
      <c r="A66" s="128" t="s">
        <v>13</v>
      </c>
      <c r="B66" s="123" t="str">
        <f t="shared" si="14"/>
        <v>Onion - بصل</v>
      </c>
      <c r="C66" s="123" t="str">
        <f t="shared" si="14"/>
        <v>gm</v>
      </c>
      <c r="D66" s="123">
        <f t="shared" si="14"/>
        <v>100</v>
      </c>
      <c r="E66" s="223">
        <f t="shared" ref="E66:E82" si="18">$C$53</f>
        <v>10.1010101010101</v>
      </c>
      <c r="F66" s="299">
        <f t="shared" si="15"/>
        <v>0.95</v>
      </c>
      <c r="G66" s="119">
        <f t="shared" si="16"/>
        <v>1010.10101010101</v>
      </c>
      <c r="H66" s="207">
        <f t="shared" si="17"/>
        <v>959.59595959595947</v>
      </c>
    </row>
    <row r="67" spans="1:8" ht="14.25" customHeight="1" x14ac:dyDescent="0.3">
      <c r="A67" s="128" t="s">
        <v>13</v>
      </c>
      <c r="B67" s="123" t="str">
        <f t="shared" si="14"/>
        <v>Garlic - ثوم مقشر</v>
      </c>
      <c r="C67" s="123" t="str">
        <f t="shared" si="14"/>
        <v>gm</v>
      </c>
      <c r="D67" s="123">
        <f t="shared" si="14"/>
        <v>20</v>
      </c>
      <c r="E67" s="223">
        <f t="shared" si="18"/>
        <v>10.1010101010101</v>
      </c>
      <c r="F67" s="299">
        <f t="shared" si="15"/>
        <v>1</v>
      </c>
      <c r="G67" s="119">
        <f t="shared" si="16"/>
        <v>202.02020202020202</v>
      </c>
      <c r="H67" s="207">
        <f t="shared" si="17"/>
        <v>202.02020202020202</v>
      </c>
    </row>
    <row r="68" spans="1:8" ht="14.25" customHeight="1" x14ac:dyDescent="0.3">
      <c r="A68" s="128" t="s">
        <v>13</v>
      </c>
      <c r="B68" s="123" t="str">
        <f t="shared" si="14"/>
        <v>Tomato - طماطم</v>
      </c>
      <c r="C68" s="123" t="str">
        <f t="shared" si="14"/>
        <v>gm</v>
      </c>
      <c r="D68" s="123">
        <f t="shared" si="14"/>
        <v>500</v>
      </c>
      <c r="E68" s="223">
        <f t="shared" si="18"/>
        <v>10.1010101010101</v>
      </c>
      <c r="F68" s="299">
        <f t="shared" si="15"/>
        <v>0.9</v>
      </c>
      <c r="G68" s="119">
        <f t="shared" si="16"/>
        <v>5050.5050505050503</v>
      </c>
      <c r="H68" s="207">
        <f t="shared" si="17"/>
        <v>4545.454545454545</v>
      </c>
    </row>
    <row r="69" spans="1:8" ht="14" customHeight="1" x14ac:dyDescent="0.3">
      <c r="A69" s="128" t="s">
        <v>83</v>
      </c>
      <c r="B69" s="123" t="str">
        <f t="shared" si="14"/>
        <v>Dry Thyme - زعتر مجفف</v>
      </c>
      <c r="C69" s="123" t="str">
        <f t="shared" si="14"/>
        <v>gm</v>
      </c>
      <c r="D69" s="123">
        <f t="shared" si="14"/>
        <v>0.5</v>
      </c>
      <c r="E69" s="223">
        <f t="shared" si="18"/>
        <v>10.1010101010101</v>
      </c>
      <c r="F69" s="299">
        <f t="shared" si="15"/>
        <v>0.75</v>
      </c>
      <c r="G69" s="119">
        <f t="shared" si="16"/>
        <v>5.0505050505050502</v>
      </c>
      <c r="H69" s="207">
        <f t="shared" si="17"/>
        <v>3.7878787878787876</v>
      </c>
    </row>
    <row r="70" spans="1:8" ht="14" customHeight="1" x14ac:dyDescent="0.3">
      <c r="A70" s="128" t="s">
        <v>83</v>
      </c>
      <c r="B70" s="123" t="str">
        <f t="shared" si="14"/>
        <v>Dry Basil - ريحان مجفف</v>
      </c>
      <c r="C70" s="123" t="str">
        <f t="shared" si="14"/>
        <v>gm</v>
      </c>
      <c r="D70" s="123">
        <f t="shared" si="14"/>
        <v>0.5</v>
      </c>
      <c r="E70" s="223">
        <f t="shared" si="18"/>
        <v>10.1010101010101</v>
      </c>
      <c r="F70" s="299">
        <f t="shared" si="15"/>
        <v>0.9</v>
      </c>
      <c r="G70" s="119">
        <f t="shared" si="16"/>
        <v>5.0505050505050502</v>
      </c>
      <c r="H70" s="207">
        <f t="shared" si="17"/>
        <v>4.545454545454545</v>
      </c>
    </row>
    <row r="71" spans="1:8" ht="14.25" customHeight="1" x14ac:dyDescent="0.3">
      <c r="A71" s="128" t="s">
        <v>83</v>
      </c>
      <c r="B71" s="123" t="str">
        <f t="shared" si="14"/>
        <v>Dry Oregano - أوريجانو مجفف</v>
      </c>
      <c r="C71" s="123" t="str">
        <f t="shared" si="14"/>
        <v>gm</v>
      </c>
      <c r="D71" s="123">
        <f t="shared" si="14"/>
        <v>0.5</v>
      </c>
      <c r="E71" s="223">
        <f t="shared" si="18"/>
        <v>10.1010101010101</v>
      </c>
      <c r="F71" s="299">
        <f t="shared" si="15"/>
        <v>0.9</v>
      </c>
      <c r="G71" s="119">
        <f t="shared" si="16"/>
        <v>5.0505050505050502</v>
      </c>
      <c r="H71" s="207">
        <v>20</v>
      </c>
    </row>
    <row r="72" spans="1:8" ht="14.25" customHeight="1" x14ac:dyDescent="0.3">
      <c r="A72" s="128" t="s">
        <v>97</v>
      </c>
      <c r="B72" s="123" t="str">
        <f t="shared" si="14"/>
        <v>Salt - ملح</v>
      </c>
      <c r="C72" s="123" t="str">
        <f t="shared" si="14"/>
        <v>gm</v>
      </c>
      <c r="D72" s="123">
        <f t="shared" si="14"/>
        <v>10</v>
      </c>
      <c r="E72" s="223">
        <f t="shared" si="18"/>
        <v>10.1010101010101</v>
      </c>
      <c r="F72" s="299">
        <f t="shared" si="15"/>
        <v>0.75</v>
      </c>
      <c r="G72" s="119">
        <f t="shared" si="16"/>
        <v>101.01010101010101</v>
      </c>
      <c r="H72" s="207">
        <f t="shared" ref="H72:H82" si="19">G72*F72</f>
        <v>75.757575757575751</v>
      </c>
    </row>
    <row r="73" spans="1:8" ht="14.25" customHeight="1" x14ac:dyDescent="0.3">
      <c r="A73" s="128" t="s">
        <v>97</v>
      </c>
      <c r="B73" s="123" t="str">
        <f t="shared" si="14"/>
        <v>Black Pepper Powder - فلفل أسود مطحون</v>
      </c>
      <c r="C73" s="123" t="str">
        <f t="shared" si="14"/>
        <v>gm</v>
      </c>
      <c r="D73" s="123">
        <f t="shared" si="14"/>
        <v>1</v>
      </c>
      <c r="E73" s="223">
        <f t="shared" si="18"/>
        <v>10.1010101010101</v>
      </c>
      <c r="F73" s="299">
        <f t="shared" si="15"/>
        <v>0.75</v>
      </c>
      <c r="G73" s="119">
        <f t="shared" si="16"/>
        <v>10.1010101010101</v>
      </c>
      <c r="H73" s="207">
        <f t="shared" si="19"/>
        <v>7.5757575757575752</v>
      </c>
    </row>
    <row r="74" spans="1:8" ht="14.25" customHeight="1" x14ac:dyDescent="0.3">
      <c r="A74" s="128" t="s">
        <v>186</v>
      </c>
      <c r="B74" s="123" t="str">
        <f t="shared" si="14"/>
        <v>Honey - عسل</v>
      </c>
      <c r="C74" s="123" t="str">
        <f t="shared" si="14"/>
        <v>gm</v>
      </c>
      <c r="D74" s="123">
        <f t="shared" si="14"/>
        <v>20</v>
      </c>
      <c r="E74" s="223">
        <f t="shared" si="18"/>
        <v>10.1010101010101</v>
      </c>
      <c r="F74" s="299">
        <f t="shared" si="15"/>
        <v>0.75</v>
      </c>
      <c r="G74" s="119">
        <f t="shared" si="16"/>
        <v>202.02020202020202</v>
      </c>
      <c r="H74" s="207">
        <f t="shared" si="19"/>
        <v>151.5151515151515</v>
      </c>
    </row>
    <row r="75" spans="1:8" ht="14.25" customHeight="1" x14ac:dyDescent="0.3">
      <c r="A75" s="128" t="s">
        <v>158</v>
      </c>
      <c r="B75" s="123" t="str">
        <f t="shared" si="14"/>
        <v>Butter - زبدة</v>
      </c>
      <c r="C75" s="123" t="str">
        <f t="shared" si="14"/>
        <v>gm</v>
      </c>
      <c r="D75" s="123">
        <f t="shared" si="14"/>
        <v>30</v>
      </c>
      <c r="E75" s="223">
        <f t="shared" si="18"/>
        <v>10.1010101010101</v>
      </c>
      <c r="F75" s="299">
        <f t="shared" si="15"/>
        <v>1</v>
      </c>
      <c r="G75" s="119">
        <f t="shared" si="16"/>
        <v>303.030303030303</v>
      </c>
      <c r="H75" s="207">
        <f t="shared" si="19"/>
        <v>303.030303030303</v>
      </c>
    </row>
    <row r="76" spans="1:8" ht="14.25" customHeight="1" x14ac:dyDescent="0.3">
      <c r="A76" s="128" t="s">
        <v>192</v>
      </c>
      <c r="B76" s="123" t="str">
        <f t="shared" si="14"/>
        <v>Flour - دقيق</v>
      </c>
      <c r="C76" s="123" t="str">
        <f t="shared" si="14"/>
        <v>gm</v>
      </c>
      <c r="D76" s="123">
        <f t="shared" si="14"/>
        <v>10</v>
      </c>
      <c r="E76" s="223">
        <f t="shared" si="18"/>
        <v>10.1010101010101</v>
      </c>
      <c r="F76" s="299">
        <f t="shared" si="15"/>
        <v>1</v>
      </c>
      <c r="G76" s="119">
        <f t="shared" si="16"/>
        <v>101.01010101010101</v>
      </c>
      <c r="H76" s="207">
        <f t="shared" si="19"/>
        <v>101.01010101010101</v>
      </c>
    </row>
    <row r="77" spans="1:8" ht="14.25" customHeight="1" x14ac:dyDescent="0.3">
      <c r="A77" s="128" t="s">
        <v>158</v>
      </c>
      <c r="B77" s="123" t="str">
        <f t="shared" si="14"/>
        <v>Cooking Cream - كريمة طبخ</v>
      </c>
      <c r="C77" s="123" t="str">
        <f t="shared" si="14"/>
        <v>ml</v>
      </c>
      <c r="D77" s="123">
        <f t="shared" si="14"/>
        <v>280</v>
      </c>
      <c r="E77" s="223">
        <f t="shared" si="18"/>
        <v>10.1010101010101</v>
      </c>
      <c r="F77" s="299">
        <f t="shared" si="15"/>
        <v>1</v>
      </c>
      <c r="G77" s="119">
        <f t="shared" si="16"/>
        <v>2828.2828282828282</v>
      </c>
      <c r="H77" s="207">
        <f t="shared" si="19"/>
        <v>2828.2828282828282</v>
      </c>
    </row>
    <row r="78" spans="1:8" ht="14.25" customHeight="1" x14ac:dyDescent="0.3">
      <c r="A78" s="128" t="s">
        <v>158</v>
      </c>
      <c r="B78" s="123" t="str">
        <f t="shared" si="14"/>
        <v>Milk - حليب</v>
      </c>
      <c r="C78" s="123" t="str">
        <f t="shared" si="14"/>
        <v>ml</v>
      </c>
      <c r="D78" s="123">
        <f t="shared" si="14"/>
        <v>400</v>
      </c>
      <c r="E78" s="223">
        <f t="shared" si="18"/>
        <v>10.1010101010101</v>
      </c>
      <c r="F78" s="299">
        <f t="shared" si="15"/>
        <v>1</v>
      </c>
      <c r="G78" s="119">
        <f t="shared" si="16"/>
        <v>4040.4040404040402</v>
      </c>
      <c r="H78" s="207">
        <f t="shared" si="19"/>
        <v>4040.4040404040402</v>
      </c>
    </row>
    <row r="79" spans="1:8" ht="14.25" customHeight="1" x14ac:dyDescent="0.3">
      <c r="A79" s="128" t="s">
        <v>220</v>
      </c>
      <c r="B79" s="123" t="str">
        <f t="shared" si="14"/>
        <v>Orange Color - لون برتقالي</v>
      </c>
      <c r="C79" s="123" t="str">
        <f t="shared" si="14"/>
        <v>gm</v>
      </c>
      <c r="D79" s="123">
        <f t="shared" si="14"/>
        <v>1</v>
      </c>
      <c r="E79" s="223">
        <f t="shared" si="18"/>
        <v>10.1010101010101</v>
      </c>
      <c r="F79" s="299">
        <f t="shared" si="15"/>
        <v>1</v>
      </c>
      <c r="G79" s="119">
        <f t="shared" si="16"/>
        <v>10.1010101010101</v>
      </c>
      <c r="H79" s="207">
        <f t="shared" si="19"/>
        <v>10.1010101010101</v>
      </c>
    </row>
    <row r="80" spans="1:8" ht="14.25" customHeight="1" x14ac:dyDescent="0.3">
      <c r="A80" s="128" t="s">
        <v>158</v>
      </c>
      <c r="B80" s="123" t="str">
        <f t="shared" si="14"/>
        <v>Parmesan Cheese Powder - بديل البارميزان</v>
      </c>
      <c r="C80" s="123" t="str">
        <f t="shared" si="14"/>
        <v>gm</v>
      </c>
      <c r="D80" s="123">
        <f t="shared" si="14"/>
        <v>50</v>
      </c>
      <c r="E80" s="223">
        <f t="shared" si="18"/>
        <v>10.1010101010101</v>
      </c>
      <c r="F80" s="299">
        <f t="shared" si="15"/>
        <v>1</v>
      </c>
      <c r="G80" s="119">
        <f t="shared" si="16"/>
        <v>505.05050505050502</v>
      </c>
      <c r="H80" s="207">
        <f t="shared" si="19"/>
        <v>505.05050505050502</v>
      </c>
    </row>
    <row r="81" spans="1:8" ht="14.25" customHeight="1" x14ac:dyDescent="0.3">
      <c r="A81" s="128" t="s">
        <v>97</v>
      </c>
      <c r="B81" s="123" t="str">
        <f t="shared" si="14"/>
        <v>Maggi Cubes - مكعبات ماجي</v>
      </c>
      <c r="C81" s="123" t="str">
        <f t="shared" si="14"/>
        <v>gm</v>
      </c>
      <c r="D81" s="123">
        <f t="shared" si="14"/>
        <v>5</v>
      </c>
      <c r="E81" s="223">
        <f t="shared" si="18"/>
        <v>10.1010101010101</v>
      </c>
      <c r="F81" s="299">
        <f t="shared" si="15"/>
        <v>1</v>
      </c>
      <c r="G81" s="119">
        <f t="shared" si="16"/>
        <v>50.505050505050505</v>
      </c>
      <c r="H81" s="207">
        <f t="shared" si="19"/>
        <v>50.505050505050505</v>
      </c>
    </row>
    <row r="82" spans="1:8" ht="14.25" customHeight="1" x14ac:dyDescent="0.3">
      <c r="A82" s="128" t="s">
        <v>196</v>
      </c>
      <c r="B82" s="123" t="str">
        <f t="shared" si="14"/>
        <v>Tomato Ketchup - كاتشب طماطم</v>
      </c>
      <c r="C82" s="123" t="str">
        <f t="shared" si="14"/>
        <v>ml</v>
      </c>
      <c r="D82" s="123">
        <f t="shared" si="14"/>
        <v>50</v>
      </c>
      <c r="E82" s="223">
        <f t="shared" si="18"/>
        <v>10.1010101010101</v>
      </c>
      <c r="F82" s="299">
        <f t="shared" si="15"/>
        <v>1</v>
      </c>
      <c r="G82" s="119">
        <f t="shared" si="16"/>
        <v>505.05050505050502</v>
      </c>
      <c r="H82" s="207">
        <f t="shared" si="19"/>
        <v>505.05050505050502</v>
      </c>
    </row>
    <row r="83" spans="1:8" ht="20.75" customHeight="1" x14ac:dyDescent="0.3">
      <c r="A83" s="211"/>
      <c r="B83" s="198" t="s">
        <v>299</v>
      </c>
      <c r="C83" s="200" t="s">
        <v>285</v>
      </c>
      <c r="E83" s="200" t="s">
        <v>300</v>
      </c>
      <c r="G83" s="890" t="s">
        <v>276</v>
      </c>
      <c r="H83" s="890" t="s">
        <v>733</v>
      </c>
    </row>
    <row r="84" spans="1:8" ht="20.25" customHeight="1" x14ac:dyDescent="0.4">
      <c r="A84" s="211"/>
      <c r="B84" s="199">
        <f>$J$53</f>
        <v>14493.173999999999</v>
      </c>
      <c r="C84" s="199">
        <f>E84+G84</f>
        <v>10000</v>
      </c>
      <c r="D84" s="209"/>
      <c r="E84" s="201">
        <f>$D$53*$S$44</f>
        <v>4347.826</v>
      </c>
      <c r="F84" s="100"/>
      <c r="G84" s="202">
        <f>$D$53*$T$44</f>
        <v>5652.174</v>
      </c>
      <c r="H84" s="202">
        <f>B84+E84</f>
        <v>18841</v>
      </c>
    </row>
    <row r="85" spans="1:8" ht="14.25" customHeight="1" x14ac:dyDescent="0.3">
      <c r="B85" s="100"/>
      <c r="E85" s="100"/>
      <c r="F85" s="100"/>
    </row>
    <row r="86" spans="1:8" ht="14.25" customHeight="1" x14ac:dyDescent="0.3">
      <c r="A86" s="937"/>
      <c r="B86" s="1384" t="str">
        <f>"دجاج بكريمة الطماطم   2 / " &amp; COUNTIF($C$53:$C$55, "&gt;0")</f>
        <v>دجاج بكريمة الطماطم   2 / 2</v>
      </c>
      <c r="C86" s="1385"/>
      <c r="D86" s="1385"/>
      <c r="E86" s="1385"/>
      <c r="F86" s="1385"/>
      <c r="G86" s="1385"/>
      <c r="H86" s="1385"/>
    </row>
    <row r="87" spans="1:8" ht="17.75" customHeight="1" x14ac:dyDescent="0.3">
      <c r="A87" s="937"/>
      <c r="B87" s="1384" t="str">
        <f>"Pink Chicken  2 / " &amp; COUNTIF($C$53:$C$55, "&gt;0")</f>
        <v>Pink Chicken  2 / 2</v>
      </c>
      <c r="C87" s="1385"/>
      <c r="D87" s="1385"/>
      <c r="E87" s="1385"/>
      <c r="F87" s="1385"/>
      <c r="G87" s="1385"/>
      <c r="H87" s="1385"/>
    </row>
    <row r="88" spans="1:8" ht="39.5" customHeight="1" x14ac:dyDescent="0.25">
      <c r="A88" s="91"/>
      <c r="B88" s="243" t="s">
        <v>253</v>
      </c>
      <c r="C88" s="244" t="s">
        <v>254</v>
      </c>
      <c r="D88" s="245" t="s">
        <v>243</v>
      </c>
      <c r="E88" s="218" t="s">
        <v>246</v>
      </c>
      <c r="F88" s="218" t="s">
        <v>255</v>
      </c>
      <c r="G88" s="245" t="s">
        <v>256</v>
      </c>
      <c r="H88" s="218" t="s">
        <v>257</v>
      </c>
    </row>
    <row r="89" spans="1:8" x14ac:dyDescent="0.3">
      <c r="A89" s="128" t="s">
        <v>230</v>
      </c>
      <c r="B89" s="123" t="str">
        <f t="shared" ref="B89:D106" si="20">B5</f>
        <v>Chicken - دجاج</v>
      </c>
      <c r="C89" s="123" t="str">
        <f t="shared" si="20"/>
        <v>gm</v>
      </c>
      <c r="D89" s="263">
        <f t="shared" si="20"/>
        <v>2456.4701694915252</v>
      </c>
      <c r="E89" s="223">
        <f>H54</f>
        <v>8.5869993270359792</v>
      </c>
      <c r="F89" s="299">
        <f t="shared" ref="F89:F106" si="21">F5</f>
        <v>1</v>
      </c>
      <c r="G89" s="119">
        <f t="shared" ref="G89:G106" si="22">D89*E89</f>
        <v>21093.707692307686</v>
      </c>
      <c r="H89" s="207">
        <f t="shared" ref="H89:H94" si="23">G89*F89</f>
        <v>21093.707692307686</v>
      </c>
    </row>
    <row r="90" spans="1:8" ht="14.25" customHeight="1" x14ac:dyDescent="0.3">
      <c r="A90" s="128" t="s">
        <v>13</v>
      </c>
      <c r="B90" s="123" t="str">
        <f t="shared" si="20"/>
        <v>Onion - بصل</v>
      </c>
      <c r="C90" s="123" t="str">
        <f t="shared" si="20"/>
        <v>gm</v>
      </c>
      <c r="D90" s="123">
        <f t="shared" si="20"/>
        <v>100</v>
      </c>
      <c r="E90" s="223">
        <f t="shared" ref="E90:E106" si="24">$C$54</f>
        <v>9.8534058534058602</v>
      </c>
      <c r="F90" s="299">
        <f t="shared" si="21"/>
        <v>0.95</v>
      </c>
      <c r="G90" s="119">
        <f t="shared" si="22"/>
        <v>985.34058534058602</v>
      </c>
      <c r="H90" s="207">
        <f t="shared" si="23"/>
        <v>936.07355607355669</v>
      </c>
    </row>
    <row r="91" spans="1:8" ht="14.25" customHeight="1" x14ac:dyDescent="0.3">
      <c r="A91" s="128" t="s">
        <v>13</v>
      </c>
      <c r="B91" s="123" t="str">
        <f t="shared" si="20"/>
        <v>Garlic - ثوم مقشر</v>
      </c>
      <c r="C91" s="123" t="str">
        <f t="shared" si="20"/>
        <v>gm</v>
      </c>
      <c r="D91" s="123">
        <f t="shared" si="20"/>
        <v>20</v>
      </c>
      <c r="E91" s="223">
        <f t="shared" si="24"/>
        <v>9.8534058534058602</v>
      </c>
      <c r="F91" s="299">
        <f t="shared" si="21"/>
        <v>1</v>
      </c>
      <c r="G91" s="119">
        <f t="shared" si="22"/>
        <v>197.0681170681172</v>
      </c>
      <c r="H91" s="207">
        <f t="shared" si="23"/>
        <v>197.0681170681172</v>
      </c>
    </row>
    <row r="92" spans="1:8" ht="14.25" customHeight="1" x14ac:dyDescent="0.3">
      <c r="A92" s="128" t="s">
        <v>13</v>
      </c>
      <c r="B92" s="123" t="str">
        <f t="shared" si="20"/>
        <v>Tomato - طماطم</v>
      </c>
      <c r="C92" s="123" t="str">
        <f t="shared" si="20"/>
        <v>gm</v>
      </c>
      <c r="D92" s="123">
        <f t="shared" si="20"/>
        <v>500</v>
      </c>
      <c r="E92" s="223">
        <f t="shared" si="24"/>
        <v>9.8534058534058602</v>
      </c>
      <c r="F92" s="299">
        <f t="shared" si="21"/>
        <v>0.9</v>
      </c>
      <c r="G92" s="119">
        <f t="shared" si="22"/>
        <v>4926.7029267029302</v>
      </c>
      <c r="H92" s="207">
        <f t="shared" si="23"/>
        <v>4434.0326340326374</v>
      </c>
    </row>
    <row r="93" spans="1:8" ht="14.25" customHeight="1" x14ac:dyDescent="0.3">
      <c r="A93" s="128" t="s">
        <v>83</v>
      </c>
      <c r="B93" s="123" t="str">
        <f t="shared" si="20"/>
        <v>Dry Thyme - زعتر مجفف</v>
      </c>
      <c r="C93" s="123" t="str">
        <f t="shared" si="20"/>
        <v>gm</v>
      </c>
      <c r="D93" s="123">
        <f t="shared" si="20"/>
        <v>0.5</v>
      </c>
      <c r="E93" s="223">
        <f t="shared" si="24"/>
        <v>9.8534058534058602</v>
      </c>
      <c r="F93" s="299">
        <f t="shared" si="21"/>
        <v>0.75</v>
      </c>
      <c r="G93" s="119">
        <f t="shared" si="22"/>
        <v>4.9267029267029301</v>
      </c>
      <c r="H93" s="207">
        <f t="shared" si="23"/>
        <v>3.6950271950271976</v>
      </c>
    </row>
    <row r="94" spans="1:8" ht="14.25" customHeight="1" x14ac:dyDescent="0.3">
      <c r="A94" s="128" t="s">
        <v>83</v>
      </c>
      <c r="B94" s="123" t="str">
        <f t="shared" si="20"/>
        <v>Dry Basil - ريحان مجفف</v>
      </c>
      <c r="C94" s="123" t="str">
        <f t="shared" si="20"/>
        <v>gm</v>
      </c>
      <c r="D94" s="123">
        <f t="shared" si="20"/>
        <v>0.5</v>
      </c>
      <c r="E94" s="223">
        <f t="shared" si="24"/>
        <v>9.8534058534058602</v>
      </c>
      <c r="F94" s="299">
        <f t="shared" si="21"/>
        <v>0.9</v>
      </c>
      <c r="G94" s="119">
        <f t="shared" si="22"/>
        <v>4.9267029267029301</v>
      </c>
      <c r="H94" s="207">
        <f t="shared" si="23"/>
        <v>4.4340326340326373</v>
      </c>
    </row>
    <row r="95" spans="1:8" ht="14.25" customHeight="1" x14ac:dyDescent="0.3">
      <c r="A95" s="128" t="s">
        <v>83</v>
      </c>
      <c r="B95" s="123" t="str">
        <f t="shared" si="20"/>
        <v>Dry Oregano - أوريجانو مجفف</v>
      </c>
      <c r="C95" s="123" t="str">
        <f t="shared" si="20"/>
        <v>gm</v>
      </c>
      <c r="D95" s="123">
        <f t="shared" si="20"/>
        <v>0.5</v>
      </c>
      <c r="E95" s="223">
        <f t="shared" si="24"/>
        <v>9.8534058534058602</v>
      </c>
      <c r="F95" s="299">
        <f t="shared" si="21"/>
        <v>0.9</v>
      </c>
      <c r="G95" s="119">
        <f t="shared" si="22"/>
        <v>4.9267029267029301</v>
      </c>
      <c r="H95" s="207">
        <v>20</v>
      </c>
    </row>
    <row r="96" spans="1:8" ht="14.25" customHeight="1" x14ac:dyDescent="0.3">
      <c r="A96" s="128" t="s">
        <v>97</v>
      </c>
      <c r="B96" s="123" t="str">
        <f t="shared" si="20"/>
        <v>Salt - ملح</v>
      </c>
      <c r="C96" s="123" t="str">
        <f t="shared" si="20"/>
        <v>gm</v>
      </c>
      <c r="D96" s="123">
        <f t="shared" si="20"/>
        <v>10</v>
      </c>
      <c r="E96" s="223">
        <f t="shared" si="24"/>
        <v>9.8534058534058602</v>
      </c>
      <c r="F96" s="299">
        <f t="shared" si="21"/>
        <v>0.75</v>
      </c>
      <c r="G96" s="119">
        <f t="shared" si="22"/>
        <v>98.534058534058602</v>
      </c>
      <c r="H96" s="207">
        <f t="shared" ref="H96:H106" si="25">G96*F96</f>
        <v>73.900543900543951</v>
      </c>
    </row>
    <row r="97" spans="1:8" ht="14.25" customHeight="1" x14ac:dyDescent="0.3">
      <c r="A97" s="128" t="s">
        <v>97</v>
      </c>
      <c r="B97" s="123" t="str">
        <f t="shared" si="20"/>
        <v>Black Pepper Powder - فلفل أسود مطحون</v>
      </c>
      <c r="C97" s="123" t="str">
        <f t="shared" si="20"/>
        <v>gm</v>
      </c>
      <c r="D97" s="123">
        <f t="shared" si="20"/>
        <v>1</v>
      </c>
      <c r="E97" s="223">
        <f t="shared" si="24"/>
        <v>9.8534058534058602</v>
      </c>
      <c r="F97" s="299">
        <f t="shared" si="21"/>
        <v>0.75</v>
      </c>
      <c r="G97" s="119">
        <f t="shared" si="22"/>
        <v>9.8534058534058602</v>
      </c>
      <c r="H97" s="207">
        <f t="shared" si="25"/>
        <v>7.3900543900543951</v>
      </c>
    </row>
    <row r="98" spans="1:8" ht="14.25" customHeight="1" x14ac:dyDescent="0.3">
      <c r="A98" s="128" t="s">
        <v>186</v>
      </c>
      <c r="B98" s="123" t="str">
        <f t="shared" si="20"/>
        <v>Honey - عسل</v>
      </c>
      <c r="C98" s="123" t="str">
        <f t="shared" si="20"/>
        <v>gm</v>
      </c>
      <c r="D98" s="123">
        <f t="shared" si="20"/>
        <v>20</v>
      </c>
      <c r="E98" s="223">
        <f t="shared" si="24"/>
        <v>9.8534058534058602</v>
      </c>
      <c r="F98" s="299">
        <f t="shared" si="21"/>
        <v>0.75</v>
      </c>
      <c r="G98" s="119">
        <f t="shared" si="22"/>
        <v>197.0681170681172</v>
      </c>
      <c r="H98" s="207">
        <f t="shared" si="25"/>
        <v>147.8010878010879</v>
      </c>
    </row>
    <row r="99" spans="1:8" ht="14.25" customHeight="1" x14ac:dyDescent="0.3">
      <c r="A99" s="128" t="s">
        <v>158</v>
      </c>
      <c r="B99" s="123" t="str">
        <f t="shared" si="20"/>
        <v>Butter - زبدة</v>
      </c>
      <c r="C99" s="123" t="str">
        <f t="shared" si="20"/>
        <v>gm</v>
      </c>
      <c r="D99" s="123">
        <f t="shared" si="20"/>
        <v>30</v>
      </c>
      <c r="E99" s="223">
        <f t="shared" si="24"/>
        <v>9.8534058534058602</v>
      </c>
      <c r="F99" s="299">
        <f t="shared" si="21"/>
        <v>1</v>
      </c>
      <c r="G99" s="119">
        <f t="shared" si="22"/>
        <v>295.60217560217581</v>
      </c>
      <c r="H99" s="207">
        <f t="shared" si="25"/>
        <v>295.60217560217581</v>
      </c>
    </row>
    <row r="100" spans="1:8" ht="14.25" customHeight="1" x14ac:dyDescent="0.3">
      <c r="A100" s="128" t="s">
        <v>192</v>
      </c>
      <c r="B100" s="123" t="str">
        <f t="shared" si="20"/>
        <v>Flour - دقيق</v>
      </c>
      <c r="C100" s="123" t="str">
        <f t="shared" si="20"/>
        <v>gm</v>
      </c>
      <c r="D100" s="123">
        <f t="shared" si="20"/>
        <v>10</v>
      </c>
      <c r="E100" s="223">
        <f t="shared" si="24"/>
        <v>9.8534058534058602</v>
      </c>
      <c r="F100" s="299">
        <f t="shared" si="21"/>
        <v>1</v>
      </c>
      <c r="G100" s="119">
        <f t="shared" si="22"/>
        <v>98.534058534058602</v>
      </c>
      <c r="H100" s="207">
        <f t="shared" si="25"/>
        <v>98.534058534058602</v>
      </c>
    </row>
    <row r="101" spans="1:8" ht="14.25" customHeight="1" x14ac:dyDescent="0.3">
      <c r="A101" s="128" t="s">
        <v>158</v>
      </c>
      <c r="B101" s="123" t="str">
        <f t="shared" si="20"/>
        <v>Cooking Cream - كريمة طبخ</v>
      </c>
      <c r="C101" s="123" t="str">
        <f t="shared" si="20"/>
        <v>ml</v>
      </c>
      <c r="D101" s="123">
        <f t="shared" si="20"/>
        <v>280</v>
      </c>
      <c r="E101" s="223">
        <f t="shared" si="24"/>
        <v>9.8534058534058602</v>
      </c>
      <c r="F101" s="299">
        <f t="shared" si="21"/>
        <v>1</v>
      </c>
      <c r="G101" s="119">
        <f t="shared" si="22"/>
        <v>2758.9536389536406</v>
      </c>
      <c r="H101" s="207">
        <f t="shared" si="25"/>
        <v>2758.9536389536406</v>
      </c>
    </row>
    <row r="102" spans="1:8" ht="14.25" customHeight="1" x14ac:dyDescent="0.3">
      <c r="A102" s="128" t="s">
        <v>158</v>
      </c>
      <c r="B102" s="123" t="str">
        <f t="shared" si="20"/>
        <v>Milk - حليب</v>
      </c>
      <c r="C102" s="123" t="str">
        <f t="shared" si="20"/>
        <v>ml</v>
      </c>
      <c r="D102" s="123">
        <f t="shared" si="20"/>
        <v>400</v>
      </c>
      <c r="E102" s="223">
        <f t="shared" si="24"/>
        <v>9.8534058534058602</v>
      </c>
      <c r="F102" s="299">
        <f t="shared" si="21"/>
        <v>1</v>
      </c>
      <c r="G102" s="119">
        <f t="shared" si="22"/>
        <v>3941.3623413623441</v>
      </c>
      <c r="H102" s="207">
        <f t="shared" si="25"/>
        <v>3941.3623413623441</v>
      </c>
    </row>
    <row r="103" spans="1:8" ht="14.25" customHeight="1" x14ac:dyDescent="0.3">
      <c r="A103" s="128" t="s">
        <v>220</v>
      </c>
      <c r="B103" s="123" t="str">
        <f t="shared" si="20"/>
        <v>Orange Color - لون برتقالي</v>
      </c>
      <c r="C103" s="123" t="str">
        <f t="shared" si="20"/>
        <v>gm</v>
      </c>
      <c r="D103" s="123">
        <f t="shared" si="20"/>
        <v>1</v>
      </c>
      <c r="E103" s="223">
        <f t="shared" si="24"/>
        <v>9.8534058534058602</v>
      </c>
      <c r="F103" s="299">
        <f t="shared" si="21"/>
        <v>1</v>
      </c>
      <c r="G103" s="119">
        <f t="shared" si="22"/>
        <v>9.8534058534058602</v>
      </c>
      <c r="H103" s="207">
        <f t="shared" si="25"/>
        <v>9.8534058534058602</v>
      </c>
    </row>
    <row r="104" spans="1:8" ht="14.25" customHeight="1" x14ac:dyDescent="0.3">
      <c r="A104" s="128" t="s">
        <v>158</v>
      </c>
      <c r="B104" s="123" t="str">
        <f t="shared" si="20"/>
        <v>Parmesan Cheese Powder - بديل البارميزان</v>
      </c>
      <c r="C104" s="123" t="str">
        <f t="shared" si="20"/>
        <v>gm</v>
      </c>
      <c r="D104" s="123">
        <f t="shared" si="20"/>
        <v>50</v>
      </c>
      <c r="E104" s="223">
        <f t="shared" si="24"/>
        <v>9.8534058534058602</v>
      </c>
      <c r="F104" s="299">
        <f t="shared" si="21"/>
        <v>1</v>
      </c>
      <c r="G104" s="119">
        <f t="shared" si="22"/>
        <v>492.67029267029301</v>
      </c>
      <c r="H104" s="207">
        <f t="shared" si="25"/>
        <v>492.67029267029301</v>
      </c>
    </row>
    <row r="105" spans="1:8" ht="14.25" customHeight="1" x14ac:dyDescent="0.3">
      <c r="A105" s="128" t="s">
        <v>97</v>
      </c>
      <c r="B105" s="123" t="str">
        <f t="shared" si="20"/>
        <v>Maggi Cubes - مكعبات ماجي</v>
      </c>
      <c r="C105" s="123" t="str">
        <f t="shared" si="20"/>
        <v>gm</v>
      </c>
      <c r="D105" s="123">
        <f t="shared" si="20"/>
        <v>5</v>
      </c>
      <c r="E105" s="223">
        <f t="shared" si="24"/>
        <v>9.8534058534058602</v>
      </c>
      <c r="F105" s="299">
        <f t="shared" si="21"/>
        <v>1</v>
      </c>
      <c r="G105" s="119">
        <f t="shared" si="22"/>
        <v>49.267029267029301</v>
      </c>
      <c r="H105" s="207">
        <f t="shared" si="25"/>
        <v>49.267029267029301</v>
      </c>
    </row>
    <row r="106" spans="1:8" ht="14.25" customHeight="1" x14ac:dyDescent="0.3">
      <c r="A106" s="128" t="s">
        <v>196</v>
      </c>
      <c r="B106" s="123" t="str">
        <f t="shared" si="20"/>
        <v>Tomato Ketchup - كاتشب طماطم</v>
      </c>
      <c r="C106" s="123" t="str">
        <f t="shared" si="20"/>
        <v>ml</v>
      </c>
      <c r="D106" s="123">
        <f t="shared" si="20"/>
        <v>50</v>
      </c>
      <c r="E106" s="223">
        <f t="shared" si="24"/>
        <v>9.8534058534058602</v>
      </c>
      <c r="F106" s="299">
        <f t="shared" si="21"/>
        <v>1</v>
      </c>
      <c r="G106" s="119">
        <f t="shared" si="22"/>
        <v>492.67029267029301</v>
      </c>
      <c r="H106" s="207">
        <f t="shared" si="25"/>
        <v>492.67029267029301</v>
      </c>
    </row>
    <row r="107" spans="1:8" ht="23.75" customHeight="1" x14ac:dyDescent="0.3">
      <c r="A107" s="211"/>
      <c r="B107" s="198" t="s">
        <v>299</v>
      </c>
      <c r="C107" s="200" t="s">
        <v>285</v>
      </c>
      <c r="E107" s="200" t="s">
        <v>300</v>
      </c>
      <c r="G107" s="890" t="s">
        <v>276</v>
      </c>
      <c r="H107" s="890" t="s">
        <v>733</v>
      </c>
    </row>
    <row r="108" spans="1:8" ht="20.25" customHeight="1" x14ac:dyDescent="0.4">
      <c r="A108" s="211"/>
      <c r="B108" s="199">
        <f>$J$54</f>
        <v>12445.287538461533</v>
      </c>
      <c r="C108" s="201">
        <f>E108+G108</f>
        <v>9754.8717948718022</v>
      </c>
      <c r="D108" s="209"/>
      <c r="E108" s="201">
        <f>$D$54*$S$44</f>
        <v>4241.2485216410287</v>
      </c>
      <c r="F108" s="100"/>
      <c r="G108" s="202">
        <f>$D$54*$T$44</f>
        <v>5513.6232732307735</v>
      </c>
      <c r="H108" s="202">
        <f>B108+E108</f>
        <v>16686.53606010256</v>
      </c>
    </row>
  </sheetData>
  <mergeCells count="12">
    <mergeCell ref="AE2:AG3"/>
    <mergeCell ref="B87:H87"/>
    <mergeCell ref="R26:U26"/>
    <mergeCell ref="AN2:AN3"/>
    <mergeCell ref="B86:H86"/>
    <mergeCell ref="R25:U25"/>
    <mergeCell ref="B63:H63"/>
    <mergeCell ref="F2:F3"/>
    <mergeCell ref="B62:H62"/>
    <mergeCell ref="AK2:AM2"/>
    <mergeCell ref="C27:G27"/>
    <mergeCell ref="B35:F35"/>
  </mergeCells>
  <printOptions horizontalCentered="1"/>
  <pageMargins left="0.5" right="0.5" top="1" bottom="0.5" header="0.3" footer="0.511811023622047"/>
  <pageSetup paperSize="9" scale="30" orientation="portrait" r:id="rId1"/>
  <legacyDrawing r:id="rId2"/>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70">
    <tabColor rgb="FF333F50"/>
    <pageSetUpPr fitToPage="1"/>
  </sheetPr>
  <dimension ref="A1:AT136"/>
  <sheetViews>
    <sheetView topLeftCell="C48" zoomScale="70" zoomScaleNormal="70" workbookViewId="0">
      <selection activeCell="J52" sqref="J52"/>
    </sheetView>
  </sheetViews>
  <sheetFormatPr defaultColWidth="12.5" defaultRowHeight="14" x14ac:dyDescent="0.3"/>
  <cols>
    <col min="1" max="1" width="12.5" style="79" customWidth="1"/>
    <col min="2" max="2" width="36" style="29"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3.83203125" style="14" customWidth="1"/>
    <col min="15" max="17" width="12.5" style="14" customWidth="1"/>
    <col min="18" max="18" width="32.08203125" style="14" customWidth="1"/>
    <col min="19" max="28" width="12.5" style="14" customWidth="1"/>
    <col min="29" max="29" width="11.9140625" style="14" bestFit="1" customWidth="1"/>
    <col min="30" max="30" width="10.83203125" style="14" customWidth="1"/>
    <col min="31" max="31" width="10" style="14" bestFit="1" customWidth="1"/>
    <col min="32" max="32" width="11.58203125" style="14" bestFit="1" customWidth="1"/>
    <col min="33" max="34" width="4.75" style="14" customWidth="1"/>
    <col min="35" max="35" width="12.5" style="14" customWidth="1"/>
    <col min="36" max="36" width="30.5" style="14" customWidth="1"/>
    <col min="37" max="37" width="12.5" style="14" customWidth="1"/>
    <col min="38" max="16384" width="12.5" style="14"/>
  </cols>
  <sheetData>
    <row r="1" spans="1:46" ht="35.25" customHeight="1" x14ac:dyDescent="0.3">
      <c r="B1" s="300" t="s">
        <v>243</v>
      </c>
      <c r="C1" s="81">
        <v>1000</v>
      </c>
      <c r="D1" s="82" t="s">
        <v>244</v>
      </c>
      <c r="E1" s="117">
        <f>T32</f>
        <v>24623.076923076929</v>
      </c>
      <c r="F1" s="80" t="s">
        <v>245</v>
      </c>
      <c r="G1" s="81">
        <f>E1/C1</f>
        <v>24.62307692307693</v>
      </c>
      <c r="H1" s="80" t="s">
        <v>246</v>
      </c>
      <c r="I1" s="249">
        <f>(G1/K1)</f>
        <v>25.125588697017275</v>
      </c>
      <c r="J1" s="86" t="s">
        <v>247</v>
      </c>
      <c r="K1" s="81">
        <v>0.98</v>
      </c>
      <c r="L1" s="100"/>
      <c r="M1" s="89"/>
      <c r="N1" s="90"/>
      <c r="O1" s="91" t="s">
        <v>248</v>
      </c>
      <c r="P1" s="92" t="s">
        <v>249</v>
      </c>
      <c r="Q1" s="93" t="s">
        <v>250</v>
      </c>
      <c r="R1" s="92">
        <v>0.59</v>
      </c>
      <c r="Y1" s="91" t="s">
        <v>479</v>
      </c>
      <c r="Z1" s="847">
        <v>42650</v>
      </c>
      <c r="AA1" s="91" t="s">
        <v>600</v>
      </c>
      <c r="AB1" s="847">
        <v>1000</v>
      </c>
      <c r="AC1" s="91" t="s">
        <v>587</v>
      </c>
      <c r="AD1" s="847">
        <v>290</v>
      </c>
      <c r="AE1" s="250"/>
      <c r="AF1" s="252"/>
      <c r="AG1" s="92"/>
      <c r="AI1" s="79"/>
      <c r="AJ1" s="94" t="s">
        <v>262</v>
      </c>
      <c r="AK1" s="94">
        <v>10000</v>
      </c>
      <c r="AL1" s="628" t="s">
        <v>520</v>
      </c>
      <c r="AM1" s="629">
        <f>$S$32</f>
        <v>33576.923076923063</v>
      </c>
      <c r="AN1" s="94" t="s">
        <v>251</v>
      </c>
      <c r="AO1" s="329">
        <f>((S32)/$R$1)/$AK$1</f>
        <v>5.6910039113428921</v>
      </c>
      <c r="AP1" s="95"/>
    </row>
    <row r="2" spans="1:46" ht="12.75" customHeight="1" x14ac:dyDescent="0.3">
      <c r="A2" s="97"/>
      <c r="B2" s="580"/>
      <c r="C2" s="98"/>
      <c r="D2" s="98"/>
      <c r="E2" s="98"/>
      <c r="F2" s="1408" t="s">
        <v>489</v>
      </c>
      <c r="G2" s="98"/>
      <c r="H2" s="98"/>
      <c r="I2" s="98"/>
      <c r="J2" s="98"/>
      <c r="K2" s="98"/>
      <c r="L2" s="293"/>
      <c r="M2" s="100"/>
      <c r="N2" s="100"/>
      <c r="O2" s="100"/>
      <c r="P2" s="100"/>
      <c r="Q2" s="100"/>
      <c r="R2" s="100"/>
      <c r="AC2" s="99"/>
      <c r="AD2" s="99"/>
      <c r="AE2" s="1391"/>
      <c r="AF2" s="1389"/>
      <c r="AG2" s="1389"/>
      <c r="AI2" s="79"/>
      <c r="AJ2" s="101"/>
      <c r="AK2" s="1386" t="s">
        <v>490</v>
      </c>
      <c r="AL2" s="1386"/>
      <c r="AM2" s="1386"/>
      <c r="AN2" s="1386"/>
      <c r="AO2" s="101"/>
      <c r="AP2" s="101"/>
    </row>
    <row r="3" spans="1:46" ht="12.75" customHeight="1" x14ac:dyDescent="0.3">
      <c r="A3" s="97"/>
      <c r="B3" s="581"/>
      <c r="C3" s="103"/>
      <c r="D3" s="103"/>
      <c r="E3" s="103"/>
      <c r="F3" s="1388"/>
      <c r="G3" s="103"/>
      <c r="H3" s="103"/>
      <c r="I3" s="103"/>
      <c r="J3" s="103"/>
      <c r="K3" s="103"/>
      <c r="L3" s="293"/>
      <c r="O3" s="100"/>
      <c r="P3" s="100"/>
      <c r="Q3" s="100"/>
      <c r="R3" s="100"/>
      <c r="AC3" s="99"/>
      <c r="AD3" s="99"/>
      <c r="AE3" s="1389"/>
      <c r="AF3" s="1389"/>
      <c r="AG3" s="1389"/>
      <c r="AI3" s="79"/>
      <c r="AJ3" s="101"/>
      <c r="AK3" s="101"/>
      <c r="AL3" s="101"/>
      <c r="AM3" s="101"/>
      <c r="AN3" s="1386"/>
      <c r="AO3" s="101"/>
      <c r="AP3" s="101"/>
    </row>
    <row r="4" spans="1:46" ht="46.5" customHeight="1" x14ac:dyDescent="0.3">
      <c r="A4" s="91" t="s">
        <v>1</v>
      </c>
      <c r="B4" s="91" t="s">
        <v>253</v>
      </c>
      <c r="C4" s="107" t="s">
        <v>254</v>
      </c>
      <c r="D4" s="91" t="s">
        <v>243</v>
      </c>
      <c r="E4" s="108" t="s">
        <v>246</v>
      </c>
      <c r="F4" s="108" t="s">
        <v>255</v>
      </c>
      <c r="G4" s="91" t="s">
        <v>256</v>
      </c>
      <c r="H4" s="331" t="s">
        <v>347</v>
      </c>
      <c r="I4" s="91" t="s">
        <v>258</v>
      </c>
      <c r="J4" s="91" t="s">
        <v>259</v>
      </c>
      <c r="K4" s="91" t="s">
        <v>260</v>
      </c>
      <c r="L4" s="91" t="s">
        <v>261</v>
      </c>
      <c r="O4" s="100"/>
      <c r="P4" s="100"/>
      <c r="AA4" s="251"/>
      <c r="AB4" s="251"/>
      <c r="AC4" s="251"/>
      <c r="AD4" s="253"/>
      <c r="AE4" s="251"/>
      <c r="AF4" s="251"/>
      <c r="AG4" s="251"/>
      <c r="AI4" s="79"/>
      <c r="AJ4" s="94" t="s">
        <v>253</v>
      </c>
      <c r="AK4" s="530" t="s">
        <v>254</v>
      </c>
      <c r="AL4" s="94" t="s">
        <v>262</v>
      </c>
      <c r="AM4" s="94" t="s">
        <v>246</v>
      </c>
      <c r="AN4" s="94" t="s">
        <v>255</v>
      </c>
      <c r="AO4" s="94" t="s">
        <v>256</v>
      </c>
      <c r="AP4" s="94" t="s">
        <v>347</v>
      </c>
      <c r="AQ4" s="91" t="s">
        <v>258</v>
      </c>
      <c r="AR4" s="91" t="s">
        <v>259</v>
      </c>
      <c r="AS4" s="91" t="s">
        <v>260</v>
      </c>
      <c r="AT4" s="91" t="s">
        <v>261</v>
      </c>
    </row>
    <row r="5" spans="1:46" x14ac:dyDescent="0.3">
      <c r="A5" s="582" t="s">
        <v>230</v>
      </c>
      <c r="B5" s="309" t="s">
        <v>229</v>
      </c>
      <c r="C5" s="115" t="s">
        <v>14</v>
      </c>
      <c r="D5" s="268">
        <f>I51/10</f>
        <v>2456.4701694915252</v>
      </c>
      <c r="E5" s="126">
        <f>H52</f>
        <v>23.167404929329535</v>
      </c>
      <c r="F5" s="299">
        <v>1</v>
      </c>
      <c r="G5" s="119">
        <f t="shared" ref="G5:G23" si="0">D5*E5</f>
        <v>56910.039113428924</v>
      </c>
      <c r="H5" s="207">
        <f t="shared" ref="H5:H23" si="1">G5*F5</f>
        <v>56910.039113428924</v>
      </c>
      <c r="I5" s="81">
        <f>VLOOKUP(B5,All_Ingredients!$A$1:$F$151,6,FALSE())</f>
        <v>0.86</v>
      </c>
      <c r="J5" s="119">
        <f>VLOOKUP(B5,All_Ingredients!$A$1:$J$151,10,FALSE())</f>
        <v>17.100000000000001</v>
      </c>
      <c r="K5" s="122">
        <f t="shared" ref="K5" si="2">(H5/I5)/1000</f>
        <v>66.174464085382468</v>
      </c>
      <c r="L5" s="122">
        <f t="shared" ref="L5" si="3">K5*J5</f>
        <v>1131.5833358600403</v>
      </c>
      <c r="O5" s="100"/>
      <c r="P5" s="100"/>
      <c r="AA5" s="92"/>
      <c r="AB5" s="92"/>
      <c r="AC5" s="92"/>
      <c r="AD5" s="133"/>
      <c r="AE5" s="254"/>
      <c r="AF5" s="135"/>
      <c r="AG5" s="136"/>
      <c r="AI5" s="79"/>
      <c r="AJ5" s="374" t="s">
        <v>229</v>
      </c>
      <c r="AK5" s="583" t="s">
        <v>238</v>
      </c>
      <c r="AL5" s="584">
        <v>10</v>
      </c>
      <c r="AM5" s="585">
        <f t="shared" ref="AM5:AM12" si="4">$AO$1</f>
        <v>5.6910039113428921</v>
      </c>
      <c r="AN5" s="586">
        <v>1</v>
      </c>
      <c r="AO5" s="587">
        <f t="shared" ref="AO5:AO12" si="5">AL5*AM5</f>
        <v>56.910039113428923</v>
      </c>
      <c r="AP5" s="588">
        <f t="shared" ref="AP5:AP12" si="6">AO5*AN5</f>
        <v>56.910039113428923</v>
      </c>
      <c r="AQ5" s="295"/>
      <c r="AR5" s="1171"/>
      <c r="AS5" s="175"/>
      <c r="AT5" s="1172"/>
    </row>
    <row r="6" spans="1:46" x14ac:dyDescent="0.3">
      <c r="A6" s="128" t="s">
        <v>13</v>
      </c>
      <c r="B6" s="267" t="s">
        <v>12</v>
      </c>
      <c r="C6" s="115" t="s">
        <v>14</v>
      </c>
      <c r="D6" s="125">
        <v>150</v>
      </c>
      <c r="E6" s="197">
        <f t="shared" ref="E6:E23" si="7">$I$1</f>
        <v>25.125588697017275</v>
      </c>
      <c r="F6" s="299">
        <v>0.95</v>
      </c>
      <c r="G6" s="119">
        <f t="shared" si="0"/>
        <v>3768.8383045525911</v>
      </c>
      <c r="H6" s="207">
        <f t="shared" si="1"/>
        <v>3580.3963893249615</v>
      </c>
      <c r="I6" s="81">
        <f>VLOOKUP(B6,All_Ingredients!$A$1:$F$151,6,FALSE())</f>
        <v>0.9</v>
      </c>
      <c r="J6" s="119">
        <f>VLOOKUP(B6,All_Ingredients!$A$1:$J$151,10,FALSE())</f>
        <v>3</v>
      </c>
      <c r="K6" s="122">
        <f t="shared" ref="K6:K23" si="8">(H6/I6)/1000</f>
        <v>3.9782182103610686</v>
      </c>
      <c r="L6" s="122">
        <f t="shared" ref="L6:L23" si="9">K6*J6</f>
        <v>11.934654631083205</v>
      </c>
      <c r="AI6" s="79" t="s">
        <v>57</v>
      </c>
      <c r="AJ6" s="272" t="s">
        <v>56</v>
      </c>
      <c r="AK6" s="124" t="s">
        <v>14</v>
      </c>
      <c r="AL6" s="125">
        <v>300</v>
      </c>
      <c r="AM6" s="126">
        <f t="shared" si="4"/>
        <v>5.6910039113428921</v>
      </c>
      <c r="AN6" s="127">
        <v>1</v>
      </c>
      <c r="AO6" s="119">
        <f t="shared" si="5"/>
        <v>1707.3011734028676</v>
      </c>
      <c r="AP6" s="355">
        <f t="shared" si="6"/>
        <v>1707.3011734028676</v>
      </c>
      <c r="AQ6" s="1172">
        <f>VLOOKUP(AJ6,Marination_Ordering!$A:$J,6,FALSE)</f>
        <v>0.87</v>
      </c>
      <c r="AR6" s="1172">
        <f>VLOOKUP(AJ6,Marination_Ordering!$A:$J,10,FALSE)</f>
        <v>3.2</v>
      </c>
      <c r="AS6" s="175">
        <f>AP6/AQ6</f>
        <v>1962.4151418423764</v>
      </c>
      <c r="AT6" s="1172">
        <f>AR6*(AS6/1000)</f>
        <v>6.2797284538956051</v>
      </c>
    </row>
    <row r="7" spans="1:46" ht="15" customHeight="1" x14ac:dyDescent="0.3">
      <c r="A7" s="128" t="s">
        <v>13</v>
      </c>
      <c r="B7" s="267" t="s">
        <v>17</v>
      </c>
      <c r="C7" s="115" t="s">
        <v>14</v>
      </c>
      <c r="D7" s="125">
        <v>450</v>
      </c>
      <c r="E7" s="197">
        <f t="shared" si="7"/>
        <v>25.125588697017275</v>
      </c>
      <c r="F7" s="299">
        <v>1</v>
      </c>
      <c r="G7" s="119">
        <f t="shared" si="0"/>
        <v>11306.514913657773</v>
      </c>
      <c r="H7" s="207">
        <f t="shared" si="1"/>
        <v>11306.514913657773</v>
      </c>
      <c r="I7" s="81">
        <f>VLOOKUP(B7,All_Ingredients!$A$1:$F$151,6,FALSE())</f>
        <v>0.98</v>
      </c>
      <c r="J7" s="119">
        <f>VLOOKUP(B7,All_Ingredients!$A$1:$J$151,10,FALSE())</f>
        <v>3.5</v>
      </c>
      <c r="K7" s="122">
        <f t="shared" si="8"/>
        <v>11.53726011597732</v>
      </c>
      <c r="L7" s="122">
        <f t="shared" si="9"/>
        <v>40.380410405920621</v>
      </c>
      <c r="AI7" s="79" t="s">
        <v>13</v>
      </c>
      <c r="AJ7" s="272" t="s">
        <v>792</v>
      </c>
      <c r="AK7" s="124" t="s">
        <v>14</v>
      </c>
      <c r="AL7" s="125">
        <v>100</v>
      </c>
      <c r="AM7" s="126">
        <f t="shared" si="4"/>
        <v>5.6910039113428921</v>
      </c>
      <c r="AN7" s="127">
        <v>1</v>
      </c>
      <c r="AO7" s="119">
        <f t="shared" si="5"/>
        <v>569.10039113428923</v>
      </c>
      <c r="AP7" s="355">
        <f t="shared" si="6"/>
        <v>569.10039113428923</v>
      </c>
      <c r="AQ7" s="1172">
        <f>VLOOKUP(AJ7,Marination_Ordering!$A:$J,6,FALSE)</f>
        <v>1</v>
      </c>
      <c r="AR7" s="1172">
        <f>VLOOKUP(AJ7,Marination_Ordering!$A:$J,10,FALSE)</f>
        <v>10.5</v>
      </c>
      <c r="AS7" s="175">
        <f t="shared" ref="AS7:AS8" si="10">AP7/AQ7</f>
        <v>569.10039113428923</v>
      </c>
      <c r="AT7" s="1172">
        <f t="shared" ref="AT7:AT8" si="11">AR7*(AS7/1000)</f>
        <v>5.9755541069100371</v>
      </c>
    </row>
    <row r="8" spans="1:46" x14ac:dyDescent="0.3">
      <c r="A8" s="128" t="s">
        <v>57</v>
      </c>
      <c r="B8" s="267" t="s">
        <v>56</v>
      </c>
      <c r="C8" s="115" t="s">
        <v>14</v>
      </c>
      <c r="D8" s="125">
        <v>25</v>
      </c>
      <c r="E8" s="197">
        <f t="shared" si="7"/>
        <v>25.125588697017275</v>
      </c>
      <c r="F8" s="299">
        <v>0.9</v>
      </c>
      <c r="G8" s="119">
        <f t="shared" si="0"/>
        <v>628.13971742543185</v>
      </c>
      <c r="H8" s="207">
        <f t="shared" si="1"/>
        <v>565.32574568288874</v>
      </c>
      <c r="I8" s="81">
        <f>VLOOKUP(B8,All_Ingredients!$A$1:$F$151,6,FALSE())</f>
        <v>0.87</v>
      </c>
      <c r="J8" s="119">
        <f>VLOOKUP(B8,All_Ingredients!$A$1:$J$151,10,FALSE())</f>
        <v>7</v>
      </c>
      <c r="K8" s="122">
        <f t="shared" si="8"/>
        <v>0.64979970768148132</v>
      </c>
      <c r="L8" s="122">
        <f t="shared" si="9"/>
        <v>4.5485979537703694</v>
      </c>
      <c r="AI8" s="79" t="s">
        <v>210</v>
      </c>
      <c r="AJ8" s="272" t="s">
        <v>219</v>
      </c>
      <c r="AK8" s="124" t="s">
        <v>165</v>
      </c>
      <c r="AL8" s="125">
        <v>350</v>
      </c>
      <c r="AM8" s="126">
        <f t="shared" si="4"/>
        <v>5.6910039113428921</v>
      </c>
      <c r="AN8" s="127">
        <v>1</v>
      </c>
      <c r="AO8" s="119">
        <f t="shared" si="5"/>
        <v>1991.8513689700121</v>
      </c>
      <c r="AP8" s="355">
        <f t="shared" si="6"/>
        <v>1991.8513689700121</v>
      </c>
      <c r="AQ8" s="1172">
        <f>VLOOKUP(AJ8,Marination_Ordering!$A:$J,6,FALSE)</f>
        <v>1</v>
      </c>
      <c r="AR8" s="1172">
        <f>VLOOKUP(AJ8,Marination_Ordering!$A:$J,10,FALSE)</f>
        <v>5</v>
      </c>
      <c r="AS8" s="175">
        <f t="shared" si="10"/>
        <v>1991.8513689700121</v>
      </c>
      <c r="AT8" s="1172">
        <f t="shared" si="11"/>
        <v>9.95925684485006</v>
      </c>
    </row>
    <row r="9" spans="1:46" x14ac:dyDescent="0.3">
      <c r="A9" s="128" t="s">
        <v>13</v>
      </c>
      <c r="B9" s="267" t="s">
        <v>792</v>
      </c>
      <c r="C9" s="115" t="s">
        <v>14</v>
      </c>
      <c r="D9" s="125">
        <v>25</v>
      </c>
      <c r="E9" s="197">
        <f t="shared" si="7"/>
        <v>25.125588697017275</v>
      </c>
      <c r="F9" s="299">
        <v>0.9</v>
      </c>
      <c r="G9" s="119">
        <f t="shared" si="0"/>
        <v>628.13971742543185</v>
      </c>
      <c r="H9" s="207">
        <f t="shared" si="1"/>
        <v>565.32574568288874</v>
      </c>
      <c r="I9" s="81">
        <f>VLOOKUP(B9,All_Ingredients!$A$1:$F$151,6,FALSE())</f>
        <v>1</v>
      </c>
      <c r="J9" s="119">
        <f>VLOOKUP(B9,All_Ingredients!$A$1:$J$151,10,FALSE())</f>
        <v>10.5</v>
      </c>
      <c r="K9" s="122">
        <f t="shared" si="8"/>
        <v>0.56532574568288874</v>
      </c>
      <c r="L9" s="122">
        <f t="shared" si="9"/>
        <v>5.9359203296703313</v>
      </c>
      <c r="AI9" s="79" t="s">
        <v>210</v>
      </c>
      <c r="AJ9" s="272" t="s">
        <v>215</v>
      </c>
      <c r="AK9" s="124" t="s">
        <v>165</v>
      </c>
      <c r="AL9" s="125">
        <v>70</v>
      </c>
      <c r="AM9" s="126">
        <f t="shared" si="4"/>
        <v>5.6910039113428921</v>
      </c>
      <c r="AN9" s="127">
        <v>1</v>
      </c>
      <c r="AO9" s="119">
        <f t="shared" si="5"/>
        <v>398.37027379400246</v>
      </c>
      <c r="AP9" s="355">
        <f t="shared" si="6"/>
        <v>398.37027379400246</v>
      </c>
      <c r="AQ9" s="1172">
        <f>VLOOKUP(AJ9,Marination_Ordering!$A:$J,6,FALSE)</f>
        <v>1</v>
      </c>
      <c r="AR9" s="1172">
        <f>VLOOKUP(AJ9,Marination_Ordering!$A:$J,10,FALSE)</f>
        <v>2.1621621621621623</v>
      </c>
      <c r="AS9" s="175">
        <f t="shared" ref="AS9:AS12" si="12">AP9/AQ9</f>
        <v>398.37027379400246</v>
      </c>
      <c r="AT9" s="1172">
        <f t="shared" ref="AT9:AT12" si="13">AR9*(AS9/1000)</f>
        <v>0.86134113252757294</v>
      </c>
    </row>
    <row r="10" spans="1:46" x14ac:dyDescent="0.3">
      <c r="A10" s="128" t="s">
        <v>13</v>
      </c>
      <c r="B10" s="267" t="s">
        <v>34</v>
      </c>
      <c r="C10" s="115" t="s">
        <v>14</v>
      </c>
      <c r="D10" s="125">
        <v>5</v>
      </c>
      <c r="E10" s="197">
        <f t="shared" si="7"/>
        <v>25.125588697017275</v>
      </c>
      <c r="F10" s="299">
        <v>0.75</v>
      </c>
      <c r="G10" s="119">
        <f t="shared" si="0"/>
        <v>125.62794348508638</v>
      </c>
      <c r="H10" s="207">
        <f t="shared" si="1"/>
        <v>94.22095761381479</v>
      </c>
      <c r="I10" s="81">
        <f>VLOOKUP(B10,All_Ingredients!$A$1:$F$151,6,FALSE())</f>
        <v>0.86</v>
      </c>
      <c r="J10" s="119">
        <f>VLOOKUP(B10,All_Ingredients!$A$1:$J$151,10,FALSE())</f>
        <v>14</v>
      </c>
      <c r="K10" s="122">
        <f t="shared" si="8"/>
        <v>0.10955925303931953</v>
      </c>
      <c r="L10" s="122">
        <f t="shared" si="9"/>
        <v>1.5338295425504733</v>
      </c>
      <c r="AI10" s="79" t="s">
        <v>97</v>
      </c>
      <c r="AJ10" s="272" t="s">
        <v>96</v>
      </c>
      <c r="AK10" s="124" t="s">
        <v>14</v>
      </c>
      <c r="AL10" s="125">
        <v>5</v>
      </c>
      <c r="AM10" s="126">
        <f t="shared" si="4"/>
        <v>5.6910039113428921</v>
      </c>
      <c r="AN10" s="127">
        <v>1</v>
      </c>
      <c r="AO10" s="119">
        <f t="shared" si="5"/>
        <v>28.455019556714461</v>
      </c>
      <c r="AP10" s="355">
        <f t="shared" si="6"/>
        <v>28.455019556714461</v>
      </c>
      <c r="AQ10" s="1172">
        <f>VLOOKUP(AJ10,Marination_Ordering!$A:$J,6,FALSE)</f>
        <v>1</v>
      </c>
      <c r="AR10" s="1172">
        <f>VLOOKUP(AJ10,Marination_Ordering!$A:$J,10,FALSE)</f>
        <v>0.74</v>
      </c>
      <c r="AS10" s="175">
        <f t="shared" si="12"/>
        <v>28.455019556714461</v>
      </c>
      <c r="AT10" s="1172">
        <f t="shared" si="13"/>
        <v>2.1056714471968701E-2</v>
      </c>
    </row>
    <row r="11" spans="1:46" x14ac:dyDescent="0.3">
      <c r="A11" s="128" t="s">
        <v>97</v>
      </c>
      <c r="B11" s="267" t="s">
        <v>108</v>
      </c>
      <c r="C11" s="115" t="s">
        <v>14</v>
      </c>
      <c r="D11" s="125">
        <v>5</v>
      </c>
      <c r="E11" s="197">
        <f t="shared" si="7"/>
        <v>25.125588697017275</v>
      </c>
      <c r="F11" s="299">
        <v>1</v>
      </c>
      <c r="G11" s="119">
        <f t="shared" si="0"/>
        <v>125.62794348508638</v>
      </c>
      <c r="H11" s="207">
        <f t="shared" si="1"/>
        <v>125.62794348508638</v>
      </c>
      <c r="I11" s="81">
        <f>VLOOKUP(B11,All_Ingredients!$A$1:$F$151,6,FALSE())</f>
        <v>1</v>
      </c>
      <c r="J11" s="119">
        <f>VLOOKUP(B11,All_Ingredients!$A$1:$J$151,10,FALSE())</f>
        <v>15</v>
      </c>
      <c r="K11" s="122">
        <f t="shared" si="8"/>
        <v>0.12562794348508638</v>
      </c>
      <c r="L11" s="122">
        <f t="shared" si="9"/>
        <v>1.8844191522762956</v>
      </c>
      <c r="AI11" s="79" t="s">
        <v>97</v>
      </c>
      <c r="AJ11" s="272" t="s">
        <v>102</v>
      </c>
      <c r="AK11" s="124" t="s">
        <v>14</v>
      </c>
      <c r="AL11" s="125">
        <v>3</v>
      </c>
      <c r="AM11" s="126">
        <f t="shared" si="4"/>
        <v>5.6910039113428921</v>
      </c>
      <c r="AN11" s="127">
        <v>1</v>
      </c>
      <c r="AO11" s="119">
        <f t="shared" si="5"/>
        <v>17.073011734028675</v>
      </c>
      <c r="AP11" s="355">
        <f t="shared" si="6"/>
        <v>17.073011734028675</v>
      </c>
      <c r="AQ11" s="1172">
        <f>VLOOKUP(AJ11,Marination_Ordering!$A:$J,6,FALSE)</f>
        <v>1</v>
      </c>
      <c r="AR11" s="1172">
        <f>VLOOKUP(AJ11,Marination_Ordering!$A:$J,10,FALSE)</f>
        <v>31</v>
      </c>
      <c r="AS11" s="175">
        <f t="shared" si="12"/>
        <v>17.073011734028675</v>
      </c>
      <c r="AT11" s="1172">
        <f t="shared" si="13"/>
        <v>0.52926336375488892</v>
      </c>
    </row>
    <row r="12" spans="1:46" ht="16.25" customHeight="1" x14ac:dyDescent="0.3">
      <c r="A12" s="128" t="s">
        <v>97</v>
      </c>
      <c r="B12" s="267" t="s">
        <v>117</v>
      </c>
      <c r="C12" s="115" t="s">
        <v>14</v>
      </c>
      <c r="D12" s="125">
        <v>3</v>
      </c>
      <c r="E12" s="197">
        <f t="shared" si="7"/>
        <v>25.125588697017275</v>
      </c>
      <c r="F12" s="299">
        <v>0.75</v>
      </c>
      <c r="G12" s="119">
        <f t="shared" si="0"/>
        <v>75.37676609105182</v>
      </c>
      <c r="H12" s="207">
        <f t="shared" si="1"/>
        <v>56.532574568288865</v>
      </c>
      <c r="I12" s="81">
        <f>VLOOKUP(B12,All_Ingredients!$A$1:$F$151,6,FALSE())</f>
        <v>1</v>
      </c>
      <c r="J12" s="119">
        <f>VLOOKUP(B12,All_Ingredients!$A$1:$J$151,10,FALSE())</f>
        <v>20</v>
      </c>
      <c r="K12" s="122">
        <f t="shared" si="8"/>
        <v>5.6532574568288863E-2</v>
      </c>
      <c r="L12" s="122">
        <f t="shared" si="9"/>
        <v>1.1306514913657773</v>
      </c>
      <c r="AI12" s="79" t="s">
        <v>220</v>
      </c>
      <c r="AJ12" s="272" t="s">
        <v>815</v>
      </c>
      <c r="AK12" s="124" t="s">
        <v>14</v>
      </c>
      <c r="AL12" s="125">
        <v>5</v>
      </c>
      <c r="AM12" s="126">
        <f t="shared" si="4"/>
        <v>5.6910039113428921</v>
      </c>
      <c r="AN12" s="127">
        <v>1</v>
      </c>
      <c r="AO12" s="119">
        <f t="shared" si="5"/>
        <v>28.455019556714461</v>
      </c>
      <c r="AP12" s="355">
        <f t="shared" si="6"/>
        <v>28.455019556714461</v>
      </c>
      <c r="AQ12" s="1172">
        <f>VLOOKUP(AJ12,Marination_Ordering!$A:$J,6,FALSE)</f>
        <v>1</v>
      </c>
      <c r="AR12" s="1172">
        <f>VLOOKUP(AJ12,Marination_Ordering!$A:$J,10,FALSE)</f>
        <v>22.5</v>
      </c>
      <c r="AS12" s="175">
        <f t="shared" si="12"/>
        <v>28.455019556714461</v>
      </c>
      <c r="AT12" s="1172">
        <f t="shared" si="13"/>
        <v>0.64023794002607537</v>
      </c>
    </row>
    <row r="13" spans="1:46" x14ac:dyDescent="0.3">
      <c r="A13" s="128" t="s">
        <v>97</v>
      </c>
      <c r="B13" s="267" t="s">
        <v>144</v>
      </c>
      <c r="C13" s="115" t="s">
        <v>14</v>
      </c>
      <c r="D13" s="125">
        <v>7</v>
      </c>
      <c r="E13" s="197">
        <f t="shared" si="7"/>
        <v>25.125588697017275</v>
      </c>
      <c r="F13" s="299">
        <v>0.75</v>
      </c>
      <c r="G13" s="119">
        <f t="shared" si="0"/>
        <v>175.87912087912093</v>
      </c>
      <c r="H13" s="207">
        <f t="shared" si="1"/>
        <v>131.9093406593407</v>
      </c>
      <c r="I13" s="81">
        <f>VLOOKUP(B13,All_Ingredients!$A$1:$F$151,6,FALSE())</f>
        <v>1</v>
      </c>
      <c r="J13" s="119">
        <f>VLOOKUP(B13,All_Ingredients!$A$1:$J$151,10,FALSE())</f>
        <v>15.277777777777779</v>
      </c>
      <c r="K13" s="122">
        <f t="shared" si="8"/>
        <v>0.13190934065934071</v>
      </c>
      <c r="L13" s="122">
        <f t="shared" si="9"/>
        <v>2.0152815934065944</v>
      </c>
    </row>
    <row r="14" spans="1:46" x14ac:dyDescent="0.3">
      <c r="A14" s="128" t="s">
        <v>97</v>
      </c>
      <c r="B14" s="267" t="s">
        <v>789</v>
      </c>
      <c r="C14" s="115" t="s">
        <v>14</v>
      </c>
      <c r="D14" s="125">
        <v>1</v>
      </c>
      <c r="E14" s="197">
        <f t="shared" si="7"/>
        <v>25.125588697017275</v>
      </c>
      <c r="F14" s="299">
        <v>0.75</v>
      </c>
      <c r="G14" s="119">
        <f t="shared" si="0"/>
        <v>25.125588697017275</v>
      </c>
      <c r="H14" s="207">
        <f t="shared" si="1"/>
        <v>18.844191522762955</v>
      </c>
      <c r="I14" s="81">
        <f>VLOOKUP(B14,All_Ingredients!$A$1:$F$151,6,FALSE())</f>
        <v>1</v>
      </c>
      <c r="J14" s="119">
        <f>VLOOKUP(B14,All_Ingredients!$A$1:$J$151,10,FALSE())</f>
        <v>52</v>
      </c>
      <c r="K14" s="122">
        <f t="shared" si="8"/>
        <v>1.8844191522762954E-2</v>
      </c>
      <c r="L14" s="122">
        <f t="shared" si="9"/>
        <v>0.97989795918367362</v>
      </c>
    </row>
    <row r="15" spans="1:46" x14ac:dyDescent="0.3">
      <c r="A15" s="128" t="s">
        <v>158</v>
      </c>
      <c r="B15" s="267" t="s">
        <v>171</v>
      </c>
      <c r="C15" s="115" t="s">
        <v>165</v>
      </c>
      <c r="D15" s="125">
        <v>300</v>
      </c>
      <c r="E15" s="197">
        <f t="shared" si="7"/>
        <v>25.125588697017275</v>
      </c>
      <c r="F15" s="299">
        <v>1</v>
      </c>
      <c r="G15" s="119">
        <f t="shared" si="0"/>
        <v>7537.6766091051823</v>
      </c>
      <c r="H15" s="207">
        <f t="shared" si="1"/>
        <v>7537.6766091051823</v>
      </c>
      <c r="I15" s="81">
        <f>VLOOKUP(B15,All_Ingredients!$A$1:$F$151,6,FALSE())</f>
        <v>1</v>
      </c>
      <c r="J15" s="119">
        <f>VLOOKUP(B15,All_Ingredients!$A$1:$J$151,10,FALSE())</f>
        <v>12.666666666666666</v>
      </c>
      <c r="K15" s="122">
        <f t="shared" si="8"/>
        <v>7.5376766091051826</v>
      </c>
      <c r="L15" s="122">
        <f t="shared" si="9"/>
        <v>95.477237048665643</v>
      </c>
    </row>
    <row r="16" spans="1:46" x14ac:dyDescent="0.3">
      <c r="A16" s="128" t="s">
        <v>210</v>
      </c>
      <c r="B16" s="267" t="s">
        <v>209</v>
      </c>
      <c r="C16" s="115" t="s">
        <v>14</v>
      </c>
      <c r="D16" s="125">
        <v>100</v>
      </c>
      <c r="E16" s="197">
        <f t="shared" si="7"/>
        <v>25.125588697017275</v>
      </c>
      <c r="F16" s="299">
        <v>1</v>
      </c>
      <c r="G16" s="119">
        <f t="shared" si="0"/>
        <v>2512.5588697017274</v>
      </c>
      <c r="H16" s="207">
        <f t="shared" si="1"/>
        <v>2512.5588697017274</v>
      </c>
      <c r="I16" s="81">
        <f>VLOOKUP(B16,All_Ingredients!$A$1:$F$151,6,FALSE())</f>
        <v>1</v>
      </c>
      <c r="J16" s="119">
        <f>VLOOKUP(B16,All_Ingredients!$A$1:$J$151,10,FALSE())</f>
        <v>0</v>
      </c>
      <c r="K16" s="122">
        <f t="shared" si="8"/>
        <v>2.5125588697017274</v>
      </c>
      <c r="L16" s="122">
        <f t="shared" si="9"/>
        <v>0</v>
      </c>
    </row>
    <row r="17" spans="1:32" ht="14.25" customHeight="1" x14ac:dyDescent="0.3">
      <c r="A17" s="128" t="s">
        <v>97</v>
      </c>
      <c r="B17" s="267" t="s">
        <v>110</v>
      </c>
      <c r="C17" s="115" t="s">
        <v>14</v>
      </c>
      <c r="D17" s="125">
        <v>5</v>
      </c>
      <c r="E17" s="197">
        <f t="shared" si="7"/>
        <v>25.125588697017275</v>
      </c>
      <c r="F17" s="299">
        <v>1</v>
      </c>
      <c r="G17" s="119">
        <f t="shared" si="0"/>
        <v>125.62794348508638</v>
      </c>
      <c r="H17" s="207">
        <f t="shared" si="1"/>
        <v>125.62794348508638</v>
      </c>
      <c r="I17" s="81">
        <f>VLOOKUP(B17,All_Ingredients!$A$1:$F$151,6,FALSE())</f>
        <v>1</v>
      </c>
      <c r="J17" s="119">
        <f>VLOOKUP(B17,All_Ingredients!$A$1:$J$151,10,FALSE())</f>
        <v>8</v>
      </c>
      <c r="K17" s="122">
        <f t="shared" si="8"/>
        <v>0.12562794348508638</v>
      </c>
      <c r="L17" s="122">
        <f t="shared" si="9"/>
        <v>1.005023547880691</v>
      </c>
    </row>
    <row r="18" spans="1:32" ht="14.25" customHeight="1" x14ac:dyDescent="0.3">
      <c r="A18" s="128" t="s">
        <v>220</v>
      </c>
      <c r="B18" s="267" t="s">
        <v>815</v>
      </c>
      <c r="C18" s="115" t="s">
        <v>14</v>
      </c>
      <c r="D18" s="125">
        <v>1</v>
      </c>
      <c r="E18" s="197">
        <f t="shared" si="7"/>
        <v>25.125588697017275</v>
      </c>
      <c r="F18" s="299">
        <v>1</v>
      </c>
      <c r="G18" s="119">
        <f t="shared" si="0"/>
        <v>25.125588697017275</v>
      </c>
      <c r="H18" s="207">
        <f t="shared" si="1"/>
        <v>25.125588697017275</v>
      </c>
      <c r="I18" s="81">
        <f>VLOOKUP(B18,All_Ingredients!$A$1:$F$151,6,FALSE())</f>
        <v>1</v>
      </c>
      <c r="J18" s="119">
        <f>VLOOKUP(B18,All_Ingredients!$A$1:$J$151,10,FALSE())</f>
        <v>22.5</v>
      </c>
      <c r="K18" s="122">
        <f t="shared" si="8"/>
        <v>2.5125588697017275E-2</v>
      </c>
      <c r="L18" s="122">
        <f t="shared" si="9"/>
        <v>0.56532574568288863</v>
      </c>
    </row>
    <row r="19" spans="1:32" ht="14.25" customHeight="1" x14ac:dyDescent="0.3">
      <c r="A19" s="128" t="s">
        <v>97</v>
      </c>
      <c r="B19" s="267" t="s">
        <v>96</v>
      </c>
      <c r="C19" s="115" t="s">
        <v>14</v>
      </c>
      <c r="D19" s="125">
        <v>5</v>
      </c>
      <c r="E19" s="197">
        <f t="shared" si="7"/>
        <v>25.125588697017275</v>
      </c>
      <c r="F19" s="299">
        <v>0.75</v>
      </c>
      <c r="G19" s="119">
        <f t="shared" si="0"/>
        <v>125.62794348508638</v>
      </c>
      <c r="H19" s="207">
        <f t="shared" si="1"/>
        <v>94.22095761381479</v>
      </c>
      <c r="I19" s="81">
        <f>VLOOKUP(B19,All_Ingredients!$A$1:$F$151,6,FALSE())</f>
        <v>1</v>
      </c>
      <c r="J19" s="119">
        <f>VLOOKUP(B19,All_Ingredients!$A$1:$J$151,10,FALSE())</f>
        <v>0.74</v>
      </c>
      <c r="K19" s="122">
        <f t="shared" si="8"/>
        <v>9.4220957613814785E-2</v>
      </c>
      <c r="L19" s="122">
        <f t="shared" si="9"/>
        <v>6.9723508634222942E-2</v>
      </c>
    </row>
    <row r="20" spans="1:32" ht="14.25" customHeight="1" x14ac:dyDescent="0.3">
      <c r="A20" s="128" t="s">
        <v>158</v>
      </c>
      <c r="B20" s="267" t="s">
        <v>157</v>
      </c>
      <c r="C20" s="115" t="s">
        <v>14</v>
      </c>
      <c r="D20" s="125">
        <v>40</v>
      </c>
      <c r="E20" s="197">
        <f t="shared" si="7"/>
        <v>25.125588697017275</v>
      </c>
      <c r="F20" s="299">
        <v>1</v>
      </c>
      <c r="G20" s="119">
        <f t="shared" si="0"/>
        <v>1005.023547880691</v>
      </c>
      <c r="H20" s="207">
        <f t="shared" si="1"/>
        <v>1005.023547880691</v>
      </c>
      <c r="I20" s="81">
        <f>VLOOKUP(B20,All_Ingredients!$A$1:$F$151,6,FALSE())</f>
        <v>1</v>
      </c>
      <c r="J20" s="119">
        <f>VLOOKUP(B20,All_Ingredients!$A$1:$J$151,10,FALSE())</f>
        <v>30</v>
      </c>
      <c r="K20" s="122">
        <f t="shared" si="8"/>
        <v>1.005023547880691</v>
      </c>
      <c r="L20" s="122">
        <f t="shared" si="9"/>
        <v>30.15070643642073</v>
      </c>
    </row>
    <row r="21" spans="1:32" ht="14.25" customHeight="1" x14ac:dyDescent="0.3">
      <c r="A21" s="128" t="s">
        <v>196</v>
      </c>
      <c r="B21" s="22" t="s">
        <v>761</v>
      </c>
      <c r="C21" s="115" t="s">
        <v>14</v>
      </c>
      <c r="D21" s="125">
        <v>20</v>
      </c>
      <c r="E21" s="197">
        <f t="shared" si="7"/>
        <v>25.125588697017275</v>
      </c>
      <c r="F21" s="299">
        <v>1</v>
      </c>
      <c r="G21" s="119">
        <f t="shared" si="0"/>
        <v>502.51177394034551</v>
      </c>
      <c r="H21" s="207">
        <f t="shared" si="1"/>
        <v>502.51177394034551</v>
      </c>
      <c r="I21" s="81">
        <f>VLOOKUP(B21,All_Ingredients!$A$1:$F$151,6,FALSE())</f>
        <v>1</v>
      </c>
      <c r="J21" s="119">
        <f>VLOOKUP(B21,All_Ingredients!$A$1:$J$151,10,FALSE())</f>
        <v>8.1520833333333336</v>
      </c>
      <c r="K21" s="122">
        <f t="shared" si="8"/>
        <v>0.50251177394034552</v>
      </c>
      <c r="L21" s="122">
        <f t="shared" si="9"/>
        <v>4.0965178571428584</v>
      </c>
    </row>
    <row r="22" spans="1:32" ht="14.25" customHeight="1" x14ac:dyDescent="0.3">
      <c r="A22" s="128" t="s">
        <v>158</v>
      </c>
      <c r="B22" s="22" t="s">
        <v>168</v>
      </c>
      <c r="C22" s="115" t="s">
        <v>14</v>
      </c>
      <c r="D22" s="125">
        <v>100</v>
      </c>
      <c r="E22" s="197">
        <f t="shared" si="7"/>
        <v>25.125588697017275</v>
      </c>
      <c r="F22" s="299">
        <v>1</v>
      </c>
      <c r="G22" s="119">
        <f t="shared" si="0"/>
        <v>2512.5588697017274</v>
      </c>
      <c r="H22" s="207">
        <f t="shared" si="1"/>
        <v>2512.5588697017274</v>
      </c>
      <c r="I22" s="81">
        <f>VLOOKUP(B22,All_Ingredients!$A$1:$F$151,6,FALSE())</f>
        <v>1</v>
      </c>
      <c r="J22" s="119">
        <f>VLOOKUP(B22,All_Ingredients!$A$1:$J$151,10,FALSE())</f>
        <v>6.6959999999999997</v>
      </c>
      <c r="K22" s="122">
        <f t="shared" si="8"/>
        <v>2.5125588697017274</v>
      </c>
      <c r="L22" s="122">
        <f t="shared" si="9"/>
        <v>16.824094191522764</v>
      </c>
      <c r="M22" s="131"/>
      <c r="N22" s="131"/>
    </row>
    <row r="23" spans="1:32" ht="14.25" customHeight="1" x14ac:dyDescent="0.3">
      <c r="A23" s="255" t="s">
        <v>97</v>
      </c>
      <c r="B23" s="445" t="s">
        <v>122</v>
      </c>
      <c r="C23" s="571" t="s">
        <v>14</v>
      </c>
      <c r="D23" s="589">
        <v>5</v>
      </c>
      <c r="E23" s="421">
        <f t="shared" si="7"/>
        <v>25.125588697017275</v>
      </c>
      <c r="F23" s="590">
        <v>0.75</v>
      </c>
      <c r="G23" s="455">
        <f t="shared" si="0"/>
        <v>125.62794348508638</v>
      </c>
      <c r="H23" s="574">
        <f t="shared" si="1"/>
        <v>94.22095761381479</v>
      </c>
      <c r="I23" s="81">
        <f>VLOOKUP(B23,All_Ingredients!$A$1:$F$151,6,FALSE())</f>
        <v>1</v>
      </c>
      <c r="J23" s="119">
        <f>VLOOKUP(B23,All_Ingredients!$A$1:$J$151,10,FALSE())</f>
        <v>15</v>
      </c>
      <c r="K23" s="122">
        <f t="shared" si="8"/>
        <v>9.4220957613814785E-2</v>
      </c>
      <c r="L23" s="122">
        <f t="shared" si="9"/>
        <v>1.4133143642072217</v>
      </c>
      <c r="M23" s="131"/>
      <c r="N23" s="131"/>
      <c r="P23"/>
    </row>
    <row r="24" spans="1:32" ht="14.25" customHeight="1" x14ac:dyDescent="0.3">
      <c r="A24" s="575"/>
      <c r="B24" s="356"/>
      <c r="C24" s="576"/>
      <c r="D24" s="591"/>
      <c r="E24" s="592"/>
      <c r="F24" s="578"/>
      <c r="G24" s="472"/>
      <c r="H24" s="579"/>
      <c r="I24" s="422"/>
      <c r="J24" s="489"/>
      <c r="K24" s="422"/>
      <c r="L24" s="472"/>
      <c r="M24" s="131"/>
      <c r="N24" s="131"/>
      <c r="Z24" s="1234"/>
    </row>
    <row r="25" spans="1:32" ht="14.25" customHeight="1" x14ac:dyDescent="0.35">
      <c r="B25" s="349"/>
      <c r="C25" s="250"/>
      <c r="D25" s="212"/>
      <c r="E25" s="296"/>
      <c r="F25" s="535"/>
      <c r="G25" s="137"/>
      <c r="H25" s="536"/>
      <c r="I25" s="92"/>
      <c r="J25" s="139"/>
      <c r="K25" s="92"/>
      <c r="L25" s="137"/>
      <c r="M25" s="131"/>
      <c r="N25" s="131"/>
      <c r="R25" s="1411" t="s">
        <v>490</v>
      </c>
      <c r="S25" s="1388"/>
      <c r="T25" s="1388"/>
      <c r="U25" s="1388"/>
      <c r="V25" s="1151"/>
      <c r="Z25" s="141" t="s">
        <v>264</v>
      </c>
      <c r="AA25" s="142">
        <v>43650</v>
      </c>
      <c r="AB25" s="141" t="s">
        <v>261</v>
      </c>
      <c r="AC25" s="143">
        <f>(AA25*(4/3))*AF30+(AA30*(AB28/R1))</f>
        <v>1378.0983838388649</v>
      </c>
    </row>
    <row r="26" spans="1:32" ht="14.25" customHeight="1" x14ac:dyDescent="0.3">
      <c r="I26" s="92"/>
      <c r="J26" s="139"/>
      <c r="K26" s="92"/>
      <c r="L26" s="137"/>
      <c r="M26" s="131"/>
      <c r="N26" s="131"/>
      <c r="R26" s="1409" t="s">
        <v>265</v>
      </c>
      <c r="S26" s="1410"/>
      <c r="T26" s="1410"/>
      <c r="U26" s="1410"/>
      <c r="V26" s="1151"/>
    </row>
    <row r="27" spans="1:32" ht="14.25" customHeight="1" thickBot="1" x14ac:dyDescent="0.35">
      <c r="I27" s="92"/>
      <c r="J27" s="139"/>
      <c r="K27" s="92"/>
      <c r="L27" s="137"/>
      <c r="M27" s="131"/>
      <c r="N27" s="131"/>
      <c r="R27" s="145" t="s">
        <v>266</v>
      </c>
      <c r="S27" s="146" t="s">
        <v>267</v>
      </c>
      <c r="T27" s="146" t="s">
        <v>268</v>
      </c>
      <c r="U27" s="146" t="s">
        <v>269</v>
      </c>
      <c r="V27" s="146" t="s">
        <v>839</v>
      </c>
      <c r="W27" s="146" t="s">
        <v>848</v>
      </c>
      <c r="Z27" s="141" t="s">
        <v>270</v>
      </c>
      <c r="AA27" s="1185" t="s">
        <v>324</v>
      </c>
      <c r="AB27" s="147" t="s">
        <v>271</v>
      </c>
      <c r="AC27" s="147" t="s">
        <v>272</v>
      </c>
      <c r="AD27" s="147" t="s">
        <v>273</v>
      </c>
      <c r="AE27" s="1186" t="s">
        <v>848</v>
      </c>
      <c r="AF27" s="147" t="s">
        <v>274</v>
      </c>
    </row>
    <row r="28" spans="1:32" ht="14.25" customHeight="1" thickBot="1" x14ac:dyDescent="0.35">
      <c r="I28" s="92"/>
      <c r="J28" s="139"/>
      <c r="K28" s="92"/>
      <c r="L28" s="137"/>
      <c r="M28" s="131"/>
      <c r="N28" s="131"/>
      <c r="R28" s="148" t="s">
        <v>275</v>
      </c>
      <c r="S28" s="149">
        <f>U28*S40</f>
        <v>32807.692307692298</v>
      </c>
      <c r="T28" s="149">
        <f>U28*U40</f>
        <v>9842.3076923077024</v>
      </c>
      <c r="U28" s="150">
        <f>Z1</f>
        <v>42650</v>
      </c>
      <c r="V28" s="149">
        <f>SUM(AP6:AP12)</f>
        <v>4740.6062581486285</v>
      </c>
      <c r="W28" s="149">
        <f>SUM(H37:H38)</f>
        <v>310.3</v>
      </c>
      <c r="Z28" s="151"/>
      <c r="AA28" s="1188"/>
      <c r="AB28" s="152">
        <f>AA25*$S$40</f>
        <v>33576.923076923071</v>
      </c>
      <c r="AC28" s="152">
        <f>AA25*$U$40</f>
        <v>10073.076923076933</v>
      </c>
      <c r="AD28" s="153">
        <f>AA25*(1/3)</f>
        <v>14550</v>
      </c>
      <c r="AE28" s="1188"/>
      <c r="AF28" s="154">
        <f>SUM(AB28:AD28)</f>
        <v>58200</v>
      </c>
    </row>
    <row r="29" spans="1:32" ht="14.25" customHeight="1" thickBot="1" x14ac:dyDescent="0.35">
      <c r="B29" s="349"/>
      <c r="C29" s="250"/>
      <c r="D29" s="212"/>
      <c r="E29" s="296"/>
      <c r="F29" s="535"/>
      <c r="G29" s="137"/>
      <c r="H29" s="536"/>
      <c r="I29" s="92"/>
      <c r="J29" s="139"/>
      <c r="K29" s="92"/>
      <c r="L29" s="137"/>
      <c r="M29" s="131"/>
      <c r="N29" s="131"/>
      <c r="R29" s="148" t="s">
        <v>276</v>
      </c>
      <c r="S29" s="155"/>
      <c r="T29" s="1332">
        <f>U28*(1/3)</f>
        <v>14216.666666666666</v>
      </c>
      <c r="U29" s="149">
        <f>T29</f>
        <v>14216.666666666666</v>
      </c>
      <c r="V29" s="149"/>
      <c r="W29" s="149"/>
      <c r="Z29" s="151"/>
      <c r="AA29" s="1192"/>
      <c r="AB29" s="156">
        <f>AB28/$AF$28</f>
        <v>0.57692307692307687</v>
      </c>
      <c r="AC29" s="156">
        <f>AC28/$AF$28</f>
        <v>0.17307692307692324</v>
      </c>
      <c r="AD29" s="156">
        <f>AD28/$AF$28</f>
        <v>0.25</v>
      </c>
      <c r="AE29" s="1192"/>
      <c r="AF29" s="156">
        <f>AF28/$AF$28</f>
        <v>1</v>
      </c>
    </row>
    <row r="30" spans="1:32" ht="14.25" customHeight="1" thickBot="1" x14ac:dyDescent="0.35">
      <c r="I30" s="92"/>
      <c r="J30" s="139"/>
      <c r="K30" s="92"/>
      <c r="L30" s="137"/>
      <c r="M30" s="131"/>
      <c r="N30" s="131"/>
      <c r="R30" s="148" t="s">
        <v>277</v>
      </c>
      <c r="S30" s="1228">
        <f>U30*S40</f>
        <v>769.23076923076906</v>
      </c>
      <c r="T30" s="149">
        <f>(U30*U40)+(U30*(1/3))</f>
        <v>564.10256410256432</v>
      </c>
      <c r="U30" s="150">
        <f>AB1</f>
        <v>1000</v>
      </c>
      <c r="V30" s="1143"/>
      <c r="W30" s="1143"/>
      <c r="Z30" s="141" t="s">
        <v>278</v>
      </c>
      <c r="AA30" s="1196">
        <f>V35/(S32/R1)</f>
        <v>4.2639996272134204E-4</v>
      </c>
      <c r="AB30" s="157">
        <f>S35/(S32)</f>
        <v>3.3701221915648408E-2</v>
      </c>
      <c r="AC30" s="158">
        <f>T35/T32</f>
        <v>8.932498828091209E-3</v>
      </c>
      <c r="AD30" s="158">
        <f>T35/T32</f>
        <v>8.932498828091209E-3</v>
      </c>
      <c r="AE30" s="1199">
        <f>W35/U32</f>
        <v>3.9570509673602465E-5</v>
      </c>
      <c r="AF30" s="1201">
        <f>SUMPRODUCT(AB30:AD30,AB29:AD29)+AE30</f>
        <v>2.3261717272893962E-2</v>
      </c>
    </row>
    <row r="31" spans="1:32" ht="14.25" customHeight="1" thickBot="1" x14ac:dyDescent="0.35">
      <c r="I31" s="92"/>
      <c r="J31" s="139"/>
      <c r="K31" s="92"/>
      <c r="L31" s="137"/>
      <c r="M31" s="131"/>
      <c r="N31" s="131"/>
      <c r="R31" s="148" t="s">
        <v>279</v>
      </c>
      <c r="S31" s="155"/>
      <c r="T31" s="149"/>
      <c r="U31" s="149"/>
      <c r="V31" s="149"/>
      <c r="W31" s="149"/>
    </row>
    <row r="32" spans="1:32" ht="14.25" customHeight="1" thickBot="1" x14ac:dyDescent="0.35">
      <c r="I32" s="92"/>
      <c r="J32" s="139"/>
      <c r="K32" s="92"/>
      <c r="L32" s="137"/>
      <c r="M32" s="131"/>
      <c r="N32" s="131"/>
      <c r="R32" s="160" t="s">
        <v>269</v>
      </c>
      <c r="S32" s="149">
        <f>SUM(S28:S30)</f>
        <v>33576.923076923063</v>
      </c>
      <c r="T32" s="149">
        <f>SUM(T28:T30)</f>
        <v>24623.076923076929</v>
      </c>
      <c r="U32" s="149">
        <f>SUM(S32:T32)</f>
        <v>58199.999999999993</v>
      </c>
      <c r="V32" s="149"/>
      <c r="W32" s="149">
        <f>SUM(W28:W30)</f>
        <v>310.3</v>
      </c>
    </row>
    <row r="33" spans="2:23" ht="14.25" customHeight="1" thickBot="1" x14ac:dyDescent="0.35">
      <c r="I33" s="92"/>
      <c r="J33" s="139"/>
      <c r="K33" s="92"/>
      <c r="L33" s="137"/>
      <c r="M33" s="131"/>
      <c r="N33" s="131"/>
      <c r="S33" s="171"/>
      <c r="T33" s="171"/>
      <c r="U33" s="171"/>
      <c r="V33" s="155"/>
      <c r="W33" s="155"/>
    </row>
    <row r="34" spans="2:23" ht="14.25" customHeight="1" thickBot="1" x14ac:dyDescent="0.35">
      <c r="I34" s="92"/>
      <c r="J34" s="139"/>
      <c r="K34" s="92"/>
      <c r="L34" s="137"/>
      <c r="M34" s="131"/>
      <c r="N34" s="131"/>
      <c r="R34" s="162"/>
      <c r="S34" s="155"/>
      <c r="T34" s="149"/>
      <c r="U34" s="155"/>
      <c r="V34" s="155"/>
      <c r="W34" s="155"/>
    </row>
    <row r="35" spans="2:23" ht="14.25" customHeight="1" thickBot="1" x14ac:dyDescent="0.35">
      <c r="B35" s="1412" t="s">
        <v>727</v>
      </c>
      <c r="C35" s="1412"/>
      <c r="D35" s="1412"/>
      <c r="E35" s="1412"/>
      <c r="F35" s="1412"/>
      <c r="G35" s="889"/>
      <c r="H35" s="889"/>
      <c r="I35" s="889"/>
      <c r="J35" s="889"/>
      <c r="K35" s="889"/>
      <c r="L35" s="889"/>
      <c r="M35" s="131"/>
      <c r="N35" s="131"/>
      <c r="R35" s="163" t="s">
        <v>261</v>
      </c>
      <c r="S35" s="1144">
        <f>$L$5</f>
        <v>1131.5833358600403</v>
      </c>
      <c r="T35" s="1144">
        <f>SUM(L6:L23)</f>
        <v>219.94560575938436</v>
      </c>
      <c r="U35" s="1144">
        <f>S35+T35+V35+W35</f>
        <v>1378.0983838388645</v>
      </c>
      <c r="V35" s="1144">
        <f>SUM(AT6:AT12)</f>
        <v>24.26643855643621</v>
      </c>
      <c r="W35" s="149">
        <f>SUM(L37:L38)</f>
        <v>2.303003663003663</v>
      </c>
    </row>
    <row r="36" spans="2:23" ht="14.25" customHeight="1" x14ac:dyDescent="0.3">
      <c r="B36" s="860" t="s">
        <v>253</v>
      </c>
      <c r="C36" s="860" t="s">
        <v>329</v>
      </c>
      <c r="D36" s="862" t="s">
        <v>671</v>
      </c>
      <c r="E36" s="859" t="s">
        <v>672</v>
      </c>
      <c r="F36" s="862" t="s">
        <v>673</v>
      </c>
      <c r="G36" s="882"/>
      <c r="H36" s="862" t="s">
        <v>673</v>
      </c>
      <c r="I36" s="862" t="s">
        <v>258</v>
      </c>
      <c r="J36" s="862" t="s">
        <v>259</v>
      </c>
      <c r="K36" s="862" t="s">
        <v>260</v>
      </c>
      <c r="L36" s="862" t="s">
        <v>261</v>
      </c>
      <c r="M36" s="131"/>
      <c r="N36" s="131"/>
    </row>
    <row r="37" spans="2:23" ht="14.25" customHeight="1" x14ac:dyDescent="0.3">
      <c r="B37" s="855" t="s">
        <v>746</v>
      </c>
      <c r="C37" s="856" t="s">
        <v>14</v>
      </c>
      <c r="D37" s="857">
        <v>7.0000000000000007E-2</v>
      </c>
      <c r="E37" s="855">
        <f>$AD$1</f>
        <v>290</v>
      </c>
      <c r="F37" s="855">
        <f>D37*E37</f>
        <v>20.3</v>
      </c>
      <c r="G37" s="881"/>
      <c r="H37" s="855">
        <f>F37</f>
        <v>20.3</v>
      </c>
      <c r="I37" s="855">
        <f>VLOOKUP(B37,All_Ingredients!$A$1:$F$151,6,FALSE())</f>
        <v>0.65</v>
      </c>
      <c r="J37" s="855">
        <f>VLOOKUP(B37,All_Ingredients!$A$1:$J$151,10,FALSE())</f>
        <v>45</v>
      </c>
      <c r="K37" s="855">
        <f>(H37/I37)/1000</f>
        <v>3.1230769230769229E-2</v>
      </c>
      <c r="L37" s="855">
        <f>K37*J37</f>
        <v>1.4053846153846152</v>
      </c>
      <c r="M37" s="131"/>
      <c r="N37" s="131"/>
    </row>
    <row r="38" spans="2:23" ht="14.25" customHeight="1" x14ac:dyDescent="0.3">
      <c r="B38" s="855" t="s">
        <v>19</v>
      </c>
      <c r="C38" s="856" t="s">
        <v>14</v>
      </c>
      <c r="D38" s="857">
        <v>1</v>
      </c>
      <c r="E38" s="855">
        <f>$AD$1</f>
        <v>290</v>
      </c>
      <c r="F38" s="855">
        <f>D38*E38</f>
        <v>290</v>
      </c>
      <c r="G38" s="881"/>
      <c r="H38" s="855">
        <f>F38</f>
        <v>290</v>
      </c>
      <c r="I38" s="855">
        <f>VLOOKUP(B38,All_Ingredients!$A$1:$F$151,6,FALSE())</f>
        <v>0.84</v>
      </c>
      <c r="J38" s="855">
        <f>VLOOKUP(B38,All_Ingredients!$A$1:$J$151,10,FALSE())</f>
        <v>2.6</v>
      </c>
      <c r="K38" s="855">
        <f>(H38/I38)/1000</f>
        <v>0.34523809523809523</v>
      </c>
      <c r="L38" s="855">
        <f>K38*J38</f>
        <v>0.89761904761904765</v>
      </c>
      <c r="M38" s="131"/>
      <c r="N38" s="131"/>
    </row>
    <row r="39" spans="2:23" ht="14.25" customHeight="1" x14ac:dyDescent="0.3">
      <c r="B39" s="349"/>
      <c r="C39" s="250"/>
      <c r="D39" s="212"/>
      <c r="E39" s="296"/>
      <c r="F39" s="535"/>
      <c r="G39" s="137"/>
      <c r="H39" s="536"/>
      <c r="I39" s="92"/>
      <c r="J39" s="139"/>
      <c r="K39" s="92"/>
      <c r="L39" s="137"/>
      <c r="M39" s="131"/>
      <c r="N39" s="131"/>
    </row>
    <row r="40" spans="2:23" ht="15.75" customHeight="1" x14ac:dyDescent="0.3">
      <c r="B40" s="349"/>
      <c r="C40" s="250"/>
      <c r="D40" s="212"/>
      <c r="E40" s="296"/>
      <c r="F40" s="535"/>
      <c r="G40" s="137"/>
      <c r="H40" s="536"/>
      <c r="I40" s="92"/>
      <c r="J40" s="139"/>
      <c r="K40" s="92"/>
      <c r="L40" s="137"/>
      <c r="M40" s="131"/>
      <c r="N40" s="131"/>
      <c r="R40" s="165" t="s">
        <v>282</v>
      </c>
      <c r="S40" s="166">
        <v>0.76923076923076905</v>
      </c>
      <c r="T40" s="165" t="s">
        <v>283</v>
      </c>
      <c r="U40" s="167">
        <v>0.230769230769231</v>
      </c>
      <c r="V40" s="168">
        <f>S40+U40</f>
        <v>1</v>
      </c>
    </row>
    <row r="41" spans="2:23" ht="14.25" customHeight="1" x14ac:dyDescent="0.3">
      <c r="B41" s="349"/>
      <c r="C41" s="250"/>
      <c r="D41" s="212"/>
      <c r="E41" s="296"/>
      <c r="F41" s="535"/>
      <c r="G41" s="137"/>
      <c r="H41" s="536"/>
      <c r="I41" s="92"/>
      <c r="J41" s="139"/>
      <c r="K41" s="92"/>
      <c r="L41" s="137"/>
      <c r="M41" s="131"/>
      <c r="N41" s="131"/>
      <c r="U41" s="169"/>
    </row>
    <row r="42" spans="2:23" ht="14.25" customHeight="1" x14ac:dyDescent="0.3">
      <c r="B42" s="349"/>
      <c r="C42" s="250"/>
      <c r="D42" s="212"/>
      <c r="E42" s="296"/>
      <c r="F42" s="535"/>
      <c r="G42" s="137"/>
      <c r="H42" s="536"/>
      <c r="I42" s="92"/>
      <c r="J42" s="139"/>
      <c r="K42" s="92"/>
      <c r="L42" s="137"/>
      <c r="M42" s="131"/>
      <c r="N42" s="131"/>
    </row>
    <row r="43" spans="2:23" ht="14.25" customHeight="1" x14ac:dyDescent="0.3">
      <c r="B43" s="349"/>
      <c r="C43" s="250"/>
      <c r="D43" s="212"/>
      <c r="E43" s="296"/>
      <c r="F43" s="535"/>
      <c r="G43" s="137"/>
      <c r="H43" s="536"/>
      <c r="I43" s="92"/>
      <c r="J43" s="139"/>
      <c r="K43" s="92"/>
      <c r="L43" s="137"/>
      <c r="M43" s="131"/>
      <c r="N43" s="131"/>
      <c r="Q43" s="170" t="s">
        <v>284</v>
      </c>
      <c r="R43" s="170" t="s">
        <v>285</v>
      </c>
      <c r="S43" s="170" t="s">
        <v>286</v>
      </c>
      <c r="T43" s="170" t="s">
        <v>287</v>
      </c>
      <c r="U43" s="170" t="s">
        <v>288</v>
      </c>
      <c r="V43" s="170" t="s">
        <v>289</v>
      </c>
      <c r="W43" s="170" t="s">
        <v>290</v>
      </c>
    </row>
    <row r="44" spans="2:23" ht="14.25" customHeight="1" x14ac:dyDescent="0.3">
      <c r="B44" s="349"/>
      <c r="C44" s="250"/>
      <c r="D44" s="212"/>
      <c r="E44" s="296"/>
      <c r="F44" s="535"/>
      <c r="G44" s="137"/>
      <c r="H44" s="536"/>
      <c r="I44" s="92"/>
      <c r="J44" s="139"/>
      <c r="K44" s="92"/>
      <c r="L44" s="137"/>
      <c r="M44" s="131"/>
      <c r="N44" s="131"/>
      <c r="Q44" s="172">
        <v>18841</v>
      </c>
      <c r="R44" s="173">
        <f>D51</f>
        <v>10000</v>
      </c>
      <c r="S44" s="174">
        <v>0.43478260000000002</v>
      </c>
      <c r="T44" s="174">
        <v>0.56521739999999998</v>
      </c>
      <c r="U44" s="242">
        <f>R44*S44</f>
        <v>4347.826</v>
      </c>
      <c r="V44" s="176">
        <f>R44*T44</f>
        <v>5652.174</v>
      </c>
      <c r="W44" s="176">
        <f>Q44-U44</f>
        <v>14493.173999999999</v>
      </c>
    </row>
    <row r="45" spans="2:23" ht="14.25" customHeight="1" x14ac:dyDescent="0.3">
      <c r="B45" s="349"/>
      <c r="C45" s="250"/>
      <c r="D45" s="212"/>
      <c r="E45" s="296"/>
      <c r="F45" s="535"/>
      <c r="G45" s="137"/>
      <c r="H45" s="536"/>
      <c r="I45" s="92"/>
      <c r="J45" s="139"/>
      <c r="K45" s="92"/>
      <c r="L45" s="137"/>
      <c r="M45" s="131"/>
      <c r="N45" s="131"/>
    </row>
    <row r="46" spans="2:23" ht="14.25" customHeight="1" x14ac:dyDescent="0.3">
      <c r="B46" s="349"/>
      <c r="C46" s="250"/>
      <c r="D46" s="212"/>
      <c r="E46" s="296"/>
      <c r="F46" s="535"/>
      <c r="G46" s="137"/>
      <c r="H46" s="536"/>
      <c r="I46" s="92"/>
      <c r="J46" s="139"/>
      <c r="K46" s="92"/>
      <c r="L46" s="137"/>
      <c r="M46" s="131"/>
      <c r="N46" s="131"/>
    </row>
    <row r="47" spans="2:23" ht="14.25" customHeight="1" x14ac:dyDescent="0.3">
      <c r="B47" s="349"/>
      <c r="C47" s="250"/>
      <c r="D47" s="212"/>
      <c r="E47" s="296"/>
      <c r="F47" s="535"/>
      <c r="G47" s="137"/>
      <c r="H47" s="536"/>
      <c r="I47" s="92"/>
      <c r="J47" s="139"/>
      <c r="K47" s="92"/>
      <c r="L47" s="137"/>
      <c r="M47" s="131"/>
      <c r="N47" s="131"/>
    </row>
    <row r="48" spans="2:23" ht="14.25" customHeight="1" x14ac:dyDescent="0.3">
      <c r="B48" s="349"/>
      <c r="C48" s="250"/>
      <c r="D48" s="212"/>
      <c r="E48" s="296"/>
      <c r="F48" s="535"/>
      <c r="G48" s="137"/>
      <c r="H48" s="536"/>
      <c r="I48" s="92"/>
      <c r="J48" s="139"/>
      <c r="K48" s="92"/>
      <c r="L48" s="137"/>
      <c r="M48" s="131"/>
      <c r="N48" s="131"/>
    </row>
    <row r="49" spans="1:14" ht="14.25" customHeight="1" x14ac:dyDescent="0.3">
      <c r="B49" s="349"/>
      <c r="C49" s="250"/>
      <c r="D49" s="212"/>
      <c r="E49" s="296"/>
      <c r="F49" s="535"/>
      <c r="G49" s="137"/>
      <c r="H49" s="536"/>
      <c r="I49" s="92"/>
      <c r="J49" s="139"/>
      <c r="K49" s="92"/>
      <c r="L49" s="137"/>
      <c r="M49" s="131"/>
      <c r="N49" s="131"/>
    </row>
    <row r="50" spans="1:14" ht="14.25" customHeight="1" x14ac:dyDescent="0.3">
      <c r="B50" s="593"/>
      <c r="C50" s="178" t="s">
        <v>245</v>
      </c>
      <c r="D50" s="178" t="s">
        <v>291</v>
      </c>
      <c r="E50" s="100"/>
      <c r="F50" s="100"/>
      <c r="G50" s="178" t="s">
        <v>292</v>
      </c>
      <c r="H50" s="178" t="s">
        <v>245</v>
      </c>
      <c r="I50" s="178" t="s">
        <v>293</v>
      </c>
      <c r="J50" s="178" t="s">
        <v>294</v>
      </c>
      <c r="K50" s="92"/>
      <c r="L50" s="137"/>
      <c r="M50" s="131"/>
      <c r="N50" s="131"/>
    </row>
    <row r="51" spans="1:14" ht="14.25" customHeight="1" x14ac:dyDescent="0.3">
      <c r="B51" s="180" t="s">
        <v>295</v>
      </c>
      <c r="C51" s="181">
        <f>10/$K$1</f>
        <v>10.204081632653061</v>
      </c>
      <c r="D51" s="182">
        <f>$C$1*10</f>
        <v>10000</v>
      </c>
      <c r="E51" s="183"/>
      <c r="F51" s="100"/>
      <c r="G51" s="180" t="s">
        <v>295</v>
      </c>
      <c r="H51" s="277">
        <f>I51/$D$5</f>
        <v>10</v>
      </c>
      <c r="I51" s="181">
        <f>J51/$R$1</f>
        <v>24564.701694915253</v>
      </c>
      <c r="J51" s="181">
        <f>$W$44</f>
        <v>14493.173999999999</v>
      </c>
      <c r="K51" s="92"/>
      <c r="L51" s="137"/>
      <c r="M51" s="131"/>
      <c r="N51" s="131"/>
    </row>
    <row r="52" spans="1:14" ht="14.25" customHeight="1" x14ac:dyDescent="0.3">
      <c r="B52" s="231" t="s">
        <v>274</v>
      </c>
      <c r="C52" s="232">
        <f>$I$1</f>
        <v>25.125588697017275</v>
      </c>
      <c r="D52" s="233">
        <f>$E$1</f>
        <v>24623.076923076929</v>
      </c>
      <c r="E52" s="100"/>
      <c r="F52" s="100"/>
      <c r="G52" s="148" t="s">
        <v>274</v>
      </c>
      <c r="H52" s="210">
        <f>I52/$D$5</f>
        <v>23.167404929329535</v>
      </c>
      <c r="I52" s="176">
        <f>J52/$R$1</f>
        <v>56910.039113428924</v>
      </c>
      <c r="J52" s="184">
        <f>$S$32</f>
        <v>33576.923076923063</v>
      </c>
      <c r="K52" s="92"/>
      <c r="L52" s="137"/>
      <c r="M52" s="131"/>
      <c r="N52" s="131"/>
    </row>
    <row r="53" spans="1:14" ht="14.25" customHeight="1" x14ac:dyDescent="0.3">
      <c r="B53" s="231" t="s">
        <v>296</v>
      </c>
      <c r="C53" s="234">
        <f>MIN(C52, C51)</f>
        <v>10.204081632653061</v>
      </c>
      <c r="D53" s="233">
        <f>(C53*$K$1)*$C$1</f>
        <v>10000</v>
      </c>
      <c r="E53" s="100"/>
      <c r="F53" s="100"/>
      <c r="G53" s="148" t="s">
        <v>296</v>
      </c>
      <c r="H53" s="187">
        <f>MIN(H52,H51)</f>
        <v>10</v>
      </c>
      <c r="I53" s="176">
        <f>J53/$R$1</f>
        <v>24564.701694915253</v>
      </c>
      <c r="J53" s="176">
        <f>MIN(J52,J51)</f>
        <v>14493.173999999999</v>
      </c>
      <c r="L53" s="297"/>
    </row>
    <row r="54" spans="1:14" ht="14.25" customHeight="1" x14ac:dyDescent="0.3">
      <c r="B54" s="231" t="s">
        <v>297</v>
      </c>
      <c r="C54" s="234">
        <f>MIN(MAX(C52-C53,0),C51)</f>
        <v>10.204081632653061</v>
      </c>
      <c r="D54" s="233">
        <f>(C54*$K$1)*$C$1</f>
        <v>10000</v>
      </c>
      <c r="E54" s="100"/>
      <c r="F54" s="100"/>
      <c r="G54" s="148" t="s">
        <v>297</v>
      </c>
      <c r="H54" s="187">
        <f>MIN(MAX(H52-H53),H51)</f>
        <v>10</v>
      </c>
      <c r="I54" s="176">
        <f>J54/$R$1</f>
        <v>24564.701694915253</v>
      </c>
      <c r="J54" s="176">
        <f>MIN(MAX(J52-J53),J51)</f>
        <v>14493.173999999999</v>
      </c>
      <c r="L54" s="297"/>
    </row>
    <row r="55" spans="1:14" ht="14.25" customHeight="1" x14ac:dyDescent="0.3">
      <c r="B55" s="231" t="s">
        <v>298</v>
      </c>
      <c r="C55" s="234">
        <f>MIN(MAX(C52-C53-C54,0),C51)</f>
        <v>4.7174254317111526</v>
      </c>
      <c r="D55" s="233">
        <f>(C55*$K$1)*$C$1</f>
        <v>4623.0769230769301</v>
      </c>
      <c r="E55" s="100"/>
      <c r="F55" s="100"/>
      <c r="G55" s="145" t="s">
        <v>298</v>
      </c>
      <c r="H55" s="187">
        <f>MIN(MAX(H52-H53-H54),H51)</f>
        <v>3.1674049293295354</v>
      </c>
      <c r="I55" s="176">
        <f>J55/$R$1</f>
        <v>7780.635723598416</v>
      </c>
      <c r="J55" s="176">
        <f>MIN(MAX(J52-J53-J54),J51)</f>
        <v>4590.5750769230654</v>
      </c>
    </row>
    <row r="56" spans="1:14" ht="14.25" customHeight="1" x14ac:dyDescent="0.3"/>
    <row r="57" spans="1:14" ht="14.25" customHeight="1" x14ac:dyDescent="0.3"/>
    <row r="58" spans="1:14" ht="18" customHeight="1" x14ac:dyDescent="0.3"/>
    <row r="59" spans="1:14" ht="18" customHeight="1" x14ac:dyDescent="0.3">
      <c r="B59" s="594"/>
      <c r="C59" s="319"/>
      <c r="D59" s="389"/>
      <c r="E59" s="100"/>
      <c r="F59" s="100"/>
    </row>
    <row r="60" spans="1:14" ht="14.25" customHeight="1" x14ac:dyDescent="0.3">
      <c r="B60" s="594"/>
      <c r="C60" s="319"/>
      <c r="D60" s="389"/>
      <c r="E60" s="100"/>
      <c r="F60" s="100"/>
    </row>
    <row r="62" spans="1:14" ht="17.75" customHeight="1" x14ac:dyDescent="0.3">
      <c r="A62" s="937"/>
      <c r="B62" s="1382" t="str">
        <f>"دجاج بالزنجبيل   1 / " &amp; COUNTIF($C$53:$C$55, "&gt;0")</f>
        <v>دجاج بالزنجبيل   1 / 3</v>
      </c>
      <c r="C62" s="1383"/>
      <c r="D62" s="1383"/>
      <c r="E62" s="1383"/>
      <c r="F62" s="1383"/>
      <c r="G62" s="1383"/>
      <c r="H62" s="1383"/>
    </row>
    <row r="63" spans="1:14" ht="17.75" customHeight="1" x14ac:dyDescent="0.3">
      <c r="A63" s="937"/>
      <c r="B63" s="1384" t="str">
        <f>"Ginger Chicken  1 / " &amp; COUNTIF($C$53:$C$55, "&gt;0")</f>
        <v>Ginger Chicken  1 / 3</v>
      </c>
      <c r="C63" s="1385"/>
      <c r="D63" s="1385"/>
      <c r="E63" s="1385"/>
      <c r="F63" s="1385"/>
      <c r="G63" s="1385"/>
      <c r="H63" s="1385"/>
    </row>
    <row r="64" spans="1:14" ht="25.5" customHeight="1" x14ac:dyDescent="0.25">
      <c r="A64" s="595"/>
      <c r="B64" s="596" t="s">
        <v>253</v>
      </c>
      <c r="C64" s="244" t="s">
        <v>254</v>
      </c>
      <c r="D64" s="245" t="s">
        <v>243</v>
      </c>
      <c r="E64" s="218" t="s">
        <v>246</v>
      </c>
      <c r="F64" s="218" t="s">
        <v>255</v>
      </c>
      <c r="G64" s="245" t="s">
        <v>256</v>
      </c>
      <c r="H64" s="218" t="s">
        <v>257</v>
      </c>
    </row>
    <row r="65" spans="1:8" ht="14.25" customHeight="1" x14ac:dyDescent="0.3">
      <c r="A65" s="128" t="s">
        <v>230</v>
      </c>
      <c r="B65" s="267" t="str">
        <f t="shared" ref="B65:D83" si="14">B5</f>
        <v>Chicken - دجاج</v>
      </c>
      <c r="C65" s="272" t="str">
        <f t="shared" si="14"/>
        <v>gm</v>
      </c>
      <c r="D65" s="597">
        <f t="shared" si="14"/>
        <v>2456.4701694915252</v>
      </c>
      <c r="E65" s="433">
        <f>H53</f>
        <v>10</v>
      </c>
      <c r="F65" s="299">
        <f t="shared" ref="F65:F83" si="15">F5</f>
        <v>1</v>
      </c>
      <c r="G65" s="119">
        <f t="shared" ref="G65:G83" si="16">D65*E65</f>
        <v>24564.701694915253</v>
      </c>
      <c r="H65" s="207">
        <f t="shared" ref="H65:H83" si="17">G65*F65</f>
        <v>24564.701694915253</v>
      </c>
    </row>
    <row r="66" spans="1:8" ht="14.25" customHeight="1" x14ac:dyDescent="0.3">
      <c r="A66" s="128" t="s">
        <v>13</v>
      </c>
      <c r="B66" s="267" t="str">
        <f t="shared" si="14"/>
        <v>Onion - بصل</v>
      </c>
      <c r="C66" s="272" t="str">
        <f t="shared" si="14"/>
        <v>gm</v>
      </c>
      <c r="D66" s="272">
        <f t="shared" si="14"/>
        <v>150</v>
      </c>
      <c r="E66" s="433">
        <f t="shared" ref="E66:E83" si="18">$C$53</f>
        <v>10.204081632653061</v>
      </c>
      <c r="F66" s="299">
        <f t="shared" si="15"/>
        <v>0.95</v>
      </c>
      <c r="G66" s="119">
        <f t="shared" si="16"/>
        <v>1530.612244897959</v>
      </c>
      <c r="H66" s="207">
        <f t="shared" si="17"/>
        <v>1454.081632653061</v>
      </c>
    </row>
    <row r="67" spans="1:8" ht="14.25" customHeight="1" x14ac:dyDescent="0.3">
      <c r="A67" s="128" t="s">
        <v>13</v>
      </c>
      <c r="B67" s="267" t="str">
        <f t="shared" si="14"/>
        <v>Tomato - طماطم</v>
      </c>
      <c r="C67" s="272" t="str">
        <f t="shared" si="14"/>
        <v>gm</v>
      </c>
      <c r="D67" s="272">
        <f t="shared" si="14"/>
        <v>450</v>
      </c>
      <c r="E67" s="433">
        <f t="shared" si="18"/>
        <v>10.204081632653061</v>
      </c>
      <c r="F67" s="299">
        <f t="shared" si="15"/>
        <v>1</v>
      </c>
      <c r="G67" s="119">
        <f t="shared" si="16"/>
        <v>4591.8367346938776</v>
      </c>
      <c r="H67" s="207">
        <f t="shared" si="17"/>
        <v>4591.8367346938776</v>
      </c>
    </row>
    <row r="68" spans="1:8" ht="14.25" customHeight="1" x14ac:dyDescent="0.3">
      <c r="A68" s="128" t="s">
        <v>57</v>
      </c>
      <c r="B68" s="267" t="str">
        <f t="shared" si="14"/>
        <v>Ginger - زنجبيل</v>
      </c>
      <c r="C68" s="272" t="str">
        <f t="shared" si="14"/>
        <v>gm</v>
      </c>
      <c r="D68" s="272">
        <f t="shared" si="14"/>
        <v>25</v>
      </c>
      <c r="E68" s="433">
        <f t="shared" si="18"/>
        <v>10.204081632653061</v>
      </c>
      <c r="F68" s="299">
        <f t="shared" si="15"/>
        <v>0.9</v>
      </c>
      <c r="G68" s="119">
        <f t="shared" si="16"/>
        <v>255.10204081632654</v>
      </c>
      <c r="H68" s="207">
        <f t="shared" si="17"/>
        <v>229.59183673469389</v>
      </c>
    </row>
    <row r="69" spans="1:8" ht="14.25" customHeight="1" x14ac:dyDescent="0.3">
      <c r="A69" s="128" t="s">
        <v>13</v>
      </c>
      <c r="B69" s="267" t="str">
        <f t="shared" si="14"/>
        <v>Garlic - ثوم مقشر</v>
      </c>
      <c r="C69" s="272" t="str">
        <f t="shared" si="14"/>
        <v>gm</v>
      </c>
      <c r="D69" s="272">
        <f t="shared" si="14"/>
        <v>25</v>
      </c>
      <c r="E69" s="433">
        <f t="shared" si="18"/>
        <v>10.204081632653061</v>
      </c>
      <c r="F69" s="299">
        <f t="shared" si="15"/>
        <v>0.9</v>
      </c>
      <c r="G69" s="119">
        <f t="shared" si="16"/>
        <v>255.10204081632654</v>
      </c>
      <c r="H69" s="207">
        <f t="shared" si="17"/>
        <v>229.59183673469389</v>
      </c>
    </row>
    <row r="70" spans="1:8" ht="14.25" customHeight="1" x14ac:dyDescent="0.3">
      <c r="A70" s="128" t="s">
        <v>13</v>
      </c>
      <c r="B70" s="267" t="str">
        <f t="shared" si="14"/>
        <v>Green Chilli Pepper - فلفل أخضر حار</v>
      </c>
      <c r="C70" s="272" t="str">
        <f t="shared" si="14"/>
        <v>gm</v>
      </c>
      <c r="D70" s="272">
        <f t="shared" si="14"/>
        <v>5</v>
      </c>
      <c r="E70" s="433">
        <f t="shared" si="18"/>
        <v>10.204081632653061</v>
      </c>
      <c r="F70" s="299">
        <f t="shared" si="15"/>
        <v>0.75</v>
      </c>
      <c r="G70" s="119">
        <f t="shared" si="16"/>
        <v>51.020408163265301</v>
      </c>
      <c r="H70" s="207">
        <f t="shared" si="17"/>
        <v>38.265306122448976</v>
      </c>
    </row>
    <row r="71" spans="1:8" ht="14.25" customHeight="1" x14ac:dyDescent="0.3">
      <c r="A71" s="128" t="s">
        <v>97</v>
      </c>
      <c r="B71" s="267" t="str">
        <f t="shared" si="14"/>
        <v>Cumin Powder - كمون مطحون</v>
      </c>
      <c r="C71" s="272" t="str">
        <f t="shared" si="14"/>
        <v>gm</v>
      </c>
      <c r="D71" s="272">
        <f t="shared" si="14"/>
        <v>5</v>
      </c>
      <c r="E71" s="433">
        <f t="shared" si="18"/>
        <v>10.204081632653061</v>
      </c>
      <c r="F71" s="299">
        <f t="shared" si="15"/>
        <v>1</v>
      </c>
      <c r="G71" s="119">
        <f t="shared" si="16"/>
        <v>51.020408163265301</v>
      </c>
      <c r="H71" s="207">
        <f t="shared" si="17"/>
        <v>51.020408163265301</v>
      </c>
    </row>
    <row r="72" spans="1:8" ht="14.25" customHeight="1" x14ac:dyDescent="0.3">
      <c r="A72" s="128" t="s">
        <v>97</v>
      </c>
      <c r="B72" s="267" t="str">
        <f t="shared" si="14"/>
        <v>Red Chilli Powder - شطة حمراء مطحونة</v>
      </c>
      <c r="C72" s="272" t="str">
        <f t="shared" si="14"/>
        <v>gm</v>
      </c>
      <c r="D72" s="272">
        <f t="shared" si="14"/>
        <v>3</v>
      </c>
      <c r="E72" s="433">
        <f t="shared" si="18"/>
        <v>10.204081632653061</v>
      </c>
      <c r="F72" s="299">
        <f t="shared" si="15"/>
        <v>0.75</v>
      </c>
      <c r="G72" s="119">
        <f t="shared" si="16"/>
        <v>30.612244897959183</v>
      </c>
      <c r="H72" s="207">
        <f t="shared" si="17"/>
        <v>22.959183673469386</v>
      </c>
    </row>
    <row r="73" spans="1:8" ht="14.25" customHeight="1" x14ac:dyDescent="0.3">
      <c r="A73" s="128" t="s">
        <v>97</v>
      </c>
      <c r="B73" s="267" t="str">
        <f t="shared" si="14"/>
        <v>Maggi Cubes - مكعبات ماجي</v>
      </c>
      <c r="C73" s="272" t="str">
        <f t="shared" si="14"/>
        <v>gm</v>
      </c>
      <c r="D73" s="272">
        <f t="shared" si="14"/>
        <v>7</v>
      </c>
      <c r="E73" s="433">
        <f t="shared" si="18"/>
        <v>10.204081632653061</v>
      </c>
      <c r="F73" s="299">
        <f t="shared" si="15"/>
        <v>0.75</v>
      </c>
      <c r="G73" s="119">
        <f t="shared" si="16"/>
        <v>71.428571428571431</v>
      </c>
      <c r="H73" s="207">
        <f t="shared" si="17"/>
        <v>53.571428571428569</v>
      </c>
    </row>
    <row r="74" spans="1:8" ht="14.25" customHeight="1" x14ac:dyDescent="0.3">
      <c r="A74" s="128" t="s">
        <v>97</v>
      </c>
      <c r="B74" s="267" t="str">
        <f t="shared" si="14"/>
        <v>Kasuri Methi - ورق حلبة مجففة</v>
      </c>
      <c r="C74" s="272" t="str">
        <f t="shared" si="14"/>
        <v>gm</v>
      </c>
      <c r="D74" s="272">
        <f t="shared" si="14"/>
        <v>1</v>
      </c>
      <c r="E74" s="433">
        <f t="shared" si="18"/>
        <v>10.204081632653061</v>
      </c>
      <c r="F74" s="299">
        <f t="shared" si="15"/>
        <v>0.75</v>
      </c>
      <c r="G74" s="119">
        <f t="shared" si="16"/>
        <v>10.204081632653061</v>
      </c>
      <c r="H74" s="207">
        <f t="shared" si="17"/>
        <v>7.6530612244897958</v>
      </c>
    </row>
    <row r="75" spans="1:8" ht="14.25" customHeight="1" x14ac:dyDescent="0.3">
      <c r="A75" s="128" t="s">
        <v>158</v>
      </c>
      <c r="B75" s="267" t="str">
        <f t="shared" si="14"/>
        <v>Cooking Cream - كريمة طبخ</v>
      </c>
      <c r="C75" s="272" t="str">
        <f t="shared" si="14"/>
        <v>ml</v>
      </c>
      <c r="D75" s="272">
        <f t="shared" si="14"/>
        <v>300</v>
      </c>
      <c r="E75" s="433">
        <f t="shared" si="18"/>
        <v>10.204081632653061</v>
      </c>
      <c r="F75" s="299">
        <f t="shared" si="15"/>
        <v>1</v>
      </c>
      <c r="G75" s="119">
        <f t="shared" si="16"/>
        <v>3061.2244897959181</v>
      </c>
      <c r="H75" s="207">
        <f t="shared" si="17"/>
        <v>3061.2244897959181</v>
      </c>
    </row>
    <row r="76" spans="1:8" ht="14.25" customHeight="1" x14ac:dyDescent="0.3">
      <c r="A76" s="128" t="s">
        <v>210</v>
      </c>
      <c r="B76" s="267" t="str">
        <f t="shared" si="14"/>
        <v>Water - ماء</v>
      </c>
      <c r="C76" s="272" t="str">
        <f t="shared" si="14"/>
        <v>gm</v>
      </c>
      <c r="D76" s="272">
        <f t="shared" si="14"/>
        <v>100</v>
      </c>
      <c r="E76" s="433">
        <f t="shared" si="18"/>
        <v>10.204081632653061</v>
      </c>
      <c r="F76" s="299">
        <f t="shared" si="15"/>
        <v>1</v>
      </c>
      <c r="G76" s="119">
        <f t="shared" si="16"/>
        <v>1020.4081632653061</v>
      </c>
      <c r="H76" s="207">
        <f t="shared" si="17"/>
        <v>1020.4081632653061</v>
      </c>
    </row>
    <row r="77" spans="1:8" ht="14.25" customHeight="1" x14ac:dyDescent="0.3">
      <c r="A77" s="128" t="s">
        <v>97</v>
      </c>
      <c r="B77" s="267" t="str">
        <f t="shared" si="14"/>
        <v>Coriander Powder - كزبرة مطحونة</v>
      </c>
      <c r="C77" s="272" t="str">
        <f t="shared" si="14"/>
        <v>gm</v>
      </c>
      <c r="D77" s="272">
        <f t="shared" si="14"/>
        <v>5</v>
      </c>
      <c r="E77" s="433">
        <f t="shared" si="18"/>
        <v>10.204081632653061</v>
      </c>
      <c r="F77" s="299">
        <f t="shared" si="15"/>
        <v>1</v>
      </c>
      <c r="G77" s="119">
        <f t="shared" si="16"/>
        <v>51.020408163265301</v>
      </c>
      <c r="H77" s="207">
        <f t="shared" si="17"/>
        <v>51.020408163265301</v>
      </c>
    </row>
    <row r="78" spans="1:8" ht="14.25" customHeight="1" x14ac:dyDescent="0.3">
      <c r="A78" s="128" t="s">
        <v>220</v>
      </c>
      <c r="B78" s="267" t="str">
        <f t="shared" si="14"/>
        <v>لون صفار زعفران بودر - Saffron yellow color powder</v>
      </c>
      <c r="C78" s="272" t="str">
        <f t="shared" si="14"/>
        <v>gm</v>
      </c>
      <c r="D78" s="272">
        <f t="shared" si="14"/>
        <v>1</v>
      </c>
      <c r="E78" s="433">
        <f t="shared" si="18"/>
        <v>10.204081632653061</v>
      </c>
      <c r="F78" s="299">
        <f t="shared" si="15"/>
        <v>1</v>
      </c>
      <c r="G78" s="119">
        <f t="shared" si="16"/>
        <v>10.204081632653061</v>
      </c>
      <c r="H78" s="207">
        <f t="shared" si="17"/>
        <v>10.204081632653061</v>
      </c>
    </row>
    <row r="79" spans="1:8" ht="14.25" customHeight="1" x14ac:dyDescent="0.3">
      <c r="A79" s="128" t="s">
        <v>97</v>
      </c>
      <c r="B79" s="267" t="str">
        <f t="shared" si="14"/>
        <v>Salt - ملح</v>
      </c>
      <c r="C79" s="272" t="str">
        <f t="shared" si="14"/>
        <v>gm</v>
      </c>
      <c r="D79" s="272">
        <f t="shared" si="14"/>
        <v>5</v>
      </c>
      <c r="E79" s="433">
        <f t="shared" si="18"/>
        <v>10.204081632653061</v>
      </c>
      <c r="F79" s="299">
        <f t="shared" si="15"/>
        <v>0.75</v>
      </c>
      <c r="G79" s="119">
        <f t="shared" si="16"/>
        <v>51.020408163265301</v>
      </c>
      <c r="H79" s="207">
        <f t="shared" si="17"/>
        <v>38.265306122448976</v>
      </c>
    </row>
    <row r="80" spans="1:8" ht="14.25" customHeight="1" x14ac:dyDescent="0.3">
      <c r="A80" s="128" t="s">
        <v>158</v>
      </c>
      <c r="B80" s="267" t="str">
        <f t="shared" si="14"/>
        <v>Butter - زبدة</v>
      </c>
      <c r="C80" s="272" t="str">
        <f t="shared" si="14"/>
        <v>gm</v>
      </c>
      <c r="D80" s="272">
        <f t="shared" si="14"/>
        <v>40</v>
      </c>
      <c r="E80" s="433">
        <f t="shared" si="18"/>
        <v>10.204081632653061</v>
      </c>
      <c r="F80" s="299">
        <f t="shared" si="15"/>
        <v>1</v>
      </c>
      <c r="G80" s="119">
        <f t="shared" si="16"/>
        <v>408.16326530612241</v>
      </c>
      <c r="H80" s="207">
        <f t="shared" si="17"/>
        <v>408.16326530612241</v>
      </c>
    </row>
    <row r="81" spans="1:8" ht="14.25" customHeight="1" x14ac:dyDescent="0.3">
      <c r="A81" s="128" t="s">
        <v>196</v>
      </c>
      <c r="B81" s="267" t="str">
        <f t="shared" si="14"/>
        <v>Tomato Paste - صلصة طماطم</v>
      </c>
      <c r="C81" s="272" t="str">
        <f t="shared" si="14"/>
        <v>gm</v>
      </c>
      <c r="D81" s="272">
        <f t="shared" si="14"/>
        <v>20</v>
      </c>
      <c r="E81" s="433">
        <f t="shared" si="18"/>
        <v>10.204081632653061</v>
      </c>
      <c r="F81" s="299">
        <f t="shared" si="15"/>
        <v>1</v>
      </c>
      <c r="G81" s="119">
        <f t="shared" si="16"/>
        <v>204.08163265306121</v>
      </c>
      <c r="H81" s="207">
        <f t="shared" si="17"/>
        <v>204.08163265306121</v>
      </c>
    </row>
    <row r="82" spans="1:8" ht="14.25" customHeight="1" x14ac:dyDescent="0.3">
      <c r="A82" s="128" t="s">
        <v>158</v>
      </c>
      <c r="B82" s="267" t="str">
        <f t="shared" si="14"/>
        <v>Yogurt - زبادي</v>
      </c>
      <c r="C82" s="272" t="str">
        <f t="shared" si="14"/>
        <v>gm</v>
      </c>
      <c r="D82" s="272">
        <f t="shared" si="14"/>
        <v>100</v>
      </c>
      <c r="E82" s="433">
        <f t="shared" si="18"/>
        <v>10.204081632653061</v>
      </c>
      <c r="F82" s="299">
        <f t="shared" si="15"/>
        <v>1</v>
      </c>
      <c r="G82" s="119">
        <f t="shared" si="16"/>
        <v>1020.4081632653061</v>
      </c>
      <c r="H82" s="207">
        <f t="shared" si="17"/>
        <v>1020.4081632653061</v>
      </c>
    </row>
    <row r="83" spans="1:8" ht="14.25" customHeight="1" x14ac:dyDescent="0.3">
      <c r="A83" s="128" t="s">
        <v>97</v>
      </c>
      <c r="B83" s="267" t="str">
        <f t="shared" si="14"/>
        <v>Turmeric - كركم</v>
      </c>
      <c r="C83" s="272" t="str">
        <f t="shared" si="14"/>
        <v>gm</v>
      </c>
      <c r="D83" s="272">
        <f t="shared" si="14"/>
        <v>5</v>
      </c>
      <c r="E83" s="433">
        <f t="shared" si="18"/>
        <v>10.204081632653061</v>
      </c>
      <c r="F83" s="299">
        <f t="shared" si="15"/>
        <v>0.75</v>
      </c>
      <c r="G83" s="119">
        <f t="shared" si="16"/>
        <v>51.020408163265301</v>
      </c>
      <c r="H83" s="207">
        <f t="shared" si="17"/>
        <v>38.265306122448976</v>
      </c>
    </row>
    <row r="84" spans="1:8" ht="20.25" customHeight="1" x14ac:dyDescent="0.3">
      <c r="A84" s="211"/>
      <c r="B84" s="198" t="s">
        <v>299</v>
      </c>
      <c r="C84" s="200" t="s">
        <v>285</v>
      </c>
      <c r="E84" s="200" t="s">
        <v>300</v>
      </c>
      <c r="G84" s="890" t="s">
        <v>276</v>
      </c>
      <c r="H84" s="890" t="s">
        <v>733</v>
      </c>
    </row>
    <row r="85" spans="1:8" ht="20.25" customHeight="1" x14ac:dyDescent="0.4">
      <c r="A85" s="211"/>
      <c r="B85" s="199">
        <f>$J$53</f>
        <v>14493.173999999999</v>
      </c>
      <c r="C85" s="199">
        <f>E85+G85</f>
        <v>10000</v>
      </c>
      <c r="D85" s="930"/>
      <c r="E85" s="199">
        <f>$D$53*$S$44</f>
        <v>4347.826</v>
      </c>
      <c r="F85" s="934"/>
      <c r="G85" s="199">
        <f>$D$53*$T$44</f>
        <v>5652.174</v>
      </c>
      <c r="H85" s="199">
        <f>B85+E85</f>
        <v>18841</v>
      </c>
    </row>
    <row r="86" spans="1:8" ht="14.25" customHeight="1" x14ac:dyDescent="0.3">
      <c r="B86" s="100"/>
      <c r="C86" s="208"/>
      <c r="D86" s="209"/>
      <c r="E86" s="100"/>
      <c r="F86" s="100"/>
    </row>
    <row r="87" spans="1:8" ht="17.75" customHeight="1" x14ac:dyDescent="0.3">
      <c r="A87" s="937"/>
      <c r="B87" s="1382" t="str">
        <f>"دجاج بالزنجبيل   2 / " &amp; COUNTIF($C$53:$C$55, "&gt;0")</f>
        <v>دجاج بالزنجبيل   2 / 3</v>
      </c>
      <c r="C87" s="1383"/>
      <c r="D87" s="1383"/>
      <c r="E87" s="1383"/>
      <c r="F87" s="1383"/>
      <c r="G87" s="1383"/>
      <c r="H87" s="1383"/>
    </row>
    <row r="88" spans="1:8" ht="17.75" customHeight="1" x14ac:dyDescent="0.3">
      <c r="A88" s="937"/>
      <c r="B88" s="1384" t="str">
        <f>"Ginger Chicken  2 / " &amp; COUNTIF($C$53:$C$55, "&gt;0")</f>
        <v>Ginger Chicken  2 / 3</v>
      </c>
      <c r="C88" s="1385"/>
      <c r="D88" s="1385"/>
      <c r="E88" s="1385"/>
      <c r="F88" s="1385"/>
      <c r="G88" s="1385"/>
      <c r="H88" s="1385"/>
    </row>
    <row r="89" spans="1:8" ht="41" customHeight="1" x14ac:dyDescent="0.25">
      <c r="A89" s="595"/>
      <c r="B89" s="596" t="s">
        <v>253</v>
      </c>
      <c r="C89" s="244" t="s">
        <v>254</v>
      </c>
      <c r="D89" s="245" t="s">
        <v>243</v>
      </c>
      <c r="E89" s="218" t="s">
        <v>246</v>
      </c>
      <c r="F89" s="218" t="s">
        <v>255</v>
      </c>
      <c r="G89" s="245" t="s">
        <v>256</v>
      </c>
      <c r="H89" s="218" t="s">
        <v>257</v>
      </c>
    </row>
    <row r="90" spans="1:8" ht="14.25" customHeight="1" x14ac:dyDescent="0.3">
      <c r="A90" s="128" t="s">
        <v>230</v>
      </c>
      <c r="B90" s="272" t="str">
        <f t="shared" ref="B90:D108" si="19">B5</f>
        <v>Chicken - دجاج</v>
      </c>
      <c r="C90" s="272" t="str">
        <f t="shared" si="19"/>
        <v>gm</v>
      </c>
      <c r="D90" s="597">
        <f t="shared" si="19"/>
        <v>2456.4701694915252</v>
      </c>
      <c r="E90" s="197">
        <f>H54</f>
        <v>10</v>
      </c>
      <c r="F90" s="299">
        <f t="shared" ref="F90:F108" si="20">F5</f>
        <v>1</v>
      </c>
      <c r="G90" s="119">
        <f t="shared" ref="G90:G108" si="21">D90*E90</f>
        <v>24564.701694915253</v>
      </c>
      <c r="H90" s="207">
        <f t="shared" ref="H90:H108" si="22">G90*F90</f>
        <v>24564.701694915253</v>
      </c>
    </row>
    <row r="91" spans="1:8" ht="14.25" customHeight="1" x14ac:dyDescent="0.3">
      <c r="A91" s="128" t="s">
        <v>13</v>
      </c>
      <c r="B91" s="272" t="str">
        <f t="shared" si="19"/>
        <v>Onion - بصل</v>
      </c>
      <c r="C91" s="272" t="str">
        <f t="shared" si="19"/>
        <v>gm</v>
      </c>
      <c r="D91" s="272">
        <f t="shared" si="19"/>
        <v>150</v>
      </c>
      <c r="E91" s="197">
        <f t="shared" ref="E91:E108" si="23">$C$54</f>
        <v>10.204081632653061</v>
      </c>
      <c r="F91" s="299">
        <f t="shared" si="20"/>
        <v>0.95</v>
      </c>
      <c r="G91" s="119">
        <f t="shared" si="21"/>
        <v>1530.612244897959</v>
      </c>
      <c r="H91" s="207">
        <f t="shared" si="22"/>
        <v>1454.081632653061</v>
      </c>
    </row>
    <row r="92" spans="1:8" ht="14.25" customHeight="1" x14ac:dyDescent="0.3">
      <c r="A92" s="128" t="s">
        <v>13</v>
      </c>
      <c r="B92" s="272" t="str">
        <f t="shared" si="19"/>
        <v>Tomato - طماطم</v>
      </c>
      <c r="C92" s="272" t="str">
        <f t="shared" si="19"/>
        <v>gm</v>
      </c>
      <c r="D92" s="272">
        <f t="shared" si="19"/>
        <v>450</v>
      </c>
      <c r="E92" s="197">
        <f t="shared" si="23"/>
        <v>10.204081632653061</v>
      </c>
      <c r="F92" s="299">
        <f t="shared" si="20"/>
        <v>1</v>
      </c>
      <c r="G92" s="119">
        <f t="shared" si="21"/>
        <v>4591.8367346938776</v>
      </c>
      <c r="H92" s="207">
        <f t="shared" si="22"/>
        <v>4591.8367346938776</v>
      </c>
    </row>
    <row r="93" spans="1:8" ht="14.25" customHeight="1" x14ac:dyDescent="0.3">
      <c r="A93" s="128" t="s">
        <v>57</v>
      </c>
      <c r="B93" s="272" t="str">
        <f t="shared" si="19"/>
        <v>Ginger - زنجبيل</v>
      </c>
      <c r="C93" s="272" t="str">
        <f t="shared" si="19"/>
        <v>gm</v>
      </c>
      <c r="D93" s="272">
        <f t="shared" si="19"/>
        <v>25</v>
      </c>
      <c r="E93" s="197">
        <f t="shared" si="23"/>
        <v>10.204081632653061</v>
      </c>
      <c r="F93" s="299">
        <f t="shared" si="20"/>
        <v>0.9</v>
      </c>
      <c r="G93" s="119">
        <f t="shared" si="21"/>
        <v>255.10204081632654</v>
      </c>
      <c r="H93" s="207">
        <f t="shared" si="22"/>
        <v>229.59183673469389</v>
      </c>
    </row>
    <row r="94" spans="1:8" ht="14.25" customHeight="1" x14ac:dyDescent="0.3">
      <c r="A94" s="128" t="s">
        <v>13</v>
      </c>
      <c r="B94" s="272" t="str">
        <f t="shared" si="19"/>
        <v>Garlic - ثوم مقشر</v>
      </c>
      <c r="C94" s="272" t="str">
        <f t="shared" si="19"/>
        <v>gm</v>
      </c>
      <c r="D94" s="272">
        <f t="shared" si="19"/>
        <v>25</v>
      </c>
      <c r="E94" s="197">
        <f t="shared" si="23"/>
        <v>10.204081632653061</v>
      </c>
      <c r="F94" s="299">
        <f t="shared" si="20"/>
        <v>0.9</v>
      </c>
      <c r="G94" s="119">
        <f t="shared" si="21"/>
        <v>255.10204081632654</v>
      </c>
      <c r="H94" s="207">
        <f t="shared" si="22"/>
        <v>229.59183673469389</v>
      </c>
    </row>
    <row r="95" spans="1:8" ht="14.25" customHeight="1" x14ac:dyDescent="0.3">
      <c r="A95" s="128" t="s">
        <v>13</v>
      </c>
      <c r="B95" s="272" t="str">
        <f t="shared" si="19"/>
        <v>Green Chilli Pepper - فلفل أخضر حار</v>
      </c>
      <c r="C95" s="272" t="str">
        <f t="shared" si="19"/>
        <v>gm</v>
      </c>
      <c r="D95" s="272">
        <f t="shared" si="19"/>
        <v>5</v>
      </c>
      <c r="E95" s="197">
        <f t="shared" si="23"/>
        <v>10.204081632653061</v>
      </c>
      <c r="F95" s="299">
        <f t="shared" si="20"/>
        <v>0.75</v>
      </c>
      <c r="G95" s="119">
        <f t="shared" si="21"/>
        <v>51.020408163265301</v>
      </c>
      <c r="H95" s="207">
        <f t="shared" si="22"/>
        <v>38.265306122448976</v>
      </c>
    </row>
    <row r="96" spans="1:8" ht="14.25" customHeight="1" x14ac:dyDescent="0.3">
      <c r="A96" s="128" t="s">
        <v>97</v>
      </c>
      <c r="B96" s="272" t="str">
        <f t="shared" si="19"/>
        <v>Cumin Powder - كمون مطحون</v>
      </c>
      <c r="C96" s="272" t="str">
        <f t="shared" si="19"/>
        <v>gm</v>
      </c>
      <c r="D96" s="272">
        <f t="shared" si="19"/>
        <v>5</v>
      </c>
      <c r="E96" s="197">
        <f t="shared" si="23"/>
        <v>10.204081632653061</v>
      </c>
      <c r="F96" s="299">
        <f t="shared" si="20"/>
        <v>1</v>
      </c>
      <c r="G96" s="119">
        <f t="shared" si="21"/>
        <v>51.020408163265301</v>
      </c>
      <c r="H96" s="207">
        <f t="shared" si="22"/>
        <v>51.020408163265301</v>
      </c>
    </row>
    <row r="97" spans="1:8" ht="14.25" customHeight="1" x14ac:dyDescent="0.3">
      <c r="A97" s="128" t="s">
        <v>97</v>
      </c>
      <c r="B97" s="272" t="str">
        <f t="shared" si="19"/>
        <v>Red Chilli Powder - شطة حمراء مطحونة</v>
      </c>
      <c r="C97" s="272" t="str">
        <f t="shared" si="19"/>
        <v>gm</v>
      </c>
      <c r="D97" s="272">
        <f t="shared" si="19"/>
        <v>3</v>
      </c>
      <c r="E97" s="197">
        <f t="shared" si="23"/>
        <v>10.204081632653061</v>
      </c>
      <c r="F97" s="299">
        <f t="shared" si="20"/>
        <v>0.75</v>
      </c>
      <c r="G97" s="119">
        <f t="shared" si="21"/>
        <v>30.612244897959183</v>
      </c>
      <c r="H97" s="207">
        <f t="shared" si="22"/>
        <v>22.959183673469386</v>
      </c>
    </row>
    <row r="98" spans="1:8" ht="14.25" customHeight="1" x14ac:dyDescent="0.3">
      <c r="A98" s="128" t="s">
        <v>97</v>
      </c>
      <c r="B98" s="272" t="str">
        <f t="shared" si="19"/>
        <v>Maggi Cubes - مكعبات ماجي</v>
      </c>
      <c r="C98" s="272" t="str">
        <f t="shared" si="19"/>
        <v>gm</v>
      </c>
      <c r="D98" s="272">
        <f t="shared" si="19"/>
        <v>7</v>
      </c>
      <c r="E98" s="197">
        <f t="shared" si="23"/>
        <v>10.204081632653061</v>
      </c>
      <c r="F98" s="299">
        <f t="shared" si="20"/>
        <v>0.75</v>
      </c>
      <c r="G98" s="119">
        <f t="shared" si="21"/>
        <v>71.428571428571431</v>
      </c>
      <c r="H98" s="207">
        <f t="shared" si="22"/>
        <v>53.571428571428569</v>
      </c>
    </row>
    <row r="99" spans="1:8" ht="14.25" customHeight="1" x14ac:dyDescent="0.3">
      <c r="A99" s="128" t="s">
        <v>97</v>
      </c>
      <c r="B99" s="272" t="str">
        <f t="shared" si="19"/>
        <v>Kasuri Methi - ورق حلبة مجففة</v>
      </c>
      <c r="C99" s="272" t="str">
        <f t="shared" si="19"/>
        <v>gm</v>
      </c>
      <c r="D99" s="272">
        <f t="shared" si="19"/>
        <v>1</v>
      </c>
      <c r="E99" s="197">
        <f t="shared" si="23"/>
        <v>10.204081632653061</v>
      </c>
      <c r="F99" s="299">
        <f t="shared" si="20"/>
        <v>0.75</v>
      </c>
      <c r="G99" s="119">
        <f t="shared" si="21"/>
        <v>10.204081632653061</v>
      </c>
      <c r="H99" s="207">
        <f t="shared" si="22"/>
        <v>7.6530612244897958</v>
      </c>
    </row>
    <row r="100" spans="1:8" ht="14.25" customHeight="1" x14ac:dyDescent="0.3">
      <c r="A100" s="128" t="s">
        <v>158</v>
      </c>
      <c r="B100" s="272" t="str">
        <f t="shared" si="19"/>
        <v>Cooking Cream - كريمة طبخ</v>
      </c>
      <c r="C100" s="272" t="str">
        <f t="shared" si="19"/>
        <v>ml</v>
      </c>
      <c r="D100" s="272">
        <f t="shared" si="19"/>
        <v>300</v>
      </c>
      <c r="E100" s="197">
        <f t="shared" si="23"/>
        <v>10.204081632653061</v>
      </c>
      <c r="F100" s="299">
        <f t="shared" si="20"/>
        <v>1</v>
      </c>
      <c r="G100" s="119">
        <f t="shared" si="21"/>
        <v>3061.2244897959181</v>
      </c>
      <c r="H100" s="207">
        <f t="shared" si="22"/>
        <v>3061.2244897959181</v>
      </c>
    </row>
    <row r="101" spans="1:8" ht="14.25" customHeight="1" x14ac:dyDescent="0.3">
      <c r="A101" s="128" t="s">
        <v>210</v>
      </c>
      <c r="B101" s="272" t="str">
        <f t="shared" si="19"/>
        <v>Water - ماء</v>
      </c>
      <c r="C101" s="272" t="str">
        <f t="shared" si="19"/>
        <v>gm</v>
      </c>
      <c r="D101" s="272">
        <f t="shared" si="19"/>
        <v>100</v>
      </c>
      <c r="E101" s="197">
        <f t="shared" si="23"/>
        <v>10.204081632653061</v>
      </c>
      <c r="F101" s="299">
        <f t="shared" si="20"/>
        <v>1</v>
      </c>
      <c r="G101" s="119">
        <f t="shared" si="21"/>
        <v>1020.4081632653061</v>
      </c>
      <c r="H101" s="207">
        <f t="shared" si="22"/>
        <v>1020.4081632653061</v>
      </c>
    </row>
    <row r="102" spans="1:8" ht="14.25" customHeight="1" x14ac:dyDescent="0.3">
      <c r="A102" s="128" t="s">
        <v>97</v>
      </c>
      <c r="B102" s="272" t="str">
        <f t="shared" si="19"/>
        <v>Coriander Powder - كزبرة مطحونة</v>
      </c>
      <c r="C102" s="272" t="str">
        <f t="shared" si="19"/>
        <v>gm</v>
      </c>
      <c r="D102" s="272">
        <f t="shared" si="19"/>
        <v>5</v>
      </c>
      <c r="E102" s="197">
        <f t="shared" si="23"/>
        <v>10.204081632653061</v>
      </c>
      <c r="F102" s="299">
        <f t="shared" si="20"/>
        <v>1</v>
      </c>
      <c r="G102" s="119">
        <f t="shared" si="21"/>
        <v>51.020408163265301</v>
      </c>
      <c r="H102" s="207">
        <f t="shared" si="22"/>
        <v>51.020408163265301</v>
      </c>
    </row>
    <row r="103" spans="1:8" ht="14.25" customHeight="1" x14ac:dyDescent="0.3">
      <c r="A103" s="128" t="s">
        <v>220</v>
      </c>
      <c r="B103" s="272" t="str">
        <f t="shared" si="19"/>
        <v>لون صفار زعفران بودر - Saffron yellow color powder</v>
      </c>
      <c r="C103" s="272" t="str">
        <f t="shared" si="19"/>
        <v>gm</v>
      </c>
      <c r="D103" s="272">
        <f t="shared" si="19"/>
        <v>1</v>
      </c>
      <c r="E103" s="197">
        <f t="shared" si="23"/>
        <v>10.204081632653061</v>
      </c>
      <c r="F103" s="299">
        <f t="shared" si="20"/>
        <v>1</v>
      </c>
      <c r="G103" s="119">
        <f t="shared" si="21"/>
        <v>10.204081632653061</v>
      </c>
      <c r="H103" s="207">
        <f t="shared" si="22"/>
        <v>10.204081632653061</v>
      </c>
    </row>
    <row r="104" spans="1:8" ht="14.25" customHeight="1" x14ac:dyDescent="0.3">
      <c r="A104" s="128" t="s">
        <v>97</v>
      </c>
      <c r="B104" s="272" t="str">
        <f t="shared" si="19"/>
        <v>Salt - ملح</v>
      </c>
      <c r="C104" s="272" t="str">
        <f t="shared" si="19"/>
        <v>gm</v>
      </c>
      <c r="D104" s="272">
        <f t="shared" si="19"/>
        <v>5</v>
      </c>
      <c r="E104" s="197">
        <f t="shared" si="23"/>
        <v>10.204081632653061</v>
      </c>
      <c r="F104" s="299">
        <f t="shared" si="20"/>
        <v>0.75</v>
      </c>
      <c r="G104" s="119">
        <f t="shared" si="21"/>
        <v>51.020408163265301</v>
      </c>
      <c r="H104" s="207">
        <f t="shared" si="22"/>
        <v>38.265306122448976</v>
      </c>
    </row>
    <row r="105" spans="1:8" ht="14.25" customHeight="1" x14ac:dyDescent="0.3">
      <c r="A105" s="128" t="s">
        <v>158</v>
      </c>
      <c r="B105" s="272" t="str">
        <f t="shared" si="19"/>
        <v>Butter - زبدة</v>
      </c>
      <c r="C105" s="272" t="str">
        <f t="shared" si="19"/>
        <v>gm</v>
      </c>
      <c r="D105" s="272">
        <f t="shared" si="19"/>
        <v>40</v>
      </c>
      <c r="E105" s="197">
        <f t="shared" si="23"/>
        <v>10.204081632653061</v>
      </c>
      <c r="F105" s="299">
        <f t="shared" si="20"/>
        <v>1</v>
      </c>
      <c r="G105" s="119">
        <f t="shared" si="21"/>
        <v>408.16326530612241</v>
      </c>
      <c r="H105" s="207">
        <f t="shared" si="22"/>
        <v>408.16326530612241</v>
      </c>
    </row>
    <row r="106" spans="1:8" ht="14.25" customHeight="1" x14ac:dyDescent="0.3">
      <c r="A106" s="128" t="s">
        <v>196</v>
      </c>
      <c r="B106" s="272" t="str">
        <f t="shared" si="19"/>
        <v>Tomato Paste - صلصة طماطم</v>
      </c>
      <c r="C106" s="272" t="str">
        <f t="shared" si="19"/>
        <v>gm</v>
      </c>
      <c r="D106" s="272">
        <f t="shared" si="19"/>
        <v>20</v>
      </c>
      <c r="E106" s="197">
        <f t="shared" si="23"/>
        <v>10.204081632653061</v>
      </c>
      <c r="F106" s="299">
        <f t="shared" si="20"/>
        <v>1</v>
      </c>
      <c r="G106" s="119">
        <f t="shared" si="21"/>
        <v>204.08163265306121</v>
      </c>
      <c r="H106" s="207">
        <f t="shared" si="22"/>
        <v>204.08163265306121</v>
      </c>
    </row>
    <row r="107" spans="1:8" ht="14.25" customHeight="1" x14ac:dyDescent="0.3">
      <c r="A107" s="128" t="s">
        <v>158</v>
      </c>
      <c r="B107" s="272" t="str">
        <f t="shared" si="19"/>
        <v>Yogurt - زبادي</v>
      </c>
      <c r="C107" s="272" t="str">
        <f t="shared" si="19"/>
        <v>gm</v>
      </c>
      <c r="D107" s="272">
        <f t="shared" si="19"/>
        <v>100</v>
      </c>
      <c r="E107" s="197">
        <f t="shared" si="23"/>
        <v>10.204081632653061</v>
      </c>
      <c r="F107" s="299">
        <f t="shared" si="20"/>
        <v>1</v>
      </c>
      <c r="G107" s="119">
        <f t="shared" si="21"/>
        <v>1020.4081632653061</v>
      </c>
      <c r="H107" s="207">
        <f t="shared" si="22"/>
        <v>1020.4081632653061</v>
      </c>
    </row>
    <row r="108" spans="1:8" ht="14.25" customHeight="1" x14ac:dyDescent="0.3">
      <c r="A108" s="128" t="s">
        <v>97</v>
      </c>
      <c r="B108" s="272" t="str">
        <f t="shared" si="19"/>
        <v>Turmeric - كركم</v>
      </c>
      <c r="C108" s="272" t="str">
        <f t="shared" si="19"/>
        <v>gm</v>
      </c>
      <c r="D108" s="272">
        <f t="shared" si="19"/>
        <v>5</v>
      </c>
      <c r="E108" s="197">
        <f t="shared" si="23"/>
        <v>10.204081632653061</v>
      </c>
      <c r="F108" s="299">
        <f t="shared" si="20"/>
        <v>0.75</v>
      </c>
      <c r="G108" s="119">
        <f t="shared" si="21"/>
        <v>51.020408163265301</v>
      </c>
      <c r="H108" s="207">
        <f t="shared" si="22"/>
        <v>38.265306122448976</v>
      </c>
    </row>
    <row r="109" spans="1:8" ht="20.25" customHeight="1" x14ac:dyDescent="0.3">
      <c r="A109" s="211"/>
      <c r="B109" s="198" t="s">
        <v>299</v>
      </c>
      <c r="C109" s="200" t="s">
        <v>285</v>
      </c>
      <c r="E109" s="200" t="s">
        <v>300</v>
      </c>
      <c r="G109" s="890" t="s">
        <v>276</v>
      </c>
      <c r="H109" s="890" t="s">
        <v>733</v>
      </c>
    </row>
    <row r="110" spans="1:8" ht="22.25" customHeight="1" x14ac:dyDescent="0.4">
      <c r="A110" s="211"/>
      <c r="B110" s="199">
        <f>$J$54</f>
        <v>14493.173999999999</v>
      </c>
      <c r="C110" s="931">
        <f>E110+G110</f>
        <v>10000</v>
      </c>
      <c r="D110" s="932"/>
      <c r="E110" s="931">
        <f>$D$54*$S$44</f>
        <v>4347.826</v>
      </c>
      <c r="F110" s="933"/>
      <c r="G110" s="931">
        <f>$D$54*$T$44</f>
        <v>5652.174</v>
      </c>
      <c r="H110" s="931">
        <f>B110+E110</f>
        <v>18841</v>
      </c>
    </row>
    <row r="113" spans="1:8" ht="17.75" customHeight="1" x14ac:dyDescent="0.3">
      <c r="A113" s="937"/>
      <c r="B113" s="1382" t="str">
        <f>"دجاج بالزنجبيل   3 / " &amp; COUNTIF($C$53:$C$55, "&gt;0")</f>
        <v>دجاج بالزنجبيل   3 / 3</v>
      </c>
      <c r="C113" s="1383"/>
      <c r="D113" s="1383"/>
      <c r="E113" s="1383"/>
      <c r="F113" s="1383"/>
      <c r="G113" s="1383"/>
      <c r="H113" s="1383"/>
    </row>
    <row r="114" spans="1:8" ht="17.75" customHeight="1" x14ac:dyDescent="0.3">
      <c r="A114" s="937"/>
      <c r="B114" s="1384" t="str">
        <f>"Ginger Chicken  3 / " &amp; COUNTIF($C$53:$C$55, "&gt;0")</f>
        <v>Ginger Chicken  3 / 3</v>
      </c>
      <c r="C114" s="1385"/>
      <c r="D114" s="1385"/>
      <c r="E114" s="1385"/>
      <c r="F114" s="1385"/>
      <c r="G114" s="1385"/>
      <c r="H114" s="1385"/>
    </row>
    <row r="115" spans="1:8" ht="38" customHeight="1" x14ac:dyDescent="0.25">
      <c r="A115" s="595"/>
      <c r="B115" s="596" t="s">
        <v>253</v>
      </c>
      <c r="C115" s="244" t="s">
        <v>254</v>
      </c>
      <c r="D115" s="245" t="s">
        <v>243</v>
      </c>
      <c r="E115" s="218" t="s">
        <v>246</v>
      </c>
      <c r="F115" s="218" t="s">
        <v>255</v>
      </c>
      <c r="G115" s="245" t="s">
        <v>256</v>
      </c>
      <c r="H115" s="218" t="s">
        <v>257</v>
      </c>
    </row>
    <row r="116" spans="1:8" ht="14.25" customHeight="1" x14ac:dyDescent="0.3">
      <c r="A116" s="128" t="s">
        <v>230</v>
      </c>
      <c r="B116" s="272" t="str">
        <f t="shared" ref="B116:D134" si="24">B5</f>
        <v>Chicken - دجاج</v>
      </c>
      <c r="C116" s="272" t="str">
        <f t="shared" si="24"/>
        <v>gm</v>
      </c>
      <c r="D116" s="272">
        <f t="shared" si="24"/>
        <v>2456.4701694915252</v>
      </c>
      <c r="E116" s="351">
        <f>$H$55</f>
        <v>3.1674049293295354</v>
      </c>
      <c r="F116" s="299">
        <f t="shared" ref="F116:F134" si="25">F5</f>
        <v>1</v>
      </c>
      <c r="G116" s="119">
        <f t="shared" ref="G116:G134" si="26">D116*E116</f>
        <v>7780.635723598416</v>
      </c>
      <c r="H116" s="207">
        <f t="shared" ref="H116:H134" si="27">G116*F116</f>
        <v>7780.635723598416</v>
      </c>
    </row>
    <row r="117" spans="1:8" ht="14.25" customHeight="1" x14ac:dyDescent="0.3">
      <c r="A117" s="128" t="s">
        <v>13</v>
      </c>
      <c r="B117" s="272" t="str">
        <f t="shared" si="24"/>
        <v>Onion - بصل</v>
      </c>
      <c r="C117" s="272" t="str">
        <f t="shared" si="24"/>
        <v>gm</v>
      </c>
      <c r="D117" s="272">
        <f t="shared" si="24"/>
        <v>150</v>
      </c>
      <c r="E117" s="351">
        <f t="shared" ref="E117:E134" si="28">$C$55</f>
        <v>4.7174254317111526</v>
      </c>
      <c r="F117" s="299">
        <f t="shared" si="25"/>
        <v>0.95</v>
      </c>
      <c r="G117" s="119">
        <f t="shared" si="26"/>
        <v>707.61381475667292</v>
      </c>
      <c r="H117" s="207">
        <f t="shared" si="27"/>
        <v>672.23312401883925</v>
      </c>
    </row>
    <row r="118" spans="1:8" ht="14.25" customHeight="1" x14ac:dyDescent="0.3">
      <c r="A118" s="128" t="s">
        <v>13</v>
      </c>
      <c r="B118" s="272" t="str">
        <f t="shared" si="24"/>
        <v>Tomato - طماطم</v>
      </c>
      <c r="C118" s="272" t="str">
        <f t="shared" si="24"/>
        <v>gm</v>
      </c>
      <c r="D118" s="272">
        <f t="shared" si="24"/>
        <v>450</v>
      </c>
      <c r="E118" s="351">
        <f t="shared" si="28"/>
        <v>4.7174254317111526</v>
      </c>
      <c r="F118" s="299">
        <f t="shared" si="25"/>
        <v>1</v>
      </c>
      <c r="G118" s="119">
        <f t="shared" si="26"/>
        <v>2122.8414442700187</v>
      </c>
      <c r="H118" s="207">
        <f t="shared" si="27"/>
        <v>2122.8414442700187</v>
      </c>
    </row>
    <row r="119" spans="1:8" ht="14.25" customHeight="1" x14ac:dyDescent="0.3">
      <c r="A119" s="128" t="s">
        <v>57</v>
      </c>
      <c r="B119" s="272" t="str">
        <f t="shared" si="24"/>
        <v>Ginger - زنجبيل</v>
      </c>
      <c r="C119" s="272" t="str">
        <f t="shared" si="24"/>
        <v>gm</v>
      </c>
      <c r="D119" s="272">
        <f t="shared" si="24"/>
        <v>25</v>
      </c>
      <c r="E119" s="351">
        <f t="shared" si="28"/>
        <v>4.7174254317111526</v>
      </c>
      <c r="F119" s="299">
        <f t="shared" si="25"/>
        <v>0.9</v>
      </c>
      <c r="G119" s="119">
        <f t="shared" si="26"/>
        <v>117.93563579277881</v>
      </c>
      <c r="H119" s="207">
        <f t="shared" si="27"/>
        <v>106.14207221350094</v>
      </c>
    </row>
    <row r="120" spans="1:8" ht="14.25" customHeight="1" x14ac:dyDescent="0.3">
      <c r="A120" s="128" t="s">
        <v>13</v>
      </c>
      <c r="B120" s="272" t="str">
        <f t="shared" si="24"/>
        <v>Garlic - ثوم مقشر</v>
      </c>
      <c r="C120" s="272" t="str">
        <f t="shared" si="24"/>
        <v>gm</v>
      </c>
      <c r="D120" s="272">
        <f t="shared" si="24"/>
        <v>25</v>
      </c>
      <c r="E120" s="351">
        <f t="shared" si="28"/>
        <v>4.7174254317111526</v>
      </c>
      <c r="F120" s="299">
        <f t="shared" si="25"/>
        <v>0.9</v>
      </c>
      <c r="G120" s="119">
        <f t="shared" si="26"/>
        <v>117.93563579277881</v>
      </c>
      <c r="H120" s="207">
        <f t="shared" si="27"/>
        <v>106.14207221350094</v>
      </c>
    </row>
    <row r="121" spans="1:8" ht="14.25" customHeight="1" x14ac:dyDescent="0.3">
      <c r="A121" s="128" t="s">
        <v>13</v>
      </c>
      <c r="B121" s="272" t="str">
        <f t="shared" si="24"/>
        <v>Green Chilli Pepper - فلفل أخضر حار</v>
      </c>
      <c r="C121" s="272" t="str">
        <f t="shared" si="24"/>
        <v>gm</v>
      </c>
      <c r="D121" s="272">
        <f t="shared" si="24"/>
        <v>5</v>
      </c>
      <c r="E121" s="351">
        <f t="shared" si="28"/>
        <v>4.7174254317111526</v>
      </c>
      <c r="F121" s="299">
        <f t="shared" si="25"/>
        <v>0.75</v>
      </c>
      <c r="G121" s="119">
        <f t="shared" si="26"/>
        <v>23.587127158555763</v>
      </c>
      <c r="H121" s="207">
        <f t="shared" si="27"/>
        <v>17.690345368916823</v>
      </c>
    </row>
    <row r="122" spans="1:8" ht="14.25" customHeight="1" x14ac:dyDescent="0.3">
      <c r="A122" s="128" t="s">
        <v>97</v>
      </c>
      <c r="B122" s="272" t="str">
        <f t="shared" si="24"/>
        <v>Cumin Powder - كمون مطحون</v>
      </c>
      <c r="C122" s="272" t="str">
        <f t="shared" si="24"/>
        <v>gm</v>
      </c>
      <c r="D122" s="272">
        <f t="shared" si="24"/>
        <v>5</v>
      </c>
      <c r="E122" s="351">
        <f t="shared" si="28"/>
        <v>4.7174254317111526</v>
      </c>
      <c r="F122" s="299">
        <f t="shared" si="25"/>
        <v>1</v>
      </c>
      <c r="G122" s="119">
        <f t="shared" si="26"/>
        <v>23.587127158555763</v>
      </c>
      <c r="H122" s="207">
        <f t="shared" si="27"/>
        <v>23.587127158555763</v>
      </c>
    </row>
    <row r="123" spans="1:8" ht="14.25" customHeight="1" x14ac:dyDescent="0.3">
      <c r="A123" s="128" t="s">
        <v>97</v>
      </c>
      <c r="B123" s="272" t="str">
        <f t="shared" si="24"/>
        <v>Red Chilli Powder - شطة حمراء مطحونة</v>
      </c>
      <c r="C123" s="272" t="str">
        <f t="shared" si="24"/>
        <v>gm</v>
      </c>
      <c r="D123" s="272">
        <f t="shared" si="24"/>
        <v>3</v>
      </c>
      <c r="E123" s="351">
        <f t="shared" si="28"/>
        <v>4.7174254317111526</v>
      </c>
      <c r="F123" s="299">
        <f t="shared" si="25"/>
        <v>0.75</v>
      </c>
      <c r="G123" s="119">
        <f t="shared" si="26"/>
        <v>14.152276295133458</v>
      </c>
      <c r="H123" s="207">
        <f t="shared" si="27"/>
        <v>10.614207221350092</v>
      </c>
    </row>
    <row r="124" spans="1:8" ht="14.25" customHeight="1" x14ac:dyDescent="0.3">
      <c r="A124" s="128" t="s">
        <v>97</v>
      </c>
      <c r="B124" s="272" t="str">
        <f t="shared" si="24"/>
        <v>Maggi Cubes - مكعبات ماجي</v>
      </c>
      <c r="C124" s="272" t="str">
        <f t="shared" si="24"/>
        <v>gm</v>
      </c>
      <c r="D124" s="272">
        <f t="shared" si="24"/>
        <v>7</v>
      </c>
      <c r="E124" s="351">
        <f t="shared" si="28"/>
        <v>4.7174254317111526</v>
      </c>
      <c r="F124" s="299">
        <f t="shared" si="25"/>
        <v>0.75</v>
      </c>
      <c r="G124" s="119">
        <f t="shared" si="26"/>
        <v>33.021978021978072</v>
      </c>
      <c r="H124" s="207">
        <f t="shared" si="27"/>
        <v>24.766483516483554</v>
      </c>
    </row>
    <row r="125" spans="1:8" ht="14.25" customHeight="1" x14ac:dyDescent="0.3">
      <c r="A125" s="128" t="s">
        <v>97</v>
      </c>
      <c r="B125" s="272" t="str">
        <f t="shared" si="24"/>
        <v>Kasuri Methi - ورق حلبة مجففة</v>
      </c>
      <c r="C125" s="272" t="str">
        <f t="shared" si="24"/>
        <v>gm</v>
      </c>
      <c r="D125" s="272">
        <f t="shared" si="24"/>
        <v>1</v>
      </c>
      <c r="E125" s="351">
        <f t="shared" si="28"/>
        <v>4.7174254317111526</v>
      </c>
      <c r="F125" s="299">
        <f t="shared" si="25"/>
        <v>0.75</v>
      </c>
      <c r="G125" s="119">
        <f t="shared" si="26"/>
        <v>4.7174254317111526</v>
      </c>
      <c r="H125" s="207">
        <f t="shared" si="27"/>
        <v>3.5380690737833644</v>
      </c>
    </row>
    <row r="126" spans="1:8" ht="14.25" customHeight="1" x14ac:dyDescent="0.3">
      <c r="A126" s="128" t="s">
        <v>158</v>
      </c>
      <c r="B126" s="272" t="str">
        <f t="shared" si="24"/>
        <v>Cooking Cream - كريمة طبخ</v>
      </c>
      <c r="C126" s="272" t="str">
        <f t="shared" si="24"/>
        <v>ml</v>
      </c>
      <c r="D126" s="272">
        <f t="shared" si="24"/>
        <v>300</v>
      </c>
      <c r="E126" s="351">
        <f t="shared" si="28"/>
        <v>4.7174254317111526</v>
      </c>
      <c r="F126" s="299">
        <f t="shared" si="25"/>
        <v>1</v>
      </c>
      <c r="G126" s="119">
        <f t="shared" si="26"/>
        <v>1415.2276295133458</v>
      </c>
      <c r="H126" s="207">
        <f t="shared" si="27"/>
        <v>1415.2276295133458</v>
      </c>
    </row>
    <row r="127" spans="1:8" ht="14.25" customHeight="1" x14ac:dyDescent="0.3">
      <c r="A127" s="128" t="s">
        <v>210</v>
      </c>
      <c r="B127" s="272" t="str">
        <f t="shared" si="24"/>
        <v>Water - ماء</v>
      </c>
      <c r="C127" s="272" t="str">
        <f t="shared" si="24"/>
        <v>gm</v>
      </c>
      <c r="D127" s="272">
        <f t="shared" si="24"/>
        <v>100</v>
      </c>
      <c r="E127" s="351">
        <f t="shared" si="28"/>
        <v>4.7174254317111526</v>
      </c>
      <c r="F127" s="299">
        <f t="shared" si="25"/>
        <v>1</v>
      </c>
      <c r="G127" s="119">
        <f t="shared" si="26"/>
        <v>471.74254317111524</v>
      </c>
      <c r="H127" s="207">
        <f t="shared" si="27"/>
        <v>471.74254317111524</v>
      </c>
    </row>
    <row r="128" spans="1:8" ht="14.25" customHeight="1" x14ac:dyDescent="0.3">
      <c r="A128" s="128" t="s">
        <v>97</v>
      </c>
      <c r="B128" s="272" t="str">
        <f t="shared" si="24"/>
        <v>Coriander Powder - كزبرة مطحونة</v>
      </c>
      <c r="C128" s="272" t="str">
        <f t="shared" si="24"/>
        <v>gm</v>
      </c>
      <c r="D128" s="272">
        <f t="shared" si="24"/>
        <v>5</v>
      </c>
      <c r="E128" s="351">
        <f t="shared" si="28"/>
        <v>4.7174254317111526</v>
      </c>
      <c r="F128" s="299">
        <f t="shared" si="25"/>
        <v>1</v>
      </c>
      <c r="G128" s="119">
        <f t="shared" si="26"/>
        <v>23.587127158555763</v>
      </c>
      <c r="H128" s="207">
        <f t="shared" si="27"/>
        <v>23.587127158555763</v>
      </c>
    </row>
    <row r="129" spans="1:8" ht="17.75" customHeight="1" x14ac:dyDescent="0.3">
      <c r="A129" s="128" t="s">
        <v>220</v>
      </c>
      <c r="B129" s="272" t="str">
        <f t="shared" si="24"/>
        <v>لون صفار زعفران بودر - Saffron yellow color powder</v>
      </c>
      <c r="C129" s="272" t="str">
        <f t="shared" si="24"/>
        <v>gm</v>
      </c>
      <c r="D129" s="272">
        <f t="shared" si="24"/>
        <v>1</v>
      </c>
      <c r="E129" s="351">
        <f t="shared" si="28"/>
        <v>4.7174254317111526</v>
      </c>
      <c r="F129" s="299">
        <f t="shared" si="25"/>
        <v>1</v>
      </c>
      <c r="G129" s="119">
        <f t="shared" si="26"/>
        <v>4.7174254317111526</v>
      </c>
      <c r="H129" s="207">
        <f t="shared" si="27"/>
        <v>4.7174254317111526</v>
      </c>
    </row>
    <row r="130" spans="1:8" ht="14.25" customHeight="1" x14ac:dyDescent="0.3">
      <c r="A130" s="128" t="s">
        <v>97</v>
      </c>
      <c r="B130" s="272" t="str">
        <f t="shared" si="24"/>
        <v>Salt - ملح</v>
      </c>
      <c r="C130" s="272" t="str">
        <f t="shared" si="24"/>
        <v>gm</v>
      </c>
      <c r="D130" s="272">
        <f t="shared" si="24"/>
        <v>5</v>
      </c>
      <c r="E130" s="351">
        <f t="shared" si="28"/>
        <v>4.7174254317111526</v>
      </c>
      <c r="F130" s="299">
        <f t="shared" si="25"/>
        <v>0.75</v>
      </c>
      <c r="G130" s="119">
        <f t="shared" si="26"/>
        <v>23.587127158555763</v>
      </c>
      <c r="H130" s="207">
        <f t="shared" si="27"/>
        <v>17.690345368916823</v>
      </c>
    </row>
    <row r="131" spans="1:8" ht="14.25" customHeight="1" x14ac:dyDescent="0.3">
      <c r="A131" s="128" t="s">
        <v>158</v>
      </c>
      <c r="B131" s="272" t="str">
        <f t="shared" si="24"/>
        <v>Butter - زبدة</v>
      </c>
      <c r="C131" s="272" t="str">
        <f t="shared" si="24"/>
        <v>gm</v>
      </c>
      <c r="D131" s="272">
        <f t="shared" si="24"/>
        <v>40</v>
      </c>
      <c r="E131" s="351">
        <f t="shared" si="28"/>
        <v>4.7174254317111526</v>
      </c>
      <c r="F131" s="299">
        <f t="shared" si="25"/>
        <v>1</v>
      </c>
      <c r="G131" s="119">
        <f t="shared" si="26"/>
        <v>188.6970172684461</v>
      </c>
      <c r="H131" s="207">
        <f t="shared" si="27"/>
        <v>188.6970172684461</v>
      </c>
    </row>
    <row r="132" spans="1:8" ht="14.25" customHeight="1" x14ac:dyDescent="0.3">
      <c r="A132" s="128" t="s">
        <v>196</v>
      </c>
      <c r="B132" s="272" t="str">
        <f t="shared" si="24"/>
        <v>Tomato Paste - صلصة طماطم</v>
      </c>
      <c r="C132" s="272" t="str">
        <f t="shared" si="24"/>
        <v>gm</v>
      </c>
      <c r="D132" s="272">
        <f t="shared" si="24"/>
        <v>20</v>
      </c>
      <c r="E132" s="351">
        <f t="shared" si="28"/>
        <v>4.7174254317111526</v>
      </c>
      <c r="F132" s="299">
        <f t="shared" si="25"/>
        <v>1</v>
      </c>
      <c r="G132" s="119">
        <f t="shared" si="26"/>
        <v>94.348508634223052</v>
      </c>
      <c r="H132" s="207">
        <f t="shared" si="27"/>
        <v>94.348508634223052</v>
      </c>
    </row>
    <row r="133" spans="1:8" ht="14.25" customHeight="1" x14ac:dyDescent="0.3">
      <c r="A133" s="128" t="s">
        <v>158</v>
      </c>
      <c r="B133" s="272" t="str">
        <f t="shared" si="24"/>
        <v>Yogurt - زبادي</v>
      </c>
      <c r="C133" s="272" t="str">
        <f t="shared" si="24"/>
        <v>gm</v>
      </c>
      <c r="D133" s="272">
        <f t="shared" si="24"/>
        <v>100</v>
      </c>
      <c r="E133" s="351">
        <f t="shared" si="28"/>
        <v>4.7174254317111526</v>
      </c>
      <c r="F133" s="299">
        <f t="shared" si="25"/>
        <v>1</v>
      </c>
      <c r="G133" s="119">
        <f t="shared" si="26"/>
        <v>471.74254317111524</v>
      </c>
      <c r="H133" s="207">
        <f t="shared" si="27"/>
        <v>471.74254317111524</v>
      </c>
    </row>
    <row r="134" spans="1:8" ht="14.25" customHeight="1" x14ac:dyDescent="0.3">
      <c r="A134" s="128" t="s">
        <v>97</v>
      </c>
      <c r="B134" s="272" t="str">
        <f t="shared" si="24"/>
        <v>Turmeric - كركم</v>
      </c>
      <c r="C134" s="272" t="str">
        <f t="shared" si="24"/>
        <v>gm</v>
      </c>
      <c r="D134" s="272">
        <f t="shared" si="24"/>
        <v>5</v>
      </c>
      <c r="E134" s="351">
        <f t="shared" si="28"/>
        <v>4.7174254317111526</v>
      </c>
      <c r="F134" s="299">
        <f t="shared" si="25"/>
        <v>0.75</v>
      </c>
      <c r="G134" s="119">
        <f t="shared" si="26"/>
        <v>23.587127158555763</v>
      </c>
      <c r="H134" s="207">
        <f t="shared" si="27"/>
        <v>17.690345368916823</v>
      </c>
    </row>
    <row r="135" spans="1:8" ht="20.25" customHeight="1" x14ac:dyDescent="0.3">
      <c r="A135" s="211"/>
      <c r="B135" s="198" t="s">
        <v>299</v>
      </c>
      <c r="C135" s="200" t="s">
        <v>285</v>
      </c>
      <c r="E135" s="200" t="s">
        <v>300</v>
      </c>
      <c r="G135" s="890" t="s">
        <v>276</v>
      </c>
      <c r="H135" s="890" t="s">
        <v>733</v>
      </c>
    </row>
    <row r="136" spans="1:8" ht="20" x14ac:dyDescent="0.4">
      <c r="A136" s="211"/>
      <c r="B136" s="199">
        <f>$J$55</f>
        <v>4590.5750769230654</v>
      </c>
      <c r="C136" s="199">
        <f>E136+G136</f>
        <v>4623.0769230769301</v>
      </c>
      <c r="D136" s="930"/>
      <c r="E136" s="199">
        <f>$D$55*$S$44</f>
        <v>2010.0334046153878</v>
      </c>
      <c r="F136" s="100"/>
      <c r="G136" s="931">
        <f>$D$55*$T$44</f>
        <v>2613.0435184615426</v>
      </c>
      <c r="H136" s="931">
        <f>B136+E136</f>
        <v>6600.6084815384529</v>
      </c>
    </row>
  </sheetData>
  <mergeCells count="13">
    <mergeCell ref="AN2:AN3"/>
    <mergeCell ref="B87:H87"/>
    <mergeCell ref="R25:U25"/>
    <mergeCell ref="B62:H62"/>
    <mergeCell ref="F2:F3"/>
    <mergeCell ref="AK2:AM2"/>
    <mergeCell ref="B114:H114"/>
    <mergeCell ref="B63:H63"/>
    <mergeCell ref="AE2:AG3"/>
    <mergeCell ref="B88:H88"/>
    <mergeCell ref="R26:U26"/>
    <mergeCell ref="B113:H113"/>
    <mergeCell ref="B35:F35"/>
  </mergeCells>
  <printOptions horizontalCentered="1"/>
  <pageMargins left="0.5" right="0.5" top="1" bottom="0.5" header="0.3" footer="0.511811023622047"/>
  <pageSetup paperSize="9" scale="31" orientation="portrait" r:id="rId1"/>
  <legacyDrawing r:id="rId2"/>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71">
    <tabColor theme="3" tint="-0.249977111117893"/>
    <pageSetUpPr fitToPage="1"/>
  </sheetPr>
  <dimension ref="A1:AT112"/>
  <sheetViews>
    <sheetView zoomScale="55" zoomScaleNormal="55" workbookViewId="0">
      <selection activeCell="P80" sqref="P80"/>
    </sheetView>
  </sheetViews>
  <sheetFormatPr defaultColWidth="12.5" defaultRowHeight="14" x14ac:dyDescent="0.3"/>
  <cols>
    <col min="1" max="1" width="12.5" style="1" customWidth="1"/>
    <col min="2" max="2" width="37.9140625" customWidth="1"/>
    <col min="3" max="3" width="23.9140625" customWidth="1"/>
    <col min="4" max="4" width="19" customWidth="1"/>
    <col min="5" max="5" width="16.1640625" customWidth="1"/>
    <col min="6" max="6" width="23.08203125" customWidth="1"/>
    <col min="7" max="7" width="25.1640625" customWidth="1"/>
    <col min="8" max="8" width="36.1640625" customWidth="1"/>
    <col min="12" max="12" width="8.33203125" customWidth="1"/>
    <col min="13" max="14" width="6.1640625" customWidth="1"/>
    <col min="18" max="18" width="33.9140625" customWidth="1"/>
    <col min="23" max="23" width="37.33203125" bestFit="1" customWidth="1"/>
    <col min="28" max="28" width="18.1640625" customWidth="1"/>
    <col min="29" max="29" width="11.9140625" bestFit="1" customWidth="1"/>
    <col min="30" max="30" width="13.33203125" bestFit="1" customWidth="1"/>
    <col min="31" max="31" width="10" bestFit="1" customWidth="1"/>
    <col min="32" max="32" width="11.58203125" bestFit="1" customWidth="1"/>
    <col min="33" max="34" width="5.6640625" customWidth="1"/>
    <col min="36" max="36" width="27.9140625" customWidth="1"/>
  </cols>
  <sheetData>
    <row r="1" spans="1:46" ht="35.25" customHeight="1" x14ac:dyDescent="0.3">
      <c r="B1" s="80" t="s">
        <v>243</v>
      </c>
      <c r="C1" s="81">
        <v>1000</v>
      </c>
      <c r="D1" s="82" t="s">
        <v>244</v>
      </c>
      <c r="E1" s="117">
        <f>T32</f>
        <v>21503.58974358975</v>
      </c>
      <c r="F1" s="80" t="s">
        <v>245</v>
      </c>
      <c r="G1" s="121">
        <f>E1/C1</f>
        <v>21.50358974358975</v>
      </c>
      <c r="H1" s="80" t="s">
        <v>246</v>
      </c>
      <c r="I1" s="282">
        <f>G1/K1</f>
        <v>21.720797720797727</v>
      </c>
      <c r="J1" s="86" t="s">
        <v>247</v>
      </c>
      <c r="K1" s="92">
        <v>0.99</v>
      </c>
      <c r="L1" s="598">
        <f>4.2/4.6</f>
        <v>0.91304347826086962</v>
      </c>
      <c r="M1" s="89"/>
      <c r="N1" s="327"/>
      <c r="O1" s="91" t="s">
        <v>248</v>
      </c>
      <c r="P1" s="92" t="s">
        <v>311</v>
      </c>
      <c r="Q1" s="93" t="s">
        <v>250</v>
      </c>
      <c r="R1" s="92">
        <v>0.57999999999999996</v>
      </c>
      <c r="Y1" s="91" t="s">
        <v>479</v>
      </c>
      <c r="Z1" s="847">
        <v>37120</v>
      </c>
      <c r="AA1" s="91" t="s">
        <v>600</v>
      </c>
      <c r="AB1" s="847">
        <v>1000</v>
      </c>
      <c r="AC1" s="91" t="s">
        <v>587</v>
      </c>
      <c r="AD1" s="847">
        <v>244</v>
      </c>
      <c r="AE1" s="250"/>
      <c r="AF1" s="252"/>
      <c r="AG1" s="92"/>
      <c r="AI1" s="1"/>
      <c r="AJ1" s="94" t="s">
        <v>262</v>
      </c>
      <c r="AK1" s="94">
        <v>10000</v>
      </c>
      <c r="AL1" s="628" t="s">
        <v>540</v>
      </c>
      <c r="AM1" s="629">
        <f>$S$32</f>
        <v>29323.076923076918</v>
      </c>
      <c r="AN1" s="94" t="s">
        <v>251</v>
      </c>
      <c r="AO1" s="329">
        <f>((S32)/$R$1)/$AK$1</f>
        <v>5.0557029177718826</v>
      </c>
      <c r="AP1" s="95"/>
    </row>
    <row r="2" spans="1:46" ht="12.75" customHeight="1" x14ac:dyDescent="0.3">
      <c r="A2" s="265"/>
      <c r="B2" s="1387" t="s">
        <v>156</v>
      </c>
      <c r="C2" s="1422"/>
      <c r="D2" s="1422"/>
      <c r="E2" s="1422"/>
      <c r="F2" s="1422"/>
      <c r="G2" s="1422"/>
      <c r="H2" s="1422"/>
      <c r="I2" s="1422"/>
      <c r="J2" s="1422"/>
      <c r="K2" s="1422"/>
      <c r="L2" s="293"/>
      <c r="M2" s="100"/>
      <c r="N2" s="100"/>
      <c r="O2" s="100"/>
      <c r="P2" s="100"/>
      <c r="Q2" s="100"/>
      <c r="R2" s="100"/>
      <c r="AC2" s="99"/>
      <c r="AD2" s="99"/>
      <c r="AE2" s="1391"/>
      <c r="AF2" s="1422"/>
      <c r="AG2" s="1422"/>
      <c r="AI2" s="1"/>
      <c r="AJ2" s="101"/>
      <c r="AK2" s="1386" t="s">
        <v>493</v>
      </c>
      <c r="AL2" s="1386"/>
      <c r="AM2" s="1386"/>
      <c r="AN2" s="1386"/>
      <c r="AO2" s="101"/>
      <c r="AP2" s="101"/>
    </row>
    <row r="3" spans="1:46" ht="12.75" customHeight="1" x14ac:dyDescent="0.3">
      <c r="A3" s="265"/>
      <c r="B3" s="1388"/>
      <c r="C3" s="1388"/>
      <c r="D3" s="1388"/>
      <c r="E3" s="1388"/>
      <c r="F3" s="1388"/>
      <c r="G3" s="1388"/>
      <c r="H3" s="1388"/>
      <c r="I3" s="1388"/>
      <c r="J3" s="1388"/>
      <c r="K3" s="1388"/>
      <c r="L3" s="293"/>
      <c r="M3" s="100"/>
      <c r="N3" s="100"/>
      <c r="O3" s="100"/>
      <c r="P3" s="100"/>
      <c r="Q3" s="100"/>
      <c r="R3" s="100"/>
      <c r="AC3" s="99"/>
      <c r="AD3" s="99"/>
      <c r="AE3" s="1422"/>
      <c r="AF3" s="1422"/>
      <c r="AG3" s="1422"/>
      <c r="AI3" s="1"/>
      <c r="AJ3" s="101"/>
      <c r="AK3" s="101"/>
      <c r="AL3" s="101"/>
      <c r="AM3" s="101"/>
      <c r="AN3" s="1422"/>
      <c r="AO3" s="101"/>
      <c r="AP3" s="101"/>
    </row>
    <row r="4" spans="1:46" ht="46.5" customHeight="1" x14ac:dyDescent="0.3">
      <c r="A4" s="599" t="s">
        <v>1</v>
      </c>
      <c r="B4" s="599" t="s">
        <v>253</v>
      </c>
      <c r="C4" s="107" t="s">
        <v>254</v>
      </c>
      <c r="D4" s="91" t="s">
        <v>491</v>
      </c>
      <c r="E4" s="600" t="s">
        <v>246</v>
      </c>
      <c r="F4" s="108" t="s">
        <v>255</v>
      </c>
      <c r="G4" s="91" t="s">
        <v>492</v>
      </c>
      <c r="H4" s="109" t="s">
        <v>347</v>
      </c>
      <c r="I4" s="91" t="s">
        <v>258</v>
      </c>
      <c r="J4" s="91" t="s">
        <v>259</v>
      </c>
      <c r="K4" s="91" t="s">
        <v>260</v>
      </c>
      <c r="L4" s="91" t="s">
        <v>261</v>
      </c>
      <c r="M4" s="100"/>
      <c r="N4" s="100"/>
      <c r="O4" s="100"/>
      <c r="P4" s="100"/>
      <c r="AA4" s="251"/>
      <c r="AB4" s="253"/>
      <c r="AC4" s="251"/>
      <c r="AD4" s="251"/>
      <c r="AE4" s="251"/>
      <c r="AF4" s="251"/>
      <c r="AG4" s="251"/>
      <c r="AI4" s="1"/>
      <c r="AJ4" s="94" t="s">
        <v>253</v>
      </c>
      <c r="AK4" s="530" t="s">
        <v>254</v>
      </c>
      <c r="AL4" s="94" t="s">
        <v>262</v>
      </c>
      <c r="AM4" s="94" t="s">
        <v>246</v>
      </c>
      <c r="AN4" s="94" t="s">
        <v>255</v>
      </c>
      <c r="AO4" s="94" t="s">
        <v>256</v>
      </c>
      <c r="AP4" s="94" t="s">
        <v>347</v>
      </c>
      <c r="AQ4" s="91" t="s">
        <v>258</v>
      </c>
      <c r="AR4" s="91" t="s">
        <v>259</v>
      </c>
      <c r="AS4" s="91" t="s">
        <v>260</v>
      </c>
      <c r="AT4" s="91" t="s">
        <v>261</v>
      </c>
    </row>
    <row r="5" spans="1:46" ht="14.25" customHeight="1" x14ac:dyDescent="0.3">
      <c r="A5" s="601" t="s">
        <v>230</v>
      </c>
      <c r="B5" s="22" t="s">
        <v>237</v>
      </c>
      <c r="C5" s="115" t="s">
        <v>14</v>
      </c>
      <c r="D5" s="268">
        <f>I51/10</f>
        <v>2351.2225705329156</v>
      </c>
      <c r="E5" s="126">
        <f>H52</f>
        <v>21.502442946632584</v>
      </c>
      <c r="F5" s="127">
        <v>1</v>
      </c>
      <c r="G5" s="121">
        <f t="shared" ref="G5:G15" si="0">D5*E5</f>
        <v>50557.029177718825</v>
      </c>
      <c r="H5" s="120">
        <f t="shared" ref="H5:H15" si="1">G5*F5</f>
        <v>50557.029177718825</v>
      </c>
      <c r="I5" s="81">
        <f>VLOOKUP(B5,All_Ingredients!$A$1:$F$151,6,FALSE())</f>
        <v>0.99</v>
      </c>
      <c r="J5" s="119">
        <f>VLOOKUP(B5,All_Ingredients!$A$1:$J$151,10,FALSE())</f>
        <v>0</v>
      </c>
      <c r="K5" s="122">
        <f t="shared" ref="K5" si="2">(H5/I5)/1000</f>
        <v>51.067706240120025</v>
      </c>
      <c r="L5" s="122">
        <f t="shared" ref="L5" si="3">K5*J5</f>
        <v>0</v>
      </c>
      <c r="M5" s="100"/>
      <c r="N5" s="100"/>
      <c r="O5" s="100"/>
      <c r="P5" s="100"/>
      <c r="AA5" s="92"/>
      <c r="AB5" s="133"/>
      <c r="AC5" s="254"/>
      <c r="AD5" s="135"/>
      <c r="AE5" s="135"/>
      <c r="AF5" s="135"/>
      <c r="AG5" s="136"/>
      <c r="AI5" s="1"/>
      <c r="AJ5" s="22" t="s">
        <v>237</v>
      </c>
      <c r="AK5" s="124" t="s">
        <v>238</v>
      </c>
      <c r="AL5" s="125">
        <v>10</v>
      </c>
      <c r="AM5" s="223">
        <f t="shared" ref="AM5:AM13" si="4">$AO$1</f>
        <v>5.0557029177718826</v>
      </c>
      <c r="AN5" s="127">
        <v>1</v>
      </c>
      <c r="AO5" s="121">
        <f t="shared" ref="AO5:AO13" si="5">AL5*AM5</f>
        <v>50.557029177718825</v>
      </c>
      <c r="AP5" s="120">
        <f t="shared" ref="AP5:AP13" si="6">AO5*AN5</f>
        <v>50.557029177718825</v>
      </c>
      <c r="AQ5" s="295"/>
      <c r="AR5" s="1171"/>
      <c r="AS5" s="175"/>
      <c r="AT5" s="1172"/>
    </row>
    <row r="6" spans="1:46" ht="14.25" customHeight="1" x14ac:dyDescent="0.3">
      <c r="A6" s="270" t="s">
        <v>13</v>
      </c>
      <c r="B6" s="22" t="s">
        <v>40</v>
      </c>
      <c r="C6" s="124" t="s">
        <v>14</v>
      </c>
      <c r="D6" s="125">
        <v>150</v>
      </c>
      <c r="E6" s="223">
        <f t="shared" ref="E6:E15" si="7">$I$1</f>
        <v>21.720797720797727</v>
      </c>
      <c r="F6" s="127">
        <v>1</v>
      </c>
      <c r="G6" s="121">
        <f t="shared" si="0"/>
        <v>3258.1196581196591</v>
      </c>
      <c r="H6" s="120">
        <f t="shared" si="1"/>
        <v>3258.1196581196591</v>
      </c>
      <c r="I6" s="81">
        <f>VLOOKUP(B6,All_Ingredients!$A$1:$F$151,6,FALSE())</f>
        <v>0.84</v>
      </c>
      <c r="J6" s="119">
        <f>VLOOKUP(B6,All_Ingredients!$A$1:$J$151,10,FALSE())</f>
        <v>2.9629629629629628</v>
      </c>
      <c r="K6" s="122">
        <f t="shared" ref="K6:K15" si="8">(H6/I6)/1000</f>
        <v>3.8787138787138802</v>
      </c>
      <c r="L6" s="122">
        <f t="shared" ref="L6:L15" si="9">K6*J6</f>
        <v>11.492485566559644</v>
      </c>
      <c r="AI6" s="1" t="s">
        <v>97</v>
      </c>
      <c r="AJ6" s="323" t="s">
        <v>149</v>
      </c>
      <c r="AK6" s="334" t="s">
        <v>14</v>
      </c>
      <c r="AL6" s="125">
        <v>50</v>
      </c>
      <c r="AM6" s="223">
        <f t="shared" si="4"/>
        <v>5.0557029177718826</v>
      </c>
      <c r="AN6" s="127">
        <v>1</v>
      </c>
      <c r="AO6" s="121">
        <f t="shared" si="5"/>
        <v>252.78514588859414</v>
      </c>
      <c r="AP6" s="120">
        <f t="shared" si="6"/>
        <v>252.78514588859414</v>
      </c>
      <c r="AQ6" s="1172">
        <f>VLOOKUP(AJ6,Marination_Ordering!$A:$J,6,FALSE)</f>
        <v>1</v>
      </c>
      <c r="AR6" s="1172">
        <f>VLOOKUP(AJ6,Marination_Ordering!$A:$J,10,FALSE)</f>
        <v>18</v>
      </c>
      <c r="AS6" s="175">
        <f>AP6/AQ6</f>
        <v>252.78514588859414</v>
      </c>
      <c r="AT6" s="1172">
        <f>AR6*(AS6/1000)</f>
        <v>4.5501326259946939</v>
      </c>
    </row>
    <row r="7" spans="1:46" ht="14.25" customHeight="1" x14ac:dyDescent="0.3">
      <c r="A7" s="270" t="s">
        <v>13</v>
      </c>
      <c r="B7" s="22" t="s">
        <v>792</v>
      </c>
      <c r="C7" s="124" t="s">
        <v>14</v>
      </c>
      <c r="D7" s="125">
        <v>30</v>
      </c>
      <c r="E7" s="223">
        <f t="shared" si="7"/>
        <v>21.720797720797727</v>
      </c>
      <c r="F7" s="127">
        <v>1</v>
      </c>
      <c r="G7" s="121">
        <f t="shared" si="0"/>
        <v>651.62393162393175</v>
      </c>
      <c r="H7" s="120">
        <f t="shared" si="1"/>
        <v>651.62393162393175</v>
      </c>
      <c r="I7" s="81">
        <f>VLOOKUP(B7,All_Ingredients!$A$1:$F$151,6,FALSE())</f>
        <v>1</v>
      </c>
      <c r="J7" s="119">
        <f>VLOOKUP(B7,All_Ingredients!$A$1:$J$151,10,FALSE())</f>
        <v>10.5</v>
      </c>
      <c r="K7" s="122">
        <f t="shared" si="8"/>
        <v>0.65162393162393173</v>
      </c>
      <c r="L7" s="122">
        <f t="shared" si="9"/>
        <v>6.8420512820512833</v>
      </c>
      <c r="AI7" s="1" t="s">
        <v>97</v>
      </c>
      <c r="AJ7" s="323" t="s">
        <v>154</v>
      </c>
      <c r="AK7" s="334" t="s">
        <v>14</v>
      </c>
      <c r="AL7" s="125">
        <v>50</v>
      </c>
      <c r="AM7" s="223">
        <f t="shared" si="4"/>
        <v>5.0557029177718826</v>
      </c>
      <c r="AN7" s="127">
        <v>1</v>
      </c>
      <c r="AO7" s="121">
        <f t="shared" si="5"/>
        <v>252.78514588859414</v>
      </c>
      <c r="AP7" s="120">
        <f t="shared" si="6"/>
        <v>252.78514588859414</v>
      </c>
      <c r="AQ7" s="1172">
        <f>VLOOKUP(AJ7,Marination_Ordering!$A:$J,6,FALSE)</f>
        <v>1</v>
      </c>
      <c r="AR7" s="1172">
        <f>VLOOKUP(AJ7,Marination_Ordering!$A:$J,10,FALSE)</f>
        <v>10</v>
      </c>
      <c r="AS7" s="175">
        <f t="shared" ref="AS7:AS8" si="10">AP7/AQ7</f>
        <v>252.78514588859414</v>
      </c>
      <c r="AT7" s="1172">
        <f t="shared" ref="AT7:AT8" si="11">AR7*(AS7/1000)</f>
        <v>2.5278514588859413</v>
      </c>
    </row>
    <row r="8" spans="1:46" ht="14.25" customHeight="1" x14ac:dyDescent="0.3">
      <c r="A8" s="270" t="s">
        <v>97</v>
      </c>
      <c r="B8" s="22" t="s">
        <v>104</v>
      </c>
      <c r="C8" s="124" t="s">
        <v>14</v>
      </c>
      <c r="D8" s="125">
        <v>6</v>
      </c>
      <c r="E8" s="223">
        <f t="shared" si="7"/>
        <v>21.720797720797727</v>
      </c>
      <c r="F8" s="127">
        <v>0.75</v>
      </c>
      <c r="G8" s="121">
        <f t="shared" si="0"/>
        <v>130.32478632478637</v>
      </c>
      <c r="H8" s="120">
        <f t="shared" si="1"/>
        <v>97.74358974358978</v>
      </c>
      <c r="I8" s="81">
        <f>VLOOKUP(B8,All_Ingredients!$A$1:$F$151,6,FALSE())</f>
        <v>1</v>
      </c>
      <c r="J8" s="119">
        <f>VLOOKUP(B8,All_Ingredients!$A$1:$J$151,10,FALSE())</f>
        <v>47</v>
      </c>
      <c r="K8" s="122">
        <f t="shared" si="8"/>
        <v>9.7743589743589779E-2</v>
      </c>
      <c r="L8" s="122">
        <f t="shared" si="9"/>
        <v>4.5939487179487193</v>
      </c>
      <c r="AI8" s="1" t="s">
        <v>97</v>
      </c>
      <c r="AJ8" s="323" t="s">
        <v>108</v>
      </c>
      <c r="AK8" s="334" t="s">
        <v>14</v>
      </c>
      <c r="AL8" s="125">
        <v>50</v>
      </c>
      <c r="AM8" s="223">
        <f t="shared" si="4"/>
        <v>5.0557029177718826</v>
      </c>
      <c r="AN8" s="127">
        <v>1</v>
      </c>
      <c r="AO8" s="121">
        <f t="shared" si="5"/>
        <v>252.78514588859414</v>
      </c>
      <c r="AP8" s="120">
        <f t="shared" si="6"/>
        <v>252.78514588859414</v>
      </c>
      <c r="AQ8" s="1172">
        <f>VLOOKUP(AJ8,Marination_Ordering!$A:$J,6,FALSE)</f>
        <v>1</v>
      </c>
      <c r="AR8" s="1172">
        <f>VLOOKUP(AJ8,Marination_Ordering!$A:$J,10,FALSE)</f>
        <v>15</v>
      </c>
      <c r="AS8" s="175">
        <f t="shared" si="10"/>
        <v>252.78514588859414</v>
      </c>
      <c r="AT8" s="1172">
        <f t="shared" si="11"/>
        <v>3.7917771883289122</v>
      </c>
    </row>
    <row r="9" spans="1:46" ht="14.25" customHeight="1" x14ac:dyDescent="0.3">
      <c r="A9" s="270" t="s">
        <v>97</v>
      </c>
      <c r="B9" s="22" t="s">
        <v>144</v>
      </c>
      <c r="C9" s="124" t="s">
        <v>14</v>
      </c>
      <c r="D9" s="125">
        <v>10</v>
      </c>
      <c r="E9" s="223">
        <f t="shared" si="7"/>
        <v>21.720797720797727</v>
      </c>
      <c r="F9" s="127">
        <v>0.9</v>
      </c>
      <c r="G9" s="121">
        <f t="shared" si="0"/>
        <v>217.20797720797725</v>
      </c>
      <c r="H9" s="120">
        <f t="shared" si="1"/>
        <v>195.48717948717953</v>
      </c>
      <c r="I9" s="81">
        <f>VLOOKUP(B9,All_Ingredients!$A$1:$F$151,6,FALSE())</f>
        <v>1</v>
      </c>
      <c r="J9" s="119">
        <f>VLOOKUP(B9,All_Ingredients!$A$1:$J$151,10,FALSE())</f>
        <v>15.277777777777779</v>
      </c>
      <c r="K9" s="122">
        <f t="shared" si="8"/>
        <v>0.19548717948717953</v>
      </c>
      <c r="L9" s="122">
        <f t="shared" si="9"/>
        <v>2.9866096866096874</v>
      </c>
      <c r="AI9" s="1" t="s">
        <v>97</v>
      </c>
      <c r="AJ9" s="323" t="s">
        <v>790</v>
      </c>
      <c r="AK9" s="334" t="s">
        <v>14</v>
      </c>
      <c r="AL9" s="125">
        <v>100</v>
      </c>
      <c r="AM9" s="223">
        <f t="shared" si="4"/>
        <v>5.0557029177718826</v>
      </c>
      <c r="AN9" s="127">
        <v>1</v>
      </c>
      <c r="AO9" s="121">
        <f t="shared" si="5"/>
        <v>505.57029177718829</v>
      </c>
      <c r="AP9" s="120">
        <f t="shared" si="6"/>
        <v>505.57029177718829</v>
      </c>
      <c r="AQ9" s="1172">
        <f>VLOOKUP(AJ9,Marination_Ordering!$A:$J,6,FALSE)</f>
        <v>1</v>
      </c>
      <c r="AR9" s="1172">
        <f>VLOOKUP(AJ9,Marination_Ordering!$A:$J,10,FALSE)</f>
        <v>43.333333333333336</v>
      </c>
      <c r="AS9" s="175">
        <f t="shared" ref="AS9:AS13" si="12">AP9/AQ9</f>
        <v>505.57029177718829</v>
      </c>
      <c r="AT9" s="1172">
        <f t="shared" ref="AT9:AT13" si="13">AR9*(AS9/1000)</f>
        <v>21.908045977011493</v>
      </c>
    </row>
    <row r="10" spans="1:46" ht="14.25" customHeight="1" x14ac:dyDescent="0.3">
      <c r="A10" s="270" t="s">
        <v>158</v>
      </c>
      <c r="B10" s="22" t="s">
        <v>164</v>
      </c>
      <c r="C10" s="124" t="s">
        <v>165</v>
      </c>
      <c r="D10" s="125">
        <v>600</v>
      </c>
      <c r="E10" s="223">
        <f t="shared" si="7"/>
        <v>21.720797720797727</v>
      </c>
      <c r="F10" s="127">
        <v>1</v>
      </c>
      <c r="G10" s="119">
        <f t="shared" si="0"/>
        <v>13032.478632478636</v>
      </c>
      <c r="H10" s="120">
        <f t="shared" si="1"/>
        <v>13032.478632478636</v>
      </c>
      <c r="I10" s="81">
        <f>VLOOKUP(B10,All_Ingredients!$A$1:$F$151,6,FALSE())</f>
        <v>1</v>
      </c>
      <c r="J10" s="119">
        <f>VLOOKUP(B10,All_Ingredients!$A$1:$J$151,10,FALSE())</f>
        <v>4.2033333333333331</v>
      </c>
      <c r="K10" s="122">
        <f t="shared" si="8"/>
        <v>13.032478632478636</v>
      </c>
      <c r="L10" s="122">
        <f t="shared" si="9"/>
        <v>54.779851851851866</v>
      </c>
      <c r="AI10" s="1" t="s">
        <v>97</v>
      </c>
      <c r="AJ10" s="323" t="s">
        <v>96</v>
      </c>
      <c r="AK10" s="334" t="s">
        <v>14</v>
      </c>
      <c r="AL10" s="125">
        <v>25</v>
      </c>
      <c r="AM10" s="223">
        <f t="shared" si="4"/>
        <v>5.0557029177718826</v>
      </c>
      <c r="AN10" s="127">
        <v>1</v>
      </c>
      <c r="AO10" s="121">
        <f t="shared" si="5"/>
        <v>126.39257294429707</v>
      </c>
      <c r="AP10" s="120">
        <f t="shared" si="6"/>
        <v>126.39257294429707</v>
      </c>
      <c r="AQ10" s="1172">
        <f>VLOOKUP(AJ10,Marination_Ordering!$A:$J,6,FALSE)</f>
        <v>1</v>
      </c>
      <c r="AR10" s="1172">
        <f>VLOOKUP(AJ10,Marination_Ordering!$A:$J,10,FALSE)</f>
        <v>0.74</v>
      </c>
      <c r="AS10" s="175">
        <f t="shared" si="12"/>
        <v>126.39257294429707</v>
      </c>
      <c r="AT10" s="1172">
        <f t="shared" si="13"/>
        <v>9.3530503978779822E-2</v>
      </c>
    </row>
    <row r="11" spans="1:46" ht="14.25" customHeight="1" x14ac:dyDescent="0.3">
      <c r="A11" s="270" t="s">
        <v>158</v>
      </c>
      <c r="B11" s="22" t="s">
        <v>171</v>
      </c>
      <c r="C11" s="124" t="s">
        <v>165</v>
      </c>
      <c r="D11" s="125">
        <v>600</v>
      </c>
      <c r="E11" s="223">
        <f t="shared" si="7"/>
        <v>21.720797720797727</v>
      </c>
      <c r="F11" s="127">
        <v>1</v>
      </c>
      <c r="G11" s="119">
        <f t="shared" si="0"/>
        <v>13032.478632478636</v>
      </c>
      <c r="H11" s="120">
        <f t="shared" si="1"/>
        <v>13032.478632478636</v>
      </c>
      <c r="I11" s="81">
        <f>VLOOKUP(B11,All_Ingredients!$A$1:$F$151,6,FALSE())</f>
        <v>1</v>
      </c>
      <c r="J11" s="119">
        <f>VLOOKUP(B11,All_Ingredients!$A$1:$J$151,10,FALSE())</f>
        <v>12.666666666666666</v>
      </c>
      <c r="K11" s="122">
        <f t="shared" si="8"/>
        <v>13.032478632478636</v>
      </c>
      <c r="L11" s="122">
        <f t="shared" si="9"/>
        <v>165.07806267806271</v>
      </c>
      <c r="AI11" s="1" t="s">
        <v>97</v>
      </c>
      <c r="AJ11" s="323" t="s">
        <v>102</v>
      </c>
      <c r="AK11" s="334" t="s">
        <v>14</v>
      </c>
      <c r="AL11" s="125">
        <v>25</v>
      </c>
      <c r="AM11" s="223">
        <f t="shared" si="4"/>
        <v>5.0557029177718826</v>
      </c>
      <c r="AN11" s="127">
        <v>1</v>
      </c>
      <c r="AO11" s="121">
        <f t="shared" si="5"/>
        <v>126.39257294429707</v>
      </c>
      <c r="AP11" s="120">
        <f t="shared" si="6"/>
        <v>126.39257294429707</v>
      </c>
      <c r="AQ11" s="1172">
        <f>VLOOKUP(AJ11,Marination_Ordering!$A:$J,6,FALSE)</f>
        <v>1</v>
      </c>
      <c r="AR11" s="1172">
        <f>VLOOKUP(AJ11,Marination_Ordering!$A:$J,10,FALSE)</f>
        <v>31</v>
      </c>
      <c r="AS11" s="175">
        <f t="shared" si="12"/>
        <v>126.39257294429707</v>
      </c>
      <c r="AT11" s="1172">
        <f t="shared" si="13"/>
        <v>3.9181697612732092</v>
      </c>
    </row>
    <row r="12" spans="1:46" ht="14.25" customHeight="1" x14ac:dyDescent="0.3">
      <c r="A12" s="270" t="s">
        <v>97</v>
      </c>
      <c r="B12" s="22" t="s">
        <v>96</v>
      </c>
      <c r="C12" s="124" t="s">
        <v>14</v>
      </c>
      <c r="D12" s="125">
        <v>5</v>
      </c>
      <c r="E12" s="223">
        <f t="shared" si="7"/>
        <v>21.720797720797727</v>
      </c>
      <c r="F12" s="127">
        <v>1</v>
      </c>
      <c r="G12" s="121">
        <f t="shared" si="0"/>
        <v>108.60398860398863</v>
      </c>
      <c r="H12" s="120">
        <f t="shared" si="1"/>
        <v>108.60398860398863</v>
      </c>
      <c r="I12" s="81">
        <f>VLOOKUP(B12,All_Ingredients!$A$1:$F$151,6,FALSE())</f>
        <v>1</v>
      </c>
      <c r="J12" s="119">
        <f>VLOOKUP(B12,All_Ingredients!$A$1:$J$151,10,FALSE())</f>
        <v>0.74</v>
      </c>
      <c r="K12" s="122">
        <f t="shared" si="8"/>
        <v>0.10860398860398862</v>
      </c>
      <c r="L12" s="122">
        <f t="shared" si="9"/>
        <v>8.0366951566951575E-2</v>
      </c>
      <c r="AI12" s="1" t="s">
        <v>97</v>
      </c>
      <c r="AJ12" s="323" t="s">
        <v>110</v>
      </c>
      <c r="AK12" s="334" t="s">
        <v>14</v>
      </c>
      <c r="AL12" s="125">
        <v>50</v>
      </c>
      <c r="AM12" s="223">
        <f t="shared" si="4"/>
        <v>5.0557029177718826</v>
      </c>
      <c r="AN12" s="127">
        <v>1</v>
      </c>
      <c r="AO12" s="121">
        <f t="shared" si="5"/>
        <v>252.78514588859414</v>
      </c>
      <c r="AP12" s="120">
        <f t="shared" si="6"/>
        <v>252.78514588859414</v>
      </c>
      <c r="AQ12" s="1172">
        <f>VLOOKUP(AJ12,Marination_Ordering!$A:$J,6,FALSE)</f>
        <v>1</v>
      </c>
      <c r="AR12" s="1172">
        <f>VLOOKUP(AJ12,Marination_Ordering!$A:$J,10,FALSE)</f>
        <v>8</v>
      </c>
      <c r="AS12" s="175">
        <f t="shared" si="12"/>
        <v>252.78514588859414</v>
      </c>
      <c r="AT12" s="1172">
        <f t="shared" si="13"/>
        <v>2.0222811671087531</v>
      </c>
    </row>
    <row r="13" spans="1:46" ht="14.25" customHeight="1" x14ac:dyDescent="0.3">
      <c r="A13" s="270" t="s">
        <v>192</v>
      </c>
      <c r="B13" s="22" t="s">
        <v>191</v>
      </c>
      <c r="C13" s="124" t="s">
        <v>14</v>
      </c>
      <c r="D13" s="125">
        <v>50</v>
      </c>
      <c r="E13" s="223">
        <f t="shared" si="7"/>
        <v>21.720797720797727</v>
      </c>
      <c r="F13" s="127">
        <v>1</v>
      </c>
      <c r="G13" s="121">
        <f t="shared" si="0"/>
        <v>1086.0398860398864</v>
      </c>
      <c r="H13" s="120">
        <f t="shared" si="1"/>
        <v>1086.0398860398864</v>
      </c>
      <c r="I13" s="81">
        <f>VLOOKUP(B13,All_Ingredients!$A$1:$F$151,6,FALSE())</f>
        <v>1</v>
      </c>
      <c r="J13" s="119">
        <f>VLOOKUP(B13,All_Ingredients!$A$1:$J$151,10,FALSE())</f>
        <v>1.7</v>
      </c>
      <c r="K13" s="122">
        <f t="shared" si="8"/>
        <v>1.0860398860398863</v>
      </c>
      <c r="L13" s="122">
        <f t="shared" si="9"/>
        <v>1.8462678062678066</v>
      </c>
      <c r="AI13" s="1" t="s">
        <v>97</v>
      </c>
      <c r="AJ13" s="323" t="s">
        <v>122</v>
      </c>
      <c r="AK13" s="334" t="s">
        <v>14</v>
      </c>
      <c r="AL13" s="125">
        <v>50</v>
      </c>
      <c r="AM13" s="223">
        <f t="shared" si="4"/>
        <v>5.0557029177718826</v>
      </c>
      <c r="AN13" s="127">
        <v>1</v>
      </c>
      <c r="AO13" s="121">
        <f t="shared" si="5"/>
        <v>252.78514588859414</v>
      </c>
      <c r="AP13" s="120">
        <f t="shared" si="6"/>
        <v>252.78514588859414</v>
      </c>
      <c r="AQ13" s="1172">
        <f>VLOOKUP(AJ13,Marination_Ordering!$A:$J,6,FALSE)</f>
        <v>1</v>
      </c>
      <c r="AR13" s="1172">
        <f>VLOOKUP(AJ13,Marination_Ordering!$A:$J,10,FALSE)</f>
        <v>15</v>
      </c>
      <c r="AS13" s="175">
        <f t="shared" si="12"/>
        <v>252.78514588859414</v>
      </c>
      <c r="AT13" s="1172">
        <f t="shared" si="13"/>
        <v>3.7917771883289122</v>
      </c>
    </row>
    <row r="14" spans="1:46" ht="14.25" customHeight="1" x14ac:dyDescent="0.3">
      <c r="A14" s="270" t="s">
        <v>158</v>
      </c>
      <c r="B14" s="22" t="s">
        <v>791</v>
      </c>
      <c r="C14" s="124" t="s">
        <v>14</v>
      </c>
      <c r="D14" s="125">
        <v>45</v>
      </c>
      <c r="E14" s="223">
        <f t="shared" si="7"/>
        <v>21.720797720797727</v>
      </c>
      <c r="F14" s="127">
        <v>1</v>
      </c>
      <c r="G14" s="121">
        <f t="shared" si="0"/>
        <v>977.43589743589769</v>
      </c>
      <c r="H14" s="120">
        <f t="shared" si="1"/>
        <v>977.43589743589769</v>
      </c>
      <c r="I14" s="81">
        <f>VLOOKUP(B14,All_Ingredients!$A$1:$F$151,6,FALSE())</f>
        <v>1</v>
      </c>
      <c r="J14" s="119">
        <f>VLOOKUP(B14,All_Ingredients!$A$1:$J$151,10,FALSE())</f>
        <v>67.91483113069016</v>
      </c>
      <c r="K14" s="122">
        <f t="shared" si="8"/>
        <v>0.97743589743589765</v>
      </c>
      <c r="L14" s="122">
        <f t="shared" si="9"/>
        <v>66.382393915433582</v>
      </c>
    </row>
    <row r="15" spans="1:46" ht="14.25" customHeight="1" x14ac:dyDescent="0.3">
      <c r="A15" s="270" t="s">
        <v>158</v>
      </c>
      <c r="B15" s="267" t="s">
        <v>157</v>
      </c>
      <c r="C15" s="124" t="s">
        <v>14</v>
      </c>
      <c r="D15" s="125">
        <v>20</v>
      </c>
      <c r="E15" s="223">
        <f t="shared" si="7"/>
        <v>21.720797720797727</v>
      </c>
      <c r="F15" s="127">
        <v>1</v>
      </c>
      <c r="G15" s="121">
        <f t="shared" si="0"/>
        <v>434.4159544159545</v>
      </c>
      <c r="H15" s="120">
        <f t="shared" si="1"/>
        <v>434.4159544159545</v>
      </c>
      <c r="I15" s="81">
        <f>VLOOKUP(B15,All_Ingredients!$A$1:$F$151,6,FALSE())</f>
        <v>1</v>
      </c>
      <c r="J15" s="119">
        <f>VLOOKUP(B15,All_Ingredients!$A$1:$J$151,10,FALSE())</f>
        <v>30</v>
      </c>
      <c r="K15" s="122">
        <f t="shared" si="8"/>
        <v>0.43441595441595449</v>
      </c>
      <c r="L15" s="122">
        <f t="shared" si="9"/>
        <v>13.032478632478634</v>
      </c>
    </row>
    <row r="18" spans="2:32" ht="14.25" customHeight="1" x14ac:dyDescent="0.3">
      <c r="L18" s="209"/>
    </row>
    <row r="19" spans="2:32" ht="14.25" customHeight="1" x14ac:dyDescent="0.3">
      <c r="L19" s="209"/>
    </row>
    <row r="20" spans="2:32" ht="14.25" customHeight="1" x14ac:dyDescent="0.3">
      <c r="L20" s="209"/>
      <c r="R20" s="5"/>
    </row>
    <row r="21" spans="2:32" ht="14.25" customHeight="1" x14ac:dyDescent="0.3">
      <c r="L21" s="209"/>
    </row>
    <row r="22" spans="2:32" ht="14.25" customHeight="1" x14ac:dyDescent="0.3">
      <c r="L22" s="209"/>
    </row>
    <row r="23" spans="2:32" ht="14.25" customHeight="1" x14ac:dyDescent="0.3">
      <c r="L23" s="209"/>
    </row>
    <row r="24" spans="2:32" ht="14.25" customHeight="1" x14ac:dyDescent="0.3">
      <c r="L24" s="209"/>
      <c r="Z24" s="1294"/>
    </row>
    <row r="25" spans="2:32" ht="14.25" customHeight="1" x14ac:dyDescent="0.35">
      <c r="L25" s="209"/>
      <c r="R25" s="1411" t="s">
        <v>493</v>
      </c>
      <c r="S25" s="1388"/>
      <c r="T25" s="1388"/>
      <c r="U25" s="1388"/>
      <c r="V25" s="1151"/>
      <c r="Z25" s="141" t="s">
        <v>264</v>
      </c>
      <c r="AA25" s="142">
        <v>38120</v>
      </c>
      <c r="AB25" s="141" t="s">
        <v>261</v>
      </c>
      <c r="AC25" s="143">
        <f>(AA25*(4/3))*AF30+(AA30*(AB28/R1))</f>
        <v>379.98932105497977</v>
      </c>
      <c r="AD25" s="14"/>
    </row>
    <row r="26" spans="2:32" ht="14.25" customHeight="1" x14ac:dyDescent="0.3">
      <c r="L26" s="209"/>
      <c r="R26" s="1423" t="s">
        <v>265</v>
      </c>
      <c r="S26" s="1388"/>
      <c r="T26" s="1388"/>
      <c r="U26" s="1388"/>
      <c r="V26" s="1151"/>
      <c r="Z26" s="14"/>
      <c r="AA26" s="14"/>
      <c r="AB26" s="14"/>
      <c r="AC26" s="14"/>
      <c r="AD26" s="14"/>
    </row>
    <row r="27" spans="2:32" ht="14.25" customHeight="1" thickBot="1" x14ac:dyDescent="0.35">
      <c r="B27" s="100"/>
      <c r="E27" s="100"/>
      <c r="F27" s="100"/>
      <c r="R27" s="145" t="s">
        <v>266</v>
      </c>
      <c r="S27" s="146" t="s">
        <v>398</v>
      </c>
      <c r="T27" s="146" t="s">
        <v>268</v>
      </c>
      <c r="U27" s="146" t="s">
        <v>269</v>
      </c>
      <c r="V27" s="146" t="s">
        <v>839</v>
      </c>
      <c r="W27" s="146" t="s">
        <v>848</v>
      </c>
      <c r="Z27" s="141" t="s">
        <v>270</v>
      </c>
      <c r="AA27" s="1185" t="s">
        <v>324</v>
      </c>
      <c r="AB27" s="147" t="s">
        <v>271</v>
      </c>
      <c r="AC27" s="147" t="s">
        <v>272</v>
      </c>
      <c r="AD27" s="147" t="s">
        <v>273</v>
      </c>
      <c r="AE27" s="1186" t="s">
        <v>848</v>
      </c>
      <c r="AF27" s="147" t="s">
        <v>274</v>
      </c>
    </row>
    <row r="28" spans="2:32" ht="14.25" customHeight="1" thickBot="1" x14ac:dyDescent="0.35">
      <c r="B28" s="100"/>
      <c r="E28" s="100"/>
      <c r="F28" s="100"/>
      <c r="R28" s="148" t="s">
        <v>275</v>
      </c>
      <c r="S28" s="149">
        <f>U28*S40</f>
        <v>28553.846153846149</v>
      </c>
      <c r="T28" s="149">
        <f>U28*U40</f>
        <v>8566.1538461538548</v>
      </c>
      <c r="U28" s="150">
        <f>Z1</f>
        <v>37120</v>
      </c>
      <c r="V28" s="149">
        <f>SUM(AP5:AP13)</f>
        <v>2072.8381962864723</v>
      </c>
      <c r="W28" s="149">
        <f>SUM(F37:F38)</f>
        <v>488</v>
      </c>
      <c r="Z28" s="151"/>
      <c r="AA28" s="1188"/>
      <c r="AB28" s="152">
        <f>AA25*$S$40</f>
        <v>29323.076923076915</v>
      </c>
      <c r="AC28" s="152">
        <f>AA25*$U$40</f>
        <v>8796.9230769230853</v>
      </c>
      <c r="AD28" s="153">
        <f>AA25*(1/3)</f>
        <v>12706.666666666666</v>
      </c>
      <c r="AE28" s="1188"/>
      <c r="AF28" s="154">
        <f>SUM(AB28:AD28)</f>
        <v>50826.666666666664</v>
      </c>
    </row>
    <row r="29" spans="2:32" ht="14.25" customHeight="1" thickBot="1" x14ac:dyDescent="0.35">
      <c r="B29" s="100"/>
      <c r="E29" s="100"/>
      <c r="F29" s="100"/>
      <c r="R29" s="148" t="s">
        <v>276</v>
      </c>
      <c r="S29" s="155"/>
      <c r="T29" s="149">
        <f>U28*(1/3)</f>
        <v>12373.333333333332</v>
      </c>
      <c r="U29" s="149">
        <f>T29</f>
        <v>12373.333333333332</v>
      </c>
      <c r="V29" s="149"/>
      <c r="W29" s="149"/>
      <c r="Z29" s="151"/>
      <c r="AA29" s="1192"/>
      <c r="AB29" s="156">
        <f>AB28/$AF$28</f>
        <v>0.57692307692307676</v>
      </c>
      <c r="AC29" s="156">
        <f>AC28/$AF$28</f>
        <v>0.17307692307692324</v>
      </c>
      <c r="AD29" s="156">
        <f>AD28/$AF$28</f>
        <v>0.25</v>
      </c>
      <c r="AE29" s="1192"/>
      <c r="AF29" s="156">
        <f>AF28/$AF$28</f>
        <v>1</v>
      </c>
    </row>
    <row r="30" spans="2:32" ht="14.25" customHeight="1" thickBot="1" x14ac:dyDescent="0.35">
      <c r="R30" s="148" t="s">
        <v>277</v>
      </c>
      <c r="S30" s="1143">
        <f>U30*S40</f>
        <v>769.23076923076906</v>
      </c>
      <c r="T30" s="149">
        <f>(U30*U40)+(U30*(1/3))</f>
        <v>564.10256410256432</v>
      </c>
      <c r="U30" s="1236">
        <f>AB1</f>
        <v>1000</v>
      </c>
      <c r="V30" s="1143"/>
      <c r="W30" s="1143"/>
      <c r="Z30" s="141" t="s">
        <v>278</v>
      </c>
      <c r="AA30" s="1196">
        <f>V35/(S32/R1)</f>
        <v>8.4268333333333348E-4</v>
      </c>
      <c r="AB30" s="157">
        <f>S35/(S32)</f>
        <v>0</v>
      </c>
      <c r="AC30" s="158">
        <f>T35/T32</f>
        <v>1.5212088818163218E-2</v>
      </c>
      <c r="AD30" s="158">
        <f>T35/T32</f>
        <v>1.5212088818163218E-2</v>
      </c>
      <c r="AE30" s="1199">
        <f>W35/U32</f>
        <v>2.0208364563034024E-4</v>
      </c>
      <c r="AF30" s="1201">
        <f>SUMPRODUCT(AB30:AD30,AB29:AD29)+AE30</f>
        <v>6.637967376391705E-3</v>
      </c>
    </row>
    <row r="31" spans="2:32" ht="14.25" customHeight="1" thickBot="1" x14ac:dyDescent="0.35">
      <c r="B31" s="100"/>
      <c r="E31" s="100"/>
      <c r="F31" s="100"/>
      <c r="R31" s="148" t="s">
        <v>279</v>
      </c>
      <c r="S31" s="155"/>
      <c r="T31" s="149"/>
      <c r="U31" s="149"/>
      <c r="V31" s="149"/>
      <c r="W31" s="149"/>
    </row>
    <row r="32" spans="2:32" ht="14.25" customHeight="1" thickBot="1" x14ac:dyDescent="0.35">
      <c r="B32" s="100"/>
      <c r="E32" s="100"/>
      <c r="F32" s="100"/>
      <c r="R32" s="160" t="s">
        <v>269</v>
      </c>
      <c r="S32" s="149">
        <f>SUM(S28:S30)</f>
        <v>29323.076923076918</v>
      </c>
      <c r="T32" s="149">
        <f>SUM(T28:T30)</f>
        <v>21503.58974358975</v>
      </c>
      <c r="U32" s="149">
        <f>SUM(S32:T32)</f>
        <v>50826.666666666672</v>
      </c>
      <c r="V32" s="149"/>
      <c r="W32" s="149">
        <f>SUM(W28:W30)</f>
        <v>488</v>
      </c>
    </row>
    <row r="33" spans="2:23" ht="14.25" customHeight="1" thickBot="1" x14ac:dyDescent="0.35">
      <c r="B33" s="100"/>
      <c r="E33" s="100"/>
      <c r="F33" s="100"/>
      <c r="R33" s="161" t="s">
        <v>280</v>
      </c>
      <c r="S33" s="155"/>
      <c r="T33" s="155"/>
      <c r="U33" s="155"/>
      <c r="V33" s="155"/>
      <c r="W33" s="155"/>
    </row>
    <row r="34" spans="2:23" ht="14.25" customHeight="1" thickBot="1" x14ac:dyDescent="0.35">
      <c r="B34" s="100"/>
      <c r="E34" s="100"/>
      <c r="F34" s="100"/>
      <c r="R34" s="162" t="s">
        <v>281</v>
      </c>
      <c r="S34" s="155"/>
      <c r="T34" s="149"/>
      <c r="U34" s="155"/>
      <c r="V34" s="155"/>
      <c r="W34" s="155"/>
    </row>
    <row r="35" spans="2:23" ht="14.25" customHeight="1" thickBot="1" x14ac:dyDescent="0.35">
      <c r="B35" s="1412" t="s">
        <v>728</v>
      </c>
      <c r="C35" s="1412"/>
      <c r="D35" s="1412"/>
      <c r="E35" s="1412"/>
      <c r="F35" s="1412"/>
      <c r="G35" s="889"/>
      <c r="H35" s="889"/>
      <c r="I35" s="889"/>
      <c r="J35" s="889"/>
      <c r="K35" s="889"/>
      <c r="L35" s="889"/>
      <c r="R35" s="163" t="s">
        <v>261</v>
      </c>
      <c r="S35" s="1144">
        <f>$L$5</f>
        <v>0</v>
      </c>
      <c r="T35" s="1326">
        <f>SUM(L6:L15)</f>
        <v>327.11451708883089</v>
      </c>
      <c r="U35" s="1203">
        <f>S35+T35+V35+W35</f>
        <v>379.98932105497971</v>
      </c>
      <c r="V35" s="1203">
        <f>SUM(AT6:AT13)</f>
        <v>42.6035658709107</v>
      </c>
      <c r="W35" s="1222">
        <f>SUM(L37:L38)</f>
        <v>10.271238095238095</v>
      </c>
    </row>
    <row r="36" spans="2:23" ht="46.5" x14ac:dyDescent="0.3">
      <c r="B36" s="860" t="s">
        <v>253</v>
      </c>
      <c r="C36" s="860" t="s">
        <v>329</v>
      </c>
      <c r="D36" s="862" t="s">
        <v>671</v>
      </c>
      <c r="E36" s="859" t="s">
        <v>672</v>
      </c>
      <c r="F36" s="862" t="s">
        <v>673</v>
      </c>
      <c r="G36" s="882"/>
      <c r="H36" s="862" t="s">
        <v>673</v>
      </c>
      <c r="I36" s="862" t="s">
        <v>258</v>
      </c>
      <c r="J36" s="862" t="s">
        <v>259</v>
      </c>
      <c r="K36" s="862" t="s">
        <v>260</v>
      </c>
      <c r="L36" s="862" t="s">
        <v>261</v>
      </c>
    </row>
    <row r="37" spans="2:23" x14ac:dyDescent="0.3">
      <c r="B37" s="855" t="s">
        <v>182</v>
      </c>
      <c r="C37" s="856" t="s">
        <v>14</v>
      </c>
      <c r="D37" s="857">
        <v>1</v>
      </c>
      <c r="E37" s="855">
        <f>$AD$1</f>
        <v>244</v>
      </c>
      <c r="F37" s="855">
        <f>D37*E37</f>
        <v>244</v>
      </c>
      <c r="G37" s="881"/>
      <c r="H37" s="855">
        <f>F37</f>
        <v>244</v>
      </c>
      <c r="I37" s="855">
        <f>VLOOKUP(B37,All_Ingredients!$A$1:$F$151,6,FALSE())</f>
        <v>1</v>
      </c>
      <c r="J37" s="855">
        <f>VLOOKUP(B37,All_Ingredients!$A$1:$J$151,10,FALSE())</f>
        <v>39</v>
      </c>
      <c r="K37" s="855">
        <f>(H37/I37)/1000</f>
        <v>0.24399999999999999</v>
      </c>
      <c r="L37" s="855">
        <f>K37*J37</f>
        <v>9.516</v>
      </c>
    </row>
    <row r="38" spans="2:23" x14ac:dyDescent="0.3">
      <c r="B38" s="855" t="s">
        <v>19</v>
      </c>
      <c r="C38" s="856" t="s">
        <v>14</v>
      </c>
      <c r="D38" s="857">
        <v>1</v>
      </c>
      <c r="E38" s="855">
        <f>$AD$1</f>
        <v>244</v>
      </c>
      <c r="F38" s="855">
        <f>D38*E38</f>
        <v>244</v>
      </c>
      <c r="G38" s="881"/>
      <c r="H38" s="855">
        <f>F38</f>
        <v>244</v>
      </c>
      <c r="I38" s="855">
        <f>VLOOKUP(B38,All_Ingredients!$A$1:$F$151,6,FALSE())</f>
        <v>0.84</v>
      </c>
      <c r="J38" s="855">
        <f>VLOOKUP(B38,All_Ingredients!$A$1:$J$151,10,FALSE())</f>
        <v>2.6</v>
      </c>
      <c r="K38" s="855">
        <f>(H38/I38)/1000</f>
        <v>0.2904761904761905</v>
      </c>
      <c r="L38" s="855">
        <f>K38*J38</f>
        <v>0.75523809523809537</v>
      </c>
    </row>
    <row r="40" spans="2:23" ht="15.75" customHeight="1" x14ac:dyDescent="0.3">
      <c r="Q40" s="14"/>
      <c r="R40" s="165" t="s">
        <v>282</v>
      </c>
      <c r="S40" s="166">
        <v>0.76923076923076905</v>
      </c>
      <c r="T40" s="165" t="s">
        <v>283</v>
      </c>
      <c r="U40" s="167">
        <v>0.230769230769231</v>
      </c>
      <c r="V40" s="168">
        <f>S40+U40</f>
        <v>1</v>
      </c>
      <c r="W40" s="14"/>
    </row>
    <row r="41" spans="2:23" ht="14.25" customHeight="1" x14ac:dyDescent="0.3">
      <c r="Q41" s="14"/>
      <c r="R41" s="14"/>
      <c r="S41" s="14"/>
      <c r="T41" s="14"/>
      <c r="U41" s="169"/>
      <c r="V41" s="14"/>
      <c r="W41" s="14"/>
    </row>
    <row r="42" spans="2:23" ht="14.25" customHeight="1" x14ac:dyDescent="0.3">
      <c r="Q42" s="14"/>
      <c r="R42" s="14"/>
      <c r="S42" s="14"/>
      <c r="T42" s="14"/>
      <c r="U42" s="14"/>
      <c r="V42" s="14"/>
      <c r="W42" s="14"/>
    </row>
    <row r="43" spans="2:23" ht="14.25" customHeight="1" thickBot="1" x14ac:dyDescent="0.35">
      <c r="Q43" s="170" t="s">
        <v>284</v>
      </c>
      <c r="R43" s="170" t="s">
        <v>285</v>
      </c>
      <c r="S43" s="170" t="s">
        <v>286</v>
      </c>
      <c r="T43" s="170" t="s">
        <v>287</v>
      </c>
      <c r="U43" s="170" t="s">
        <v>288</v>
      </c>
      <c r="V43" s="170" t="s">
        <v>289</v>
      </c>
      <c r="W43" s="170" t="s">
        <v>290</v>
      </c>
    </row>
    <row r="44" spans="2:23" ht="12.75" customHeight="1" thickBot="1" x14ac:dyDescent="0.35">
      <c r="Q44" s="1494">
        <v>17728</v>
      </c>
      <c r="R44" s="173">
        <f>D51</f>
        <v>10000</v>
      </c>
      <c r="S44" s="1496">
        <v>0.40909090909090912</v>
      </c>
      <c r="T44" s="1496">
        <v>0.59090909090909094</v>
      </c>
      <c r="U44" s="242">
        <f>R44*S44</f>
        <v>4090.909090909091</v>
      </c>
      <c r="V44" s="176">
        <f>R44*T44</f>
        <v>5909.090909090909</v>
      </c>
      <c r="W44" s="176">
        <f>Q44-U44</f>
        <v>13637.090909090908</v>
      </c>
    </row>
    <row r="50" spans="1:10" x14ac:dyDescent="0.3">
      <c r="B50" s="276"/>
      <c r="C50" s="145" t="s">
        <v>245</v>
      </c>
      <c r="D50" s="145" t="s">
        <v>291</v>
      </c>
      <c r="E50" s="100"/>
      <c r="F50" s="100"/>
      <c r="G50" s="145" t="s">
        <v>292</v>
      </c>
      <c r="H50" s="145" t="s">
        <v>245</v>
      </c>
      <c r="I50" s="145" t="s">
        <v>293</v>
      </c>
      <c r="J50" s="145" t="s">
        <v>294</v>
      </c>
    </row>
    <row r="51" spans="1:10" ht="14.25" customHeight="1" x14ac:dyDescent="0.3">
      <c r="B51" s="180" t="s">
        <v>295</v>
      </c>
      <c r="C51" s="181">
        <f>10/$K$1</f>
        <v>10.1010101010101</v>
      </c>
      <c r="D51" s="182">
        <f>$C$1*10</f>
        <v>10000</v>
      </c>
      <c r="E51" s="183"/>
      <c r="F51" s="100"/>
      <c r="G51" s="180" t="s">
        <v>295</v>
      </c>
      <c r="H51" s="277">
        <f>I51/$D$5</f>
        <v>10</v>
      </c>
      <c r="I51" s="181">
        <f>J51/$R$1</f>
        <v>23512.225705329154</v>
      </c>
      <c r="J51" s="181">
        <f>$W$44</f>
        <v>13637.090909090908</v>
      </c>
    </row>
    <row r="52" spans="1:10" ht="14.25" customHeight="1" x14ac:dyDescent="0.3">
      <c r="B52" s="231" t="s">
        <v>274</v>
      </c>
      <c r="C52" s="232">
        <f>$I$1</f>
        <v>21.720797720797727</v>
      </c>
      <c r="D52" s="233">
        <f>$E$1</f>
        <v>21503.58974358975</v>
      </c>
      <c r="E52" s="100"/>
      <c r="F52" s="100"/>
      <c r="G52" s="148" t="s">
        <v>274</v>
      </c>
      <c r="H52" s="210">
        <f>I52/$D$5</f>
        <v>21.502442946632584</v>
      </c>
      <c r="I52" s="176">
        <f>J52/$R$1</f>
        <v>50557.029177718825</v>
      </c>
      <c r="J52" s="184">
        <f>$S$32</f>
        <v>29323.076923076918</v>
      </c>
    </row>
    <row r="53" spans="1:10" ht="14.25" customHeight="1" x14ac:dyDescent="0.3">
      <c r="B53" s="231" t="s">
        <v>296</v>
      </c>
      <c r="C53" s="234">
        <f>MIN(C52, C51)</f>
        <v>10.1010101010101</v>
      </c>
      <c r="D53" s="233">
        <f>(C53*$K$1)*$C$1</f>
        <v>10000</v>
      </c>
      <c r="E53" s="100"/>
      <c r="F53" s="100"/>
      <c r="G53" s="148" t="s">
        <v>296</v>
      </c>
      <c r="H53" s="187">
        <f>MIN(H52,H51)</f>
        <v>10</v>
      </c>
      <c r="I53" s="176">
        <f>J53/$R$1</f>
        <v>23512.225705329154</v>
      </c>
      <c r="J53" s="176">
        <f>MIN(J52,J51)</f>
        <v>13637.090909090908</v>
      </c>
    </row>
    <row r="54" spans="1:10" ht="14.25" customHeight="1" x14ac:dyDescent="0.3">
      <c r="B54" s="231" t="s">
        <v>297</v>
      </c>
      <c r="C54" s="234">
        <f>MIN(MAX(C52-C53,0),C51)</f>
        <v>10.1010101010101</v>
      </c>
      <c r="D54" s="233">
        <f>(C54*$K$1)*$C$1</f>
        <v>10000</v>
      </c>
      <c r="E54" s="100"/>
      <c r="F54" s="100"/>
      <c r="G54" s="148" t="s">
        <v>297</v>
      </c>
      <c r="H54" s="187">
        <f>MIN(MAX(H52-H53),H51)</f>
        <v>10</v>
      </c>
      <c r="I54" s="176">
        <f>J54/$R$1</f>
        <v>23512.225705329154</v>
      </c>
      <c r="J54" s="176">
        <f>MIN(MAX(J52-J53),J51)</f>
        <v>13637.090909090908</v>
      </c>
    </row>
    <row r="55" spans="1:10" ht="14.25" customHeight="1" x14ac:dyDescent="0.3">
      <c r="B55" s="231" t="s">
        <v>298</v>
      </c>
      <c r="C55" s="234">
        <f>MIN(MAX(C52-C53-C54,0),C51)</f>
        <v>1.5187775187775259</v>
      </c>
      <c r="D55" s="233">
        <f>(C55*$K$1)*$C$1</f>
        <v>1503.5897435897505</v>
      </c>
      <c r="E55" s="100"/>
      <c r="F55" s="100"/>
      <c r="G55" s="145" t="s">
        <v>298</v>
      </c>
      <c r="H55" s="187">
        <f>MIN(MAX(H52-H53-H54),H51)</f>
        <v>1.5024429466325842</v>
      </c>
      <c r="I55" s="176">
        <f>J55/$R$1</f>
        <v>3532.5777670605212</v>
      </c>
      <c r="J55" s="176">
        <f>MIN(MAX(J52-J53-J54),J51)</f>
        <v>2048.8951048951021</v>
      </c>
    </row>
    <row r="56" spans="1:10" ht="14.25" customHeight="1" x14ac:dyDescent="0.3"/>
    <row r="62" spans="1:10" ht="17.75" customHeight="1" x14ac:dyDescent="0.3">
      <c r="A62" s="938"/>
      <c r="B62" s="1382" t="str">
        <f>"كرات اللحم الفرنسية   1 / " &amp; COUNTIF($C$53:$C$55, "&gt;0")</f>
        <v>كرات اللحم الفرنسية   1 / 3</v>
      </c>
      <c r="C62" s="1383"/>
      <c r="D62" s="1383"/>
      <c r="E62" s="1383"/>
      <c r="F62" s="1383"/>
      <c r="G62" s="1383"/>
      <c r="H62" s="1383"/>
    </row>
    <row r="63" spans="1:10" ht="17.75" customHeight="1" x14ac:dyDescent="0.3">
      <c r="A63" s="938"/>
      <c r="B63" s="1384" t="str">
        <f>"French Meatball   1 / " &amp; COUNTIF($C$53:$C$55, "&gt;0")</f>
        <v>French Meatball   1 / 3</v>
      </c>
      <c r="C63" s="1385"/>
      <c r="D63" s="1385"/>
      <c r="E63" s="1385"/>
      <c r="F63" s="1385"/>
      <c r="G63" s="1385"/>
      <c r="H63" s="1385"/>
    </row>
    <row r="64" spans="1:10" ht="41" customHeight="1" x14ac:dyDescent="0.3">
      <c r="A64" s="91"/>
      <c r="B64" s="91" t="s">
        <v>253</v>
      </c>
      <c r="C64" s="107" t="s">
        <v>254</v>
      </c>
      <c r="D64" s="91" t="s">
        <v>243</v>
      </c>
      <c r="E64" s="108" t="s">
        <v>246</v>
      </c>
      <c r="F64" s="108" t="s">
        <v>255</v>
      </c>
      <c r="G64" s="91" t="s">
        <v>256</v>
      </c>
      <c r="H64" s="218" t="s">
        <v>257</v>
      </c>
    </row>
    <row r="65" spans="1:8" ht="14.25" customHeight="1" x14ac:dyDescent="0.3">
      <c r="A65" s="270" t="s">
        <v>230</v>
      </c>
      <c r="B65" s="124" t="str">
        <f t="shared" ref="B65:D75" si="14">B5</f>
        <v>Indian Meat Tammam Mafroom - مفروم هندى</v>
      </c>
      <c r="C65" s="124" t="str">
        <f t="shared" si="14"/>
        <v>gm</v>
      </c>
      <c r="D65" s="120">
        <f t="shared" si="14"/>
        <v>2351.2225705329156</v>
      </c>
      <c r="E65" s="197">
        <f>H53</f>
        <v>10</v>
      </c>
      <c r="F65" s="127">
        <f t="shared" ref="F65:F75" si="15">F5</f>
        <v>1</v>
      </c>
      <c r="G65" s="119">
        <f t="shared" ref="G65:G75" si="16">D65*E65</f>
        <v>23512.225705329154</v>
      </c>
      <c r="H65" s="120">
        <f t="shared" ref="H65:H75" si="17">G65*F65</f>
        <v>23512.225705329154</v>
      </c>
    </row>
    <row r="66" spans="1:8" ht="14.25" customHeight="1" x14ac:dyDescent="0.3">
      <c r="A66" s="270" t="s">
        <v>13</v>
      </c>
      <c r="B66" s="124" t="str">
        <f t="shared" si="14"/>
        <v>Green Onion - بصل أخضر</v>
      </c>
      <c r="C66" s="124" t="str">
        <f t="shared" si="14"/>
        <v>gm</v>
      </c>
      <c r="D66" s="124">
        <f t="shared" si="14"/>
        <v>150</v>
      </c>
      <c r="E66" s="197">
        <f t="shared" ref="E66:E75" si="18">$C$53</f>
        <v>10.1010101010101</v>
      </c>
      <c r="F66" s="127">
        <f t="shared" si="15"/>
        <v>1</v>
      </c>
      <c r="G66" s="119">
        <f t="shared" si="16"/>
        <v>1515.151515151515</v>
      </c>
      <c r="H66" s="120">
        <f t="shared" si="17"/>
        <v>1515.151515151515</v>
      </c>
    </row>
    <row r="67" spans="1:8" ht="14.25" customHeight="1" x14ac:dyDescent="0.3">
      <c r="A67" s="270" t="s">
        <v>13</v>
      </c>
      <c r="B67" s="124" t="str">
        <f t="shared" si="14"/>
        <v>Garlic - ثوم مقشر</v>
      </c>
      <c r="C67" s="124" t="str">
        <f t="shared" si="14"/>
        <v>gm</v>
      </c>
      <c r="D67" s="124">
        <f t="shared" si="14"/>
        <v>30</v>
      </c>
      <c r="E67" s="197">
        <f t="shared" si="18"/>
        <v>10.1010101010101</v>
      </c>
      <c r="F67" s="127">
        <f t="shared" si="15"/>
        <v>1</v>
      </c>
      <c r="G67" s="119">
        <f t="shared" si="16"/>
        <v>303.030303030303</v>
      </c>
      <c r="H67" s="120">
        <f t="shared" si="17"/>
        <v>303.030303030303</v>
      </c>
    </row>
    <row r="68" spans="1:8" ht="14.25" customHeight="1" x14ac:dyDescent="0.3">
      <c r="A68" s="270" t="s">
        <v>97</v>
      </c>
      <c r="B68" s="124" t="str">
        <f t="shared" si="14"/>
        <v>White Pepper - فلفل أبيض</v>
      </c>
      <c r="C68" s="124" t="str">
        <f t="shared" si="14"/>
        <v>gm</v>
      </c>
      <c r="D68" s="124">
        <f t="shared" si="14"/>
        <v>6</v>
      </c>
      <c r="E68" s="197">
        <f t="shared" si="18"/>
        <v>10.1010101010101</v>
      </c>
      <c r="F68" s="127">
        <f t="shared" si="15"/>
        <v>0.75</v>
      </c>
      <c r="G68" s="119">
        <f t="shared" si="16"/>
        <v>60.606060606060602</v>
      </c>
      <c r="H68" s="120">
        <f t="shared" si="17"/>
        <v>45.454545454545453</v>
      </c>
    </row>
    <row r="69" spans="1:8" ht="14.25" customHeight="1" x14ac:dyDescent="0.3">
      <c r="A69" s="270" t="s">
        <v>97</v>
      </c>
      <c r="B69" s="124" t="str">
        <f t="shared" si="14"/>
        <v>Maggi Cubes - مكعبات ماجي</v>
      </c>
      <c r="C69" s="124" t="str">
        <f t="shared" si="14"/>
        <v>gm</v>
      </c>
      <c r="D69" s="124">
        <f t="shared" si="14"/>
        <v>10</v>
      </c>
      <c r="E69" s="197">
        <f t="shared" si="18"/>
        <v>10.1010101010101</v>
      </c>
      <c r="F69" s="127">
        <f t="shared" si="15"/>
        <v>0.9</v>
      </c>
      <c r="G69" s="119">
        <f t="shared" si="16"/>
        <v>101.01010101010101</v>
      </c>
      <c r="H69" s="120">
        <f t="shared" si="17"/>
        <v>90.909090909090907</v>
      </c>
    </row>
    <row r="70" spans="1:8" ht="14.25" customHeight="1" x14ac:dyDescent="0.3">
      <c r="A70" s="270" t="s">
        <v>158</v>
      </c>
      <c r="B70" s="124" t="str">
        <f t="shared" si="14"/>
        <v>Milk - حليب</v>
      </c>
      <c r="C70" s="124" t="str">
        <f t="shared" si="14"/>
        <v>ml</v>
      </c>
      <c r="D70" s="124">
        <f t="shared" si="14"/>
        <v>600</v>
      </c>
      <c r="E70" s="197">
        <f t="shared" si="18"/>
        <v>10.1010101010101</v>
      </c>
      <c r="F70" s="127">
        <f t="shared" si="15"/>
        <v>1</v>
      </c>
      <c r="G70" s="119">
        <f t="shared" si="16"/>
        <v>6060.6060606060601</v>
      </c>
      <c r="H70" s="120">
        <f t="shared" si="17"/>
        <v>6060.6060606060601</v>
      </c>
    </row>
    <row r="71" spans="1:8" ht="14.25" customHeight="1" x14ac:dyDescent="0.3">
      <c r="A71" s="270" t="s">
        <v>158</v>
      </c>
      <c r="B71" s="124" t="str">
        <f t="shared" si="14"/>
        <v>Cooking Cream - كريمة طبخ</v>
      </c>
      <c r="C71" s="124" t="str">
        <f t="shared" si="14"/>
        <v>ml</v>
      </c>
      <c r="D71" s="124">
        <f t="shared" si="14"/>
        <v>600</v>
      </c>
      <c r="E71" s="197">
        <f t="shared" si="18"/>
        <v>10.1010101010101</v>
      </c>
      <c r="F71" s="127">
        <f t="shared" si="15"/>
        <v>1</v>
      </c>
      <c r="G71" s="119">
        <f t="shared" si="16"/>
        <v>6060.6060606060601</v>
      </c>
      <c r="H71" s="120">
        <f t="shared" si="17"/>
        <v>6060.6060606060601</v>
      </c>
    </row>
    <row r="72" spans="1:8" ht="14.25" customHeight="1" x14ac:dyDescent="0.3">
      <c r="A72" s="270" t="s">
        <v>97</v>
      </c>
      <c r="B72" s="124" t="str">
        <f t="shared" si="14"/>
        <v>Salt - ملح</v>
      </c>
      <c r="C72" s="124" t="str">
        <f t="shared" si="14"/>
        <v>gm</v>
      </c>
      <c r="D72" s="124">
        <f t="shared" si="14"/>
        <v>5</v>
      </c>
      <c r="E72" s="197">
        <f t="shared" si="18"/>
        <v>10.1010101010101</v>
      </c>
      <c r="F72" s="127">
        <f t="shared" si="15"/>
        <v>1</v>
      </c>
      <c r="G72" s="119">
        <f t="shared" si="16"/>
        <v>50.505050505050505</v>
      </c>
      <c r="H72" s="120">
        <f t="shared" si="17"/>
        <v>50.505050505050505</v>
      </c>
    </row>
    <row r="73" spans="1:8" ht="14.25" customHeight="1" x14ac:dyDescent="0.3">
      <c r="A73" s="270" t="s">
        <v>192</v>
      </c>
      <c r="B73" s="124" t="str">
        <f t="shared" si="14"/>
        <v>Flour - دقيق</v>
      </c>
      <c r="C73" s="124" t="str">
        <f t="shared" si="14"/>
        <v>gm</v>
      </c>
      <c r="D73" s="124">
        <f t="shared" si="14"/>
        <v>50</v>
      </c>
      <c r="E73" s="197">
        <f t="shared" si="18"/>
        <v>10.1010101010101</v>
      </c>
      <c r="F73" s="127">
        <f t="shared" si="15"/>
        <v>1</v>
      </c>
      <c r="G73" s="119">
        <f t="shared" si="16"/>
        <v>505.05050505050502</v>
      </c>
      <c r="H73" s="120">
        <f t="shared" si="17"/>
        <v>505.05050505050502</v>
      </c>
    </row>
    <row r="74" spans="1:8" ht="14.25" customHeight="1" x14ac:dyDescent="0.3">
      <c r="A74" s="270" t="s">
        <v>158</v>
      </c>
      <c r="B74" s="124" t="str">
        <f t="shared" si="14"/>
        <v>Parmesan Cheese Powder - بديل البارميزان</v>
      </c>
      <c r="C74" s="124" t="str">
        <f t="shared" si="14"/>
        <v>gm</v>
      </c>
      <c r="D74" s="124">
        <f t="shared" si="14"/>
        <v>45</v>
      </c>
      <c r="E74" s="197">
        <f t="shared" si="18"/>
        <v>10.1010101010101</v>
      </c>
      <c r="F74" s="127">
        <f t="shared" si="15"/>
        <v>1</v>
      </c>
      <c r="G74" s="119">
        <f t="shared" si="16"/>
        <v>454.5454545454545</v>
      </c>
      <c r="H74" s="120">
        <f t="shared" si="17"/>
        <v>454.5454545454545</v>
      </c>
    </row>
    <row r="75" spans="1:8" ht="14.25" customHeight="1" x14ac:dyDescent="0.3">
      <c r="A75" s="270" t="s">
        <v>158</v>
      </c>
      <c r="B75" s="124" t="str">
        <f t="shared" si="14"/>
        <v>Butter - زبدة</v>
      </c>
      <c r="C75" s="124" t="str">
        <f t="shared" si="14"/>
        <v>gm</v>
      </c>
      <c r="D75" s="124">
        <f t="shared" si="14"/>
        <v>20</v>
      </c>
      <c r="E75" s="197">
        <f t="shared" si="18"/>
        <v>10.1010101010101</v>
      </c>
      <c r="F75" s="127">
        <f t="shared" si="15"/>
        <v>1</v>
      </c>
      <c r="G75" s="119">
        <f t="shared" si="16"/>
        <v>202.02020202020202</v>
      </c>
      <c r="H75" s="120">
        <f t="shared" si="17"/>
        <v>202.02020202020202</v>
      </c>
    </row>
    <row r="76" spans="1:8" ht="20.25" customHeight="1" x14ac:dyDescent="0.3">
      <c r="A76" s="211"/>
      <c r="B76" s="198" t="s">
        <v>299</v>
      </c>
      <c r="C76" s="200" t="s">
        <v>285</v>
      </c>
      <c r="D76" s="14"/>
      <c r="E76" s="200" t="s">
        <v>300</v>
      </c>
      <c r="F76" s="14"/>
      <c r="G76" s="890" t="s">
        <v>276</v>
      </c>
      <c r="H76" s="890" t="s">
        <v>733</v>
      </c>
    </row>
    <row r="77" spans="1:8" ht="20.75" customHeight="1" x14ac:dyDescent="0.4">
      <c r="A77" s="211"/>
      <c r="B77" s="199">
        <f>$J$53</f>
        <v>13637.090909090908</v>
      </c>
      <c r="C77" s="199">
        <f>E77+G77</f>
        <v>10000</v>
      </c>
      <c r="D77" s="930"/>
      <c r="E77" s="199">
        <f>$D$53*$S$44</f>
        <v>4090.909090909091</v>
      </c>
      <c r="F77" s="934"/>
      <c r="G77" s="199">
        <f>$D$53*$T$44</f>
        <v>5909.090909090909</v>
      </c>
      <c r="H77" s="199">
        <f>B77+E77</f>
        <v>17728</v>
      </c>
    </row>
    <row r="78" spans="1:8" ht="14.25" customHeight="1" x14ac:dyDescent="0.3">
      <c r="B78" s="100"/>
      <c r="C78" s="208"/>
      <c r="D78" s="209"/>
      <c r="E78" s="100"/>
      <c r="F78" s="100"/>
    </row>
    <row r="79" spans="1:8" ht="17.75" customHeight="1" x14ac:dyDescent="0.3">
      <c r="A79" s="938"/>
      <c r="B79" s="1382" t="str">
        <f>"كرات اللحم الفرنسية   2 / " &amp; COUNTIF($C$53:$C$55, "&gt;0")</f>
        <v>كرات اللحم الفرنسية   2 / 3</v>
      </c>
      <c r="C79" s="1383"/>
      <c r="D79" s="1383"/>
      <c r="E79" s="1383"/>
      <c r="F79" s="1383"/>
      <c r="G79" s="1383"/>
      <c r="H79" s="1383"/>
    </row>
    <row r="80" spans="1:8" ht="17.75" customHeight="1" x14ac:dyDescent="0.3">
      <c r="A80" s="938"/>
      <c r="B80" s="1384" t="str">
        <f>"French Meatball   2 / " &amp; COUNTIF($C$53:$C$55, "&gt;0")</f>
        <v>French Meatball   2 / 3</v>
      </c>
      <c r="C80" s="1385"/>
      <c r="D80" s="1385"/>
      <c r="E80" s="1385"/>
      <c r="F80" s="1385"/>
      <c r="G80" s="1385"/>
      <c r="H80" s="1385"/>
    </row>
    <row r="81" spans="1:10" ht="51.5" customHeight="1" x14ac:dyDescent="0.3">
      <c r="A81" s="91"/>
      <c r="B81" s="91" t="s">
        <v>253</v>
      </c>
      <c r="C81" s="107" t="s">
        <v>254</v>
      </c>
      <c r="D81" s="91" t="s">
        <v>243</v>
      </c>
      <c r="E81" s="108" t="s">
        <v>246</v>
      </c>
      <c r="F81" s="108" t="s">
        <v>255</v>
      </c>
      <c r="G81" s="91" t="s">
        <v>256</v>
      </c>
      <c r="H81" s="218" t="s">
        <v>257</v>
      </c>
    </row>
    <row r="82" spans="1:10" ht="14.25" customHeight="1" x14ac:dyDescent="0.3">
      <c r="A82" s="270" t="s">
        <v>230</v>
      </c>
      <c r="B82" s="124" t="str">
        <f t="shared" ref="B82:D92" si="19">B5</f>
        <v>Indian Meat Tammam Mafroom - مفروم هندى</v>
      </c>
      <c r="C82" s="124" t="str">
        <f t="shared" si="19"/>
        <v>gm</v>
      </c>
      <c r="D82" s="120">
        <f t="shared" si="19"/>
        <v>2351.2225705329156</v>
      </c>
      <c r="E82" s="223">
        <f>H54</f>
        <v>10</v>
      </c>
      <c r="F82" s="127">
        <f t="shared" ref="F82:F92" si="20">F5</f>
        <v>1</v>
      </c>
      <c r="G82" s="119">
        <f t="shared" ref="G82:G92" si="21">D82*E82</f>
        <v>23512.225705329154</v>
      </c>
      <c r="H82" s="120">
        <f t="shared" ref="H82:H92" si="22">G82*F82</f>
        <v>23512.225705329154</v>
      </c>
    </row>
    <row r="83" spans="1:10" ht="14.25" customHeight="1" x14ac:dyDescent="0.3">
      <c r="A83" s="270" t="s">
        <v>13</v>
      </c>
      <c r="B83" s="124" t="str">
        <f t="shared" si="19"/>
        <v>Green Onion - بصل أخضر</v>
      </c>
      <c r="C83" s="124" t="str">
        <f t="shared" si="19"/>
        <v>gm</v>
      </c>
      <c r="D83" s="124">
        <f t="shared" si="19"/>
        <v>150</v>
      </c>
      <c r="E83" s="223">
        <f t="shared" ref="E83:E92" si="23">$C$54</f>
        <v>10.1010101010101</v>
      </c>
      <c r="F83" s="127">
        <f t="shared" si="20"/>
        <v>1</v>
      </c>
      <c r="G83" s="119">
        <f t="shared" si="21"/>
        <v>1515.151515151515</v>
      </c>
      <c r="H83" s="120">
        <f t="shared" si="22"/>
        <v>1515.151515151515</v>
      </c>
    </row>
    <row r="84" spans="1:10" ht="14.25" customHeight="1" x14ac:dyDescent="0.3">
      <c r="A84" s="270" t="s">
        <v>13</v>
      </c>
      <c r="B84" s="124" t="str">
        <f t="shared" si="19"/>
        <v>Garlic - ثوم مقشر</v>
      </c>
      <c r="C84" s="124" t="str">
        <f t="shared" si="19"/>
        <v>gm</v>
      </c>
      <c r="D84" s="124">
        <f t="shared" si="19"/>
        <v>30</v>
      </c>
      <c r="E84" s="223">
        <f t="shared" si="23"/>
        <v>10.1010101010101</v>
      </c>
      <c r="F84" s="127">
        <f t="shared" si="20"/>
        <v>1</v>
      </c>
      <c r="G84" s="119">
        <f t="shared" si="21"/>
        <v>303.030303030303</v>
      </c>
      <c r="H84" s="120">
        <f t="shared" si="22"/>
        <v>303.030303030303</v>
      </c>
    </row>
    <row r="85" spans="1:10" ht="14.25" customHeight="1" x14ac:dyDescent="0.3">
      <c r="A85" s="270" t="s">
        <v>97</v>
      </c>
      <c r="B85" s="124" t="str">
        <f t="shared" si="19"/>
        <v>White Pepper - فلفل أبيض</v>
      </c>
      <c r="C85" s="124" t="str">
        <f t="shared" si="19"/>
        <v>gm</v>
      </c>
      <c r="D85" s="124">
        <f t="shared" si="19"/>
        <v>6</v>
      </c>
      <c r="E85" s="223">
        <f t="shared" si="23"/>
        <v>10.1010101010101</v>
      </c>
      <c r="F85" s="127">
        <f t="shared" si="20"/>
        <v>0.75</v>
      </c>
      <c r="G85" s="119">
        <f t="shared" si="21"/>
        <v>60.606060606060602</v>
      </c>
      <c r="H85" s="120">
        <f t="shared" si="22"/>
        <v>45.454545454545453</v>
      </c>
    </row>
    <row r="86" spans="1:10" ht="14.25" customHeight="1" x14ac:dyDescent="0.3">
      <c r="A86" s="270" t="s">
        <v>97</v>
      </c>
      <c r="B86" s="124" t="str">
        <f t="shared" si="19"/>
        <v>Maggi Cubes - مكعبات ماجي</v>
      </c>
      <c r="C86" s="124" t="str">
        <f t="shared" si="19"/>
        <v>gm</v>
      </c>
      <c r="D86" s="124">
        <f t="shared" si="19"/>
        <v>10</v>
      </c>
      <c r="E86" s="223">
        <f t="shared" si="23"/>
        <v>10.1010101010101</v>
      </c>
      <c r="F86" s="127">
        <f t="shared" si="20"/>
        <v>0.9</v>
      </c>
      <c r="G86" s="119">
        <f t="shared" si="21"/>
        <v>101.01010101010101</v>
      </c>
      <c r="H86" s="120">
        <f t="shared" si="22"/>
        <v>90.909090909090907</v>
      </c>
    </row>
    <row r="87" spans="1:10" ht="14.25" customHeight="1" x14ac:dyDescent="0.3">
      <c r="A87" s="270" t="s">
        <v>158</v>
      </c>
      <c r="B87" s="124" t="str">
        <f t="shared" si="19"/>
        <v>Milk - حليب</v>
      </c>
      <c r="C87" s="124" t="str">
        <f t="shared" si="19"/>
        <v>ml</v>
      </c>
      <c r="D87" s="124">
        <f t="shared" si="19"/>
        <v>600</v>
      </c>
      <c r="E87" s="223">
        <f t="shared" si="23"/>
        <v>10.1010101010101</v>
      </c>
      <c r="F87" s="127">
        <f t="shared" si="20"/>
        <v>1</v>
      </c>
      <c r="G87" s="119">
        <f t="shared" si="21"/>
        <v>6060.6060606060601</v>
      </c>
      <c r="H87" s="120">
        <f t="shared" si="22"/>
        <v>6060.6060606060601</v>
      </c>
    </row>
    <row r="88" spans="1:10" ht="14.25" customHeight="1" x14ac:dyDescent="0.3">
      <c r="A88" s="270" t="s">
        <v>158</v>
      </c>
      <c r="B88" s="124" t="str">
        <f t="shared" si="19"/>
        <v>Cooking Cream - كريمة طبخ</v>
      </c>
      <c r="C88" s="124" t="str">
        <f t="shared" si="19"/>
        <v>ml</v>
      </c>
      <c r="D88" s="124">
        <f t="shared" si="19"/>
        <v>600</v>
      </c>
      <c r="E88" s="223">
        <f t="shared" si="23"/>
        <v>10.1010101010101</v>
      </c>
      <c r="F88" s="127">
        <f t="shared" si="20"/>
        <v>1</v>
      </c>
      <c r="G88" s="119">
        <f t="shared" si="21"/>
        <v>6060.6060606060601</v>
      </c>
      <c r="H88" s="120">
        <f t="shared" si="22"/>
        <v>6060.6060606060601</v>
      </c>
    </row>
    <row r="89" spans="1:10" ht="14.25" customHeight="1" x14ac:dyDescent="0.3">
      <c r="A89" s="270" t="s">
        <v>97</v>
      </c>
      <c r="B89" s="124" t="str">
        <f t="shared" si="19"/>
        <v>Salt - ملح</v>
      </c>
      <c r="C89" s="124" t="str">
        <f t="shared" si="19"/>
        <v>gm</v>
      </c>
      <c r="D89" s="124">
        <f t="shared" si="19"/>
        <v>5</v>
      </c>
      <c r="E89" s="223">
        <f t="shared" si="23"/>
        <v>10.1010101010101</v>
      </c>
      <c r="F89" s="127">
        <f t="shared" si="20"/>
        <v>1</v>
      </c>
      <c r="G89" s="119">
        <f t="shared" si="21"/>
        <v>50.505050505050505</v>
      </c>
      <c r="H89" s="120">
        <f t="shared" si="22"/>
        <v>50.505050505050505</v>
      </c>
    </row>
    <row r="90" spans="1:10" ht="14.25" customHeight="1" x14ac:dyDescent="0.3">
      <c r="A90" s="270" t="s">
        <v>192</v>
      </c>
      <c r="B90" s="124" t="str">
        <f t="shared" si="19"/>
        <v>Flour - دقيق</v>
      </c>
      <c r="C90" s="124" t="str">
        <f t="shared" si="19"/>
        <v>gm</v>
      </c>
      <c r="D90" s="124">
        <f t="shared" si="19"/>
        <v>50</v>
      </c>
      <c r="E90" s="223">
        <f t="shared" si="23"/>
        <v>10.1010101010101</v>
      </c>
      <c r="F90" s="127">
        <f t="shared" si="20"/>
        <v>1</v>
      </c>
      <c r="G90" s="119">
        <f t="shared" si="21"/>
        <v>505.05050505050502</v>
      </c>
      <c r="H90" s="120">
        <f t="shared" si="22"/>
        <v>505.05050505050502</v>
      </c>
    </row>
    <row r="91" spans="1:10" ht="14.25" customHeight="1" x14ac:dyDescent="0.3">
      <c r="A91" s="270" t="s">
        <v>158</v>
      </c>
      <c r="B91" s="124" t="str">
        <f t="shared" si="19"/>
        <v>Parmesan Cheese Powder - بديل البارميزان</v>
      </c>
      <c r="C91" s="124" t="str">
        <f t="shared" si="19"/>
        <v>gm</v>
      </c>
      <c r="D91" s="124">
        <f t="shared" si="19"/>
        <v>45</v>
      </c>
      <c r="E91" s="223">
        <f t="shared" si="23"/>
        <v>10.1010101010101</v>
      </c>
      <c r="F91" s="127">
        <f t="shared" si="20"/>
        <v>1</v>
      </c>
      <c r="G91" s="119">
        <f t="shared" si="21"/>
        <v>454.5454545454545</v>
      </c>
      <c r="H91" s="120">
        <f t="shared" si="22"/>
        <v>454.5454545454545</v>
      </c>
    </row>
    <row r="92" spans="1:10" ht="14.25" customHeight="1" x14ac:dyDescent="0.3">
      <c r="A92" s="270" t="s">
        <v>158</v>
      </c>
      <c r="B92" s="124" t="str">
        <f t="shared" si="19"/>
        <v>Butter - زبدة</v>
      </c>
      <c r="C92" s="124" t="str">
        <f t="shared" si="19"/>
        <v>gm</v>
      </c>
      <c r="D92" s="124">
        <f t="shared" si="19"/>
        <v>20</v>
      </c>
      <c r="E92" s="223">
        <f t="shared" si="23"/>
        <v>10.1010101010101</v>
      </c>
      <c r="F92" s="127">
        <f t="shared" si="20"/>
        <v>1</v>
      </c>
      <c r="G92" s="119">
        <f t="shared" si="21"/>
        <v>202.02020202020202</v>
      </c>
      <c r="H92" s="120">
        <f t="shared" si="22"/>
        <v>202.02020202020202</v>
      </c>
    </row>
    <row r="93" spans="1:10" ht="20.25" customHeight="1" x14ac:dyDescent="0.4">
      <c r="A93" s="211"/>
      <c r="B93" s="198" t="s">
        <v>299</v>
      </c>
      <c r="C93" s="200" t="s">
        <v>285</v>
      </c>
      <c r="D93" s="14"/>
      <c r="E93" s="200" t="s">
        <v>300</v>
      </c>
      <c r="F93" s="14"/>
      <c r="G93" s="890" t="s">
        <v>276</v>
      </c>
      <c r="H93" s="890" t="s">
        <v>733</v>
      </c>
      <c r="I93" s="204"/>
      <c r="J93" s="203"/>
    </row>
    <row r="94" spans="1:10" ht="20" x14ac:dyDescent="0.4">
      <c r="A94" s="211"/>
      <c r="B94" s="199">
        <f>$J$54</f>
        <v>13637.090909090908</v>
      </c>
      <c r="C94" s="199">
        <f>E94+G94</f>
        <v>10000</v>
      </c>
      <c r="D94" s="930"/>
      <c r="E94" s="199">
        <f>$D$54*$S$44</f>
        <v>4090.909090909091</v>
      </c>
      <c r="F94" s="934"/>
      <c r="G94" s="199">
        <f>$D$54*$T$44</f>
        <v>5909.090909090909</v>
      </c>
      <c r="H94" s="199">
        <f>B94+E94</f>
        <v>17728</v>
      </c>
    </row>
    <row r="97" spans="1:8" x14ac:dyDescent="0.3">
      <c r="A97" s="938"/>
      <c r="B97" s="1382" t="str">
        <f>"كرات اللحم الفرنسية   3 / " &amp; COUNTIF($C$53:$C$55, "&gt;0")</f>
        <v>كرات اللحم الفرنسية   3 / 3</v>
      </c>
      <c r="C97" s="1383"/>
      <c r="D97" s="1383"/>
      <c r="E97" s="1383"/>
      <c r="F97" s="1383"/>
      <c r="G97" s="1383"/>
      <c r="H97" s="1383"/>
    </row>
    <row r="98" spans="1:8" x14ac:dyDescent="0.3">
      <c r="A98" s="938"/>
      <c r="B98" s="1384" t="str">
        <f>"French Meatball   3 / " &amp; COUNTIF($C$53:$C$55, "&gt;0")</f>
        <v>French Meatball   3 / 3</v>
      </c>
      <c r="C98" s="1385"/>
      <c r="D98" s="1385"/>
      <c r="E98" s="1385"/>
      <c r="F98" s="1385"/>
      <c r="G98" s="1385"/>
      <c r="H98" s="1385"/>
    </row>
    <row r="99" spans="1:8" ht="26" x14ac:dyDescent="0.3">
      <c r="A99" s="91"/>
      <c r="B99" s="91" t="s">
        <v>253</v>
      </c>
      <c r="C99" s="107" t="s">
        <v>254</v>
      </c>
      <c r="D99" s="91" t="s">
        <v>243</v>
      </c>
      <c r="E99" s="108" t="s">
        <v>246</v>
      </c>
      <c r="F99" s="108" t="s">
        <v>255</v>
      </c>
      <c r="G99" s="91" t="s">
        <v>256</v>
      </c>
      <c r="H99" s="218" t="s">
        <v>257</v>
      </c>
    </row>
    <row r="100" spans="1:8" x14ac:dyDescent="0.3">
      <c r="A100" s="270" t="s">
        <v>230</v>
      </c>
      <c r="B100" s="124" t="str">
        <f>B5</f>
        <v>Indian Meat Tammam Mafroom - مفروم هندى</v>
      </c>
      <c r="C100" s="124" t="str">
        <f t="shared" ref="C100:D100" si="24">C5</f>
        <v>gm</v>
      </c>
      <c r="D100" s="120">
        <f t="shared" si="24"/>
        <v>2351.2225705329156</v>
      </c>
      <c r="E100" s="1342">
        <f>$H$55</f>
        <v>1.5024429466325842</v>
      </c>
      <c r="F100" s="1343">
        <f>F5</f>
        <v>1</v>
      </c>
      <c r="G100" s="119">
        <f t="shared" ref="G100:G110" si="25">D100*E100</f>
        <v>3532.5777670605125</v>
      </c>
      <c r="H100" s="120">
        <f t="shared" ref="H100:H110" si="26">G100*F100</f>
        <v>3532.5777670605125</v>
      </c>
    </row>
    <row r="101" spans="1:8" x14ac:dyDescent="0.3">
      <c r="A101" s="270" t="s">
        <v>13</v>
      </c>
      <c r="B101" s="124" t="str">
        <f t="shared" ref="B101:D101" si="27">B6</f>
        <v>Green Onion - بصل أخضر</v>
      </c>
      <c r="C101" s="124" t="str">
        <f t="shared" si="27"/>
        <v>gm</v>
      </c>
      <c r="D101" s="124">
        <f t="shared" si="27"/>
        <v>150</v>
      </c>
      <c r="E101" s="1342">
        <f t="shared" ref="E101:E110" si="28">$C$55</f>
        <v>1.5187775187775259</v>
      </c>
      <c r="F101" s="1343">
        <f t="shared" ref="F101:F110" si="29">F6</f>
        <v>1</v>
      </c>
      <c r="G101" s="119">
        <f t="shared" si="25"/>
        <v>227.81662781662888</v>
      </c>
      <c r="H101" s="120">
        <f t="shared" si="26"/>
        <v>227.81662781662888</v>
      </c>
    </row>
    <row r="102" spans="1:8" x14ac:dyDescent="0.3">
      <c r="A102" s="270" t="s">
        <v>13</v>
      </c>
      <c r="B102" s="124" t="str">
        <f t="shared" ref="B102:D102" si="30">B7</f>
        <v>Garlic - ثوم مقشر</v>
      </c>
      <c r="C102" s="124" t="str">
        <f t="shared" si="30"/>
        <v>gm</v>
      </c>
      <c r="D102" s="124">
        <f t="shared" si="30"/>
        <v>30</v>
      </c>
      <c r="E102" s="1342">
        <f t="shared" si="28"/>
        <v>1.5187775187775259</v>
      </c>
      <c r="F102" s="1343">
        <f t="shared" si="29"/>
        <v>1</v>
      </c>
      <c r="G102" s="119">
        <f t="shared" si="25"/>
        <v>45.563325563325776</v>
      </c>
      <c r="H102" s="120">
        <f t="shared" si="26"/>
        <v>45.563325563325776</v>
      </c>
    </row>
    <row r="103" spans="1:8" x14ac:dyDescent="0.3">
      <c r="A103" s="270" t="s">
        <v>97</v>
      </c>
      <c r="B103" s="124" t="str">
        <f t="shared" ref="B103:D103" si="31">B8</f>
        <v>White Pepper - فلفل أبيض</v>
      </c>
      <c r="C103" s="124" t="str">
        <f t="shared" si="31"/>
        <v>gm</v>
      </c>
      <c r="D103" s="124">
        <f t="shared" si="31"/>
        <v>6</v>
      </c>
      <c r="E103" s="1342">
        <f t="shared" si="28"/>
        <v>1.5187775187775259</v>
      </c>
      <c r="F103" s="1343">
        <f t="shared" si="29"/>
        <v>0.75</v>
      </c>
      <c r="G103" s="119">
        <f t="shared" si="25"/>
        <v>9.1126651126651552</v>
      </c>
      <c r="H103" s="120">
        <f t="shared" si="26"/>
        <v>6.8344988344988664</v>
      </c>
    </row>
    <row r="104" spans="1:8" x14ac:dyDescent="0.3">
      <c r="A104" s="270" t="s">
        <v>97</v>
      </c>
      <c r="B104" s="124" t="str">
        <f t="shared" ref="B104:D104" si="32">B9</f>
        <v>Maggi Cubes - مكعبات ماجي</v>
      </c>
      <c r="C104" s="124" t="str">
        <f t="shared" si="32"/>
        <v>gm</v>
      </c>
      <c r="D104" s="124">
        <f t="shared" si="32"/>
        <v>10</v>
      </c>
      <c r="E104" s="1342">
        <f t="shared" si="28"/>
        <v>1.5187775187775259</v>
      </c>
      <c r="F104" s="1343">
        <f t="shared" si="29"/>
        <v>0.9</v>
      </c>
      <c r="G104" s="119">
        <f t="shared" si="25"/>
        <v>15.187775187775259</v>
      </c>
      <c r="H104" s="120">
        <f t="shared" si="26"/>
        <v>13.668997668997733</v>
      </c>
    </row>
    <row r="105" spans="1:8" x14ac:dyDescent="0.3">
      <c r="A105" s="270" t="s">
        <v>158</v>
      </c>
      <c r="B105" s="124" t="str">
        <f t="shared" ref="B105:D105" si="33">B10</f>
        <v>Milk - حليب</v>
      </c>
      <c r="C105" s="124" t="str">
        <f t="shared" si="33"/>
        <v>ml</v>
      </c>
      <c r="D105" s="124">
        <f t="shared" si="33"/>
        <v>600</v>
      </c>
      <c r="E105" s="1342">
        <f t="shared" si="28"/>
        <v>1.5187775187775259</v>
      </c>
      <c r="F105" s="1343">
        <f t="shared" si="29"/>
        <v>1</v>
      </c>
      <c r="G105" s="119">
        <f t="shared" si="25"/>
        <v>911.26651126651552</v>
      </c>
      <c r="H105" s="120">
        <f t="shared" si="26"/>
        <v>911.26651126651552</v>
      </c>
    </row>
    <row r="106" spans="1:8" x14ac:dyDescent="0.3">
      <c r="A106" s="270" t="s">
        <v>158</v>
      </c>
      <c r="B106" s="124" t="str">
        <f t="shared" ref="B106:D106" si="34">B11</f>
        <v>Cooking Cream - كريمة طبخ</v>
      </c>
      <c r="C106" s="124" t="str">
        <f t="shared" si="34"/>
        <v>ml</v>
      </c>
      <c r="D106" s="124">
        <f t="shared" si="34"/>
        <v>600</v>
      </c>
      <c r="E106" s="1342">
        <f t="shared" si="28"/>
        <v>1.5187775187775259</v>
      </c>
      <c r="F106" s="1343">
        <f t="shared" si="29"/>
        <v>1</v>
      </c>
      <c r="G106" s="119">
        <f t="shared" si="25"/>
        <v>911.26651126651552</v>
      </c>
      <c r="H106" s="120">
        <f t="shared" si="26"/>
        <v>911.26651126651552</v>
      </c>
    </row>
    <row r="107" spans="1:8" x14ac:dyDescent="0.3">
      <c r="A107" s="270" t="s">
        <v>97</v>
      </c>
      <c r="B107" s="124" t="str">
        <f t="shared" ref="B107:D107" si="35">B12</f>
        <v>Salt - ملح</v>
      </c>
      <c r="C107" s="124" t="str">
        <f t="shared" si="35"/>
        <v>gm</v>
      </c>
      <c r="D107" s="124">
        <f t="shared" si="35"/>
        <v>5</v>
      </c>
      <c r="E107" s="1342">
        <f t="shared" si="28"/>
        <v>1.5187775187775259</v>
      </c>
      <c r="F107" s="1343">
        <f t="shared" si="29"/>
        <v>1</v>
      </c>
      <c r="G107" s="119">
        <f t="shared" si="25"/>
        <v>7.5938875938876294</v>
      </c>
      <c r="H107" s="120">
        <f t="shared" si="26"/>
        <v>7.5938875938876294</v>
      </c>
    </row>
    <row r="108" spans="1:8" x14ac:dyDescent="0.3">
      <c r="A108" s="270" t="s">
        <v>192</v>
      </c>
      <c r="B108" s="124" t="str">
        <f t="shared" ref="B108:D108" si="36">B13</f>
        <v>Flour - دقيق</v>
      </c>
      <c r="C108" s="124" t="str">
        <f t="shared" si="36"/>
        <v>gm</v>
      </c>
      <c r="D108" s="124">
        <f t="shared" si="36"/>
        <v>50</v>
      </c>
      <c r="E108" s="1342">
        <f t="shared" si="28"/>
        <v>1.5187775187775259</v>
      </c>
      <c r="F108" s="1343">
        <f t="shared" si="29"/>
        <v>1</v>
      </c>
      <c r="G108" s="119">
        <f t="shared" si="25"/>
        <v>75.938875938876294</v>
      </c>
      <c r="H108" s="120">
        <f t="shared" si="26"/>
        <v>75.938875938876294</v>
      </c>
    </row>
    <row r="109" spans="1:8" x14ac:dyDescent="0.3">
      <c r="A109" s="270" t="s">
        <v>158</v>
      </c>
      <c r="B109" s="124" t="str">
        <f t="shared" ref="B109:D109" si="37">B14</f>
        <v>Parmesan Cheese Powder - بديل البارميزان</v>
      </c>
      <c r="C109" s="124" t="str">
        <f t="shared" si="37"/>
        <v>gm</v>
      </c>
      <c r="D109" s="124">
        <f t="shared" si="37"/>
        <v>45</v>
      </c>
      <c r="E109" s="1342">
        <f t="shared" si="28"/>
        <v>1.5187775187775259</v>
      </c>
      <c r="F109" s="1343">
        <f t="shared" si="29"/>
        <v>1</v>
      </c>
      <c r="G109" s="119">
        <f t="shared" si="25"/>
        <v>68.344988344988664</v>
      </c>
      <c r="H109" s="120">
        <f t="shared" si="26"/>
        <v>68.344988344988664</v>
      </c>
    </row>
    <row r="110" spans="1:8" x14ac:dyDescent="0.3">
      <c r="A110" s="270" t="s">
        <v>158</v>
      </c>
      <c r="B110" s="124" t="str">
        <f t="shared" ref="B110:D110" si="38">B15</f>
        <v>Butter - زبدة</v>
      </c>
      <c r="C110" s="124" t="str">
        <f t="shared" si="38"/>
        <v>gm</v>
      </c>
      <c r="D110" s="124">
        <f t="shared" si="38"/>
        <v>20</v>
      </c>
      <c r="E110" s="1342">
        <f t="shared" si="28"/>
        <v>1.5187775187775259</v>
      </c>
      <c r="F110" s="1343">
        <f t="shared" si="29"/>
        <v>1</v>
      </c>
      <c r="G110" s="119">
        <f t="shared" si="25"/>
        <v>30.375550375550517</v>
      </c>
      <c r="H110" s="120">
        <f t="shared" si="26"/>
        <v>30.375550375550517</v>
      </c>
    </row>
    <row r="111" spans="1:8" ht="18" x14ac:dyDescent="0.3">
      <c r="A111" s="211"/>
      <c r="B111" s="198" t="s">
        <v>299</v>
      </c>
      <c r="C111" s="200" t="s">
        <v>285</v>
      </c>
      <c r="D111" s="14"/>
      <c r="E111" s="200" t="s">
        <v>300</v>
      </c>
      <c r="F111" s="14"/>
      <c r="G111" s="890" t="s">
        <v>276</v>
      </c>
      <c r="H111" s="890" t="s">
        <v>733</v>
      </c>
    </row>
    <row r="112" spans="1:8" ht="20" x14ac:dyDescent="0.4">
      <c r="A112" s="211"/>
      <c r="B112" s="199">
        <f>J55</f>
        <v>2048.8951048951021</v>
      </c>
      <c r="C112" s="199">
        <f>E112+G112</f>
        <v>1503.5897435897505</v>
      </c>
      <c r="D112" s="930"/>
      <c r="E112" s="199">
        <f>$D$55*$S$44</f>
        <v>615.10489510489799</v>
      </c>
      <c r="F112" s="934"/>
      <c r="G112" s="199">
        <f>$D$55*$T$44</f>
        <v>888.48484848485259</v>
      </c>
      <c r="H112" s="199">
        <f>B112+E112</f>
        <v>2664</v>
      </c>
    </row>
  </sheetData>
  <mergeCells count="13">
    <mergeCell ref="B97:H97"/>
    <mergeCell ref="B98:H98"/>
    <mergeCell ref="AN2:AN3"/>
    <mergeCell ref="B62:H62"/>
    <mergeCell ref="R25:U25"/>
    <mergeCell ref="B80:H80"/>
    <mergeCell ref="B2:K3"/>
    <mergeCell ref="B63:H63"/>
    <mergeCell ref="AE2:AG3"/>
    <mergeCell ref="B79:H79"/>
    <mergeCell ref="R26:U26"/>
    <mergeCell ref="AK2:AM2"/>
    <mergeCell ref="B35:F35"/>
  </mergeCells>
  <printOptions horizontalCentered="1"/>
  <pageMargins left="0.5" right="0.5" top="1" bottom="0.5" header="0.3" footer="0.511811023622047"/>
  <pageSetup paperSize="9" scale="30" orientation="portrait" r:id="rId1"/>
  <legacyDrawing r:id="rId2"/>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72">
    <tabColor rgb="FF333F50"/>
    <pageSetUpPr fitToPage="1"/>
  </sheetPr>
  <dimension ref="A1:AT118"/>
  <sheetViews>
    <sheetView topLeftCell="A17" zoomScaleNormal="100" workbookViewId="0">
      <selection activeCell="B35" sqref="B35:L37"/>
    </sheetView>
  </sheetViews>
  <sheetFormatPr defaultColWidth="12.5" defaultRowHeight="14" x14ac:dyDescent="0.3"/>
  <cols>
    <col min="1" max="1" width="11.6640625" style="79" bestFit="1" customWidth="1"/>
    <col min="2" max="2" width="30.5" style="602" customWidth="1"/>
    <col min="3" max="3" width="19" style="14" customWidth="1"/>
    <col min="4" max="4" width="15.83203125" style="14" customWidth="1"/>
    <col min="5" max="5" width="14.5" style="14" customWidth="1"/>
    <col min="6" max="6" width="13.08203125" style="14" customWidth="1"/>
    <col min="7" max="7" width="19.75" style="14" customWidth="1"/>
    <col min="8" max="8" width="18.6640625" style="14" customWidth="1"/>
    <col min="9" max="9" width="12.1640625" style="14" customWidth="1"/>
    <col min="10" max="10" width="10.33203125" style="14" customWidth="1"/>
    <col min="11" max="11" width="10.5" style="14" customWidth="1"/>
    <col min="12" max="12" width="8.33203125" style="14" customWidth="1"/>
    <col min="13" max="13" width="11" style="14" customWidth="1"/>
    <col min="14" max="14" width="8.9140625" style="14" customWidth="1"/>
    <col min="15" max="15" width="14.5" style="14" customWidth="1"/>
    <col min="16" max="16" width="12.5" style="14" customWidth="1"/>
    <col min="17" max="17" width="14.83203125" style="14" customWidth="1"/>
    <col min="18" max="18" width="30.5" style="14" customWidth="1"/>
    <col min="19" max="19" width="15.58203125" style="14" customWidth="1"/>
    <col min="20" max="20" width="19.1640625" style="14" customWidth="1"/>
    <col min="21" max="21" width="15.58203125" style="14" customWidth="1"/>
    <col min="22" max="22" width="14.5" style="14" customWidth="1"/>
    <col min="23" max="23" width="12.5" style="14" customWidth="1"/>
    <col min="24" max="24" width="8.9140625" style="14" bestFit="1" customWidth="1"/>
    <col min="25" max="25" width="12.5" style="14" customWidth="1"/>
    <col min="26" max="26" width="12.5" style="14"/>
    <col min="27" max="27" width="10.9140625" style="14" bestFit="1" customWidth="1"/>
    <col min="28" max="29" width="11.58203125" style="14" bestFit="1" customWidth="1"/>
    <col min="30" max="30" width="13.1640625" style="14" bestFit="1" customWidth="1"/>
    <col min="31" max="31" width="9.83203125" style="14" bestFit="1" customWidth="1"/>
    <col min="32" max="32" width="8.6640625" style="14" bestFit="1" customWidth="1"/>
    <col min="33" max="34" width="7.25" style="14" customWidth="1"/>
    <col min="35" max="35" width="12.5" style="14"/>
    <col min="36" max="36" width="31.75" style="14" customWidth="1"/>
    <col min="37" max="37" width="12.5" style="14"/>
    <col min="38" max="38" width="15.6640625" style="14" customWidth="1"/>
    <col min="39" max="16384" width="12.5" style="14"/>
  </cols>
  <sheetData>
    <row r="1" spans="1:46" ht="30.75" customHeight="1" x14ac:dyDescent="0.3">
      <c r="B1" s="599" t="s">
        <v>243</v>
      </c>
      <c r="C1" s="81">
        <v>1000</v>
      </c>
      <c r="D1" s="82" t="s">
        <v>244</v>
      </c>
      <c r="E1" s="83">
        <f>T32</f>
        <v>13679.487179487185</v>
      </c>
      <c r="F1" s="80" t="s">
        <v>245</v>
      </c>
      <c r="G1" s="84">
        <f>E1/1000</f>
        <v>13.679487179487186</v>
      </c>
      <c r="H1" s="80" t="s">
        <v>246</v>
      </c>
      <c r="I1" s="85">
        <f>(G1/K1)</f>
        <v>13.958660387231822</v>
      </c>
      <c r="J1" s="86" t="s">
        <v>247</v>
      </c>
      <c r="K1" s="85">
        <v>0.98</v>
      </c>
      <c r="L1" s="387"/>
      <c r="M1" s="89"/>
      <c r="N1" s="90"/>
      <c r="O1" s="91" t="s">
        <v>248</v>
      </c>
      <c r="P1" s="92" t="s">
        <v>249</v>
      </c>
      <c r="Q1" s="93" t="s">
        <v>250</v>
      </c>
      <c r="R1" s="92">
        <v>0.59</v>
      </c>
      <c r="U1" s="100"/>
      <c r="Y1" s="91" t="s">
        <v>479</v>
      </c>
      <c r="Z1" s="847">
        <v>23250</v>
      </c>
      <c r="AA1" s="91" t="s">
        <v>600</v>
      </c>
      <c r="AB1" s="847">
        <v>1000</v>
      </c>
      <c r="AC1" s="91" t="s">
        <v>587</v>
      </c>
      <c r="AD1" s="847">
        <v>160</v>
      </c>
      <c r="AE1" s="250"/>
      <c r="AF1" s="252"/>
      <c r="AG1" s="92"/>
      <c r="AI1" s="79"/>
      <c r="AJ1" s="94" t="s">
        <v>262</v>
      </c>
      <c r="AK1" s="94">
        <v>10000</v>
      </c>
      <c r="AL1" s="628" t="s">
        <v>520</v>
      </c>
      <c r="AM1" s="629">
        <f>$S$32</f>
        <v>18653.846153846149</v>
      </c>
      <c r="AN1" s="94" t="s">
        <v>251</v>
      </c>
      <c r="AO1" s="329">
        <f>((S32)/$R$1)/$AK$1</f>
        <v>3.1616688396349408</v>
      </c>
      <c r="AP1" s="95"/>
    </row>
    <row r="2" spans="1:46" ht="12.75" customHeight="1" x14ac:dyDescent="0.3">
      <c r="A2" s="97"/>
      <c r="B2" s="603"/>
      <c r="C2" s="98"/>
      <c r="D2" s="98"/>
      <c r="E2" s="98"/>
      <c r="F2" s="1408" t="s">
        <v>160</v>
      </c>
      <c r="G2" s="98"/>
      <c r="H2" s="98"/>
      <c r="I2" s="98"/>
      <c r="J2" s="98"/>
      <c r="K2" s="98"/>
      <c r="L2" s="98"/>
      <c r="M2" s="99"/>
      <c r="N2" s="99"/>
      <c r="O2" s="100"/>
      <c r="P2" s="100"/>
      <c r="Q2" s="100"/>
      <c r="R2" s="100"/>
      <c r="S2" s="100"/>
      <c r="T2" s="100"/>
      <c r="U2" s="100"/>
      <c r="AC2" s="99"/>
      <c r="AD2" s="99"/>
      <c r="AE2" s="1391"/>
      <c r="AF2" s="1389"/>
      <c r="AG2" s="1389"/>
      <c r="AI2" s="79"/>
      <c r="AJ2" s="101"/>
      <c r="AK2" s="101"/>
      <c r="AL2" s="1386" t="s">
        <v>494</v>
      </c>
      <c r="AM2" s="1386"/>
      <c r="AN2" s="1386"/>
      <c r="AO2" s="101"/>
      <c r="AP2" s="101"/>
    </row>
    <row r="3" spans="1:46" ht="12.75" customHeight="1" x14ac:dyDescent="0.3">
      <c r="A3" s="97"/>
      <c r="B3" s="604"/>
      <c r="C3" s="103"/>
      <c r="D3" s="103"/>
      <c r="E3" s="103"/>
      <c r="F3" s="1388"/>
      <c r="G3" s="103"/>
      <c r="H3" s="103"/>
      <c r="I3" s="103"/>
      <c r="J3" s="103"/>
      <c r="K3" s="103"/>
      <c r="L3" s="98"/>
      <c r="M3" s="99"/>
      <c r="N3" s="99"/>
      <c r="O3" s="100"/>
      <c r="P3" s="100"/>
      <c r="Q3" s="100"/>
      <c r="R3" s="100"/>
      <c r="S3" s="100"/>
      <c r="T3" s="100"/>
      <c r="U3" s="100"/>
      <c r="AC3" s="99"/>
      <c r="AD3" s="99"/>
      <c r="AE3" s="1389"/>
      <c r="AF3" s="1389"/>
      <c r="AG3" s="1389"/>
      <c r="AI3" s="79"/>
      <c r="AJ3" s="101"/>
      <c r="AK3" s="101"/>
      <c r="AL3" s="101"/>
      <c r="AM3" s="101"/>
      <c r="AN3" s="101"/>
      <c r="AO3" s="101"/>
      <c r="AP3" s="101"/>
    </row>
    <row r="4" spans="1:46" ht="46.5" customHeight="1" x14ac:dyDescent="0.3">
      <c r="A4" s="599" t="s">
        <v>1</v>
      </c>
      <c r="B4" s="599" t="s">
        <v>253</v>
      </c>
      <c r="C4" s="107" t="s">
        <v>254</v>
      </c>
      <c r="D4" s="91" t="s">
        <v>491</v>
      </c>
      <c r="E4" s="600" t="s">
        <v>246</v>
      </c>
      <c r="F4" s="108" t="s">
        <v>255</v>
      </c>
      <c r="G4" s="91" t="s">
        <v>492</v>
      </c>
      <c r="H4" s="109" t="s">
        <v>347</v>
      </c>
      <c r="I4" s="91" t="s">
        <v>258</v>
      </c>
      <c r="J4" s="91" t="s">
        <v>259</v>
      </c>
      <c r="K4" s="91" t="s">
        <v>260</v>
      </c>
      <c r="L4" s="91" t="s">
        <v>261</v>
      </c>
      <c r="M4" s="371"/>
      <c r="N4" s="371"/>
      <c r="O4" s="100"/>
      <c r="P4" s="100"/>
      <c r="Q4" s="100"/>
      <c r="R4" s="100"/>
      <c r="S4" s="100"/>
      <c r="T4" s="100"/>
      <c r="U4" s="100"/>
      <c r="AC4" s="251"/>
      <c r="AD4" s="253"/>
      <c r="AE4" s="251"/>
      <c r="AF4" s="251"/>
      <c r="AG4" s="251"/>
      <c r="AI4" s="79"/>
      <c r="AJ4" s="94" t="s">
        <v>253</v>
      </c>
      <c r="AK4" s="530" t="s">
        <v>254</v>
      </c>
      <c r="AL4" s="94" t="s">
        <v>262</v>
      </c>
      <c r="AM4" s="94" t="s">
        <v>246</v>
      </c>
      <c r="AN4" s="94" t="s">
        <v>255</v>
      </c>
      <c r="AO4" s="94" t="s">
        <v>256</v>
      </c>
      <c r="AP4" s="94" t="s">
        <v>347</v>
      </c>
      <c r="AQ4" s="91" t="s">
        <v>258</v>
      </c>
      <c r="AR4" s="91" t="s">
        <v>259</v>
      </c>
      <c r="AS4" s="91" t="s">
        <v>260</v>
      </c>
      <c r="AT4" s="91" t="s">
        <v>261</v>
      </c>
    </row>
    <row r="5" spans="1:46" ht="14.25" customHeight="1" x14ac:dyDescent="0.3">
      <c r="A5" s="601" t="s">
        <v>230</v>
      </c>
      <c r="B5" s="309" t="s">
        <v>229</v>
      </c>
      <c r="C5" s="115" t="s">
        <v>14</v>
      </c>
      <c r="D5" s="268">
        <f>I51/10</f>
        <v>2456.4701694915252</v>
      </c>
      <c r="E5" s="126">
        <f>H52</f>
        <v>12.87078051629419</v>
      </c>
      <c r="F5" s="299">
        <v>1</v>
      </c>
      <c r="G5" s="119">
        <f t="shared" ref="G5:G27" si="0">D5*E5</f>
        <v>31616.688396349407</v>
      </c>
      <c r="H5" s="207">
        <f t="shared" ref="H5:H27" si="1">G5*F5</f>
        <v>31616.688396349407</v>
      </c>
      <c r="I5" s="81">
        <f>VLOOKUP(B5,All_Ingredients!$A$1:$F$151,6,FALSE())</f>
        <v>0.86</v>
      </c>
      <c r="J5" s="119">
        <f>VLOOKUP(B5,All_Ingredients!$A$1:$J$151,10,FALSE())</f>
        <v>17.100000000000001</v>
      </c>
      <c r="K5" s="122">
        <f t="shared" ref="K5" si="2">(H5/I5)/1000</f>
        <v>36.763591158545822</v>
      </c>
      <c r="L5" s="122">
        <f t="shared" ref="L5" si="3">K5*J5</f>
        <v>628.65740881113356</v>
      </c>
      <c r="M5" s="131"/>
      <c r="N5" s="131"/>
      <c r="O5" s="131"/>
      <c r="P5" s="131"/>
      <c r="Q5" s="100"/>
      <c r="R5" s="100"/>
      <c r="S5" s="100"/>
      <c r="T5" s="100"/>
      <c r="U5" s="100"/>
      <c r="AC5" s="92"/>
      <c r="AD5" s="133"/>
      <c r="AE5" s="254"/>
      <c r="AF5" s="135"/>
      <c r="AG5" s="136"/>
      <c r="AI5" s="79"/>
      <c r="AJ5" s="374" t="s">
        <v>229</v>
      </c>
      <c r="AK5" s="124" t="s">
        <v>238</v>
      </c>
      <c r="AL5" s="116">
        <v>10</v>
      </c>
      <c r="AM5" s="126">
        <f t="shared" ref="AM5:AM19" si="4">$AO$1</f>
        <v>3.1616688396349408</v>
      </c>
      <c r="AN5" s="299">
        <v>1</v>
      </c>
      <c r="AO5" s="119">
        <f t="shared" ref="AO5:AO19" si="5">AL5*AM5</f>
        <v>31.61668839634941</v>
      </c>
      <c r="AP5" s="207">
        <f t="shared" ref="AP5:AP19" si="6">AO5*AN5</f>
        <v>31.61668839634941</v>
      </c>
      <c r="AQ5" s="295"/>
      <c r="AR5" s="1171"/>
      <c r="AS5" s="175"/>
      <c r="AT5" s="1172"/>
    </row>
    <row r="6" spans="1:46" ht="14.25" customHeight="1" x14ac:dyDescent="0.3">
      <c r="A6" s="128" t="s">
        <v>97</v>
      </c>
      <c r="B6" s="605" t="s">
        <v>112</v>
      </c>
      <c r="C6" s="115" t="s">
        <v>14</v>
      </c>
      <c r="D6" s="125">
        <v>6</v>
      </c>
      <c r="E6" s="126">
        <f t="shared" ref="E6:E27" si="7">$I$1</f>
        <v>13.958660387231822</v>
      </c>
      <c r="F6" s="299">
        <v>0.95</v>
      </c>
      <c r="G6" s="119">
        <f t="shared" si="0"/>
        <v>83.751962323390927</v>
      </c>
      <c r="H6" s="207">
        <f t="shared" si="1"/>
        <v>79.564364207221374</v>
      </c>
      <c r="I6" s="81">
        <f>VLOOKUP(B6,All_Ingredients!$A$1:$F$151,6,FALSE())</f>
        <v>1</v>
      </c>
      <c r="J6" s="119">
        <f>VLOOKUP(B6,All_Ingredients!$A$1:$J$151,10,FALSE())</f>
        <v>26.5</v>
      </c>
      <c r="K6" s="122">
        <f t="shared" ref="K6:K27" si="8">(H6/I6)/1000</f>
        <v>7.9564364207221377E-2</v>
      </c>
      <c r="L6" s="122">
        <f t="shared" ref="L6:L27" si="9">K6*J6</f>
        <v>2.1084556514913664</v>
      </c>
      <c r="M6" s="131"/>
      <c r="N6" s="131"/>
      <c r="O6" s="338"/>
      <c r="P6" s="338"/>
      <c r="AI6" s="79" t="s">
        <v>97</v>
      </c>
      <c r="AJ6" s="323" t="s">
        <v>108</v>
      </c>
      <c r="AK6" s="334" t="s">
        <v>14</v>
      </c>
      <c r="AL6" s="116">
        <v>20</v>
      </c>
      <c r="AM6" s="126">
        <f t="shared" si="4"/>
        <v>3.1616688396349408</v>
      </c>
      <c r="AN6" s="299">
        <v>1</v>
      </c>
      <c r="AO6" s="119">
        <f t="shared" si="5"/>
        <v>63.23337679269882</v>
      </c>
      <c r="AP6" s="207">
        <f t="shared" si="6"/>
        <v>63.23337679269882</v>
      </c>
      <c r="AQ6" s="1172">
        <f>VLOOKUP(AJ6,Marination_Ordering!$A:$J,6,FALSE)</f>
        <v>1</v>
      </c>
      <c r="AR6" s="1172">
        <f>VLOOKUP(AJ6,Marination_Ordering!$A:$J,10,FALSE)</f>
        <v>15</v>
      </c>
      <c r="AS6" s="175">
        <f>AP6/AQ6</f>
        <v>63.23337679269882</v>
      </c>
      <c r="AT6" s="1172">
        <f>AR6*(AS6/1000)</f>
        <v>0.94850065189048227</v>
      </c>
    </row>
    <row r="7" spans="1:46" ht="14.25" customHeight="1" x14ac:dyDescent="0.3">
      <c r="A7" s="128" t="s">
        <v>97</v>
      </c>
      <c r="B7" s="605" t="s">
        <v>96</v>
      </c>
      <c r="C7" s="115" t="s">
        <v>14</v>
      </c>
      <c r="D7" s="125">
        <v>11</v>
      </c>
      <c r="E7" s="126">
        <f t="shared" si="7"/>
        <v>13.958660387231822</v>
      </c>
      <c r="F7" s="299">
        <v>0.75</v>
      </c>
      <c r="G7" s="119">
        <f t="shared" si="0"/>
        <v>153.54526425955004</v>
      </c>
      <c r="H7" s="207">
        <f t="shared" si="1"/>
        <v>115.15894819466253</v>
      </c>
      <c r="I7" s="81">
        <f>VLOOKUP(B7,All_Ingredients!$A$1:$F$151,6,FALSE())</f>
        <v>1</v>
      </c>
      <c r="J7" s="119">
        <f>VLOOKUP(B7,All_Ingredients!$A$1:$J$151,10,FALSE())</f>
        <v>0.74</v>
      </c>
      <c r="K7" s="122">
        <f t="shared" si="8"/>
        <v>0.11515894819466253</v>
      </c>
      <c r="L7" s="122">
        <f t="shared" si="9"/>
        <v>8.521762166405028E-2</v>
      </c>
      <c r="M7" s="131"/>
      <c r="N7" s="131"/>
      <c r="O7" s="338"/>
      <c r="P7" s="338"/>
      <c r="AI7" s="79" t="s">
        <v>97</v>
      </c>
      <c r="AJ7" s="323" t="s">
        <v>110</v>
      </c>
      <c r="AK7" s="334" t="s">
        <v>14</v>
      </c>
      <c r="AL7" s="116">
        <v>10</v>
      </c>
      <c r="AM7" s="126">
        <f t="shared" si="4"/>
        <v>3.1616688396349408</v>
      </c>
      <c r="AN7" s="299">
        <v>1</v>
      </c>
      <c r="AO7" s="119">
        <f t="shared" si="5"/>
        <v>31.61668839634941</v>
      </c>
      <c r="AP7" s="207">
        <f t="shared" si="6"/>
        <v>31.61668839634941</v>
      </c>
      <c r="AQ7" s="1172">
        <f>VLOOKUP(AJ7,Marination_Ordering!$A:$J,6,FALSE)</f>
        <v>1</v>
      </c>
      <c r="AR7" s="1172">
        <f>VLOOKUP(AJ7,Marination_Ordering!$A:$J,10,FALSE)</f>
        <v>8</v>
      </c>
      <c r="AS7" s="175">
        <f t="shared" ref="AS7:AS8" si="10">AP7/AQ7</f>
        <v>31.61668839634941</v>
      </c>
      <c r="AT7" s="1172">
        <f t="shared" ref="AT7:AT8" si="11">AR7*(AS7/1000)</f>
        <v>0.25293350717079527</v>
      </c>
    </row>
    <row r="8" spans="1:46" ht="14.25" customHeight="1" x14ac:dyDescent="0.3">
      <c r="A8" s="128" t="s">
        <v>158</v>
      </c>
      <c r="B8" s="605" t="s">
        <v>180</v>
      </c>
      <c r="C8" s="115" t="s">
        <v>165</v>
      </c>
      <c r="D8" s="125">
        <v>250</v>
      </c>
      <c r="E8" s="126">
        <f t="shared" si="7"/>
        <v>13.958660387231822</v>
      </c>
      <c r="F8" s="299">
        <v>1</v>
      </c>
      <c r="G8" s="119">
        <f t="shared" si="0"/>
        <v>3489.6650968079553</v>
      </c>
      <c r="H8" s="207">
        <f t="shared" si="1"/>
        <v>3489.6650968079553</v>
      </c>
      <c r="I8" s="81">
        <f>VLOOKUP(B8,All_Ingredients!$A$1:$F$151,6,FALSE())</f>
        <v>1</v>
      </c>
      <c r="J8" s="119">
        <f>VLOOKUP(B8,All_Ingredients!$A$1:$J$151,10,FALSE())</f>
        <v>9.8958333333333339</v>
      </c>
      <c r="K8" s="122">
        <f t="shared" si="8"/>
        <v>3.4896650968079554</v>
      </c>
      <c r="L8" s="122">
        <f t="shared" si="9"/>
        <v>34.533144187162058</v>
      </c>
      <c r="M8" s="131"/>
      <c r="N8" s="131"/>
      <c r="O8" s="338"/>
      <c r="P8" s="338"/>
      <c r="AI8" s="79" t="s">
        <v>158</v>
      </c>
      <c r="AJ8" s="323" t="s">
        <v>180</v>
      </c>
      <c r="AK8" s="334" t="s">
        <v>165</v>
      </c>
      <c r="AL8" s="223">
        <v>100</v>
      </c>
      <c r="AM8" s="126">
        <f t="shared" si="4"/>
        <v>3.1616688396349408</v>
      </c>
      <c r="AN8" s="299">
        <v>1</v>
      </c>
      <c r="AO8" s="119">
        <f t="shared" si="5"/>
        <v>316.16688396349406</v>
      </c>
      <c r="AP8" s="207">
        <f t="shared" si="6"/>
        <v>316.16688396349406</v>
      </c>
      <c r="AQ8" s="1172">
        <f>VLOOKUP(AJ8,Marination_Ordering!$A:$J,6,FALSE)</f>
        <v>1</v>
      </c>
      <c r="AR8" s="1172">
        <f>VLOOKUP(AJ8,Marination_Ordering!$A:$J,10,FALSE)</f>
        <v>9.8958333333333339</v>
      </c>
      <c r="AS8" s="175">
        <f t="shared" si="10"/>
        <v>316.16688396349406</v>
      </c>
      <c r="AT8" s="1172">
        <f t="shared" si="11"/>
        <v>3.1287347892220772</v>
      </c>
    </row>
    <row r="9" spans="1:46" ht="14.25" customHeight="1" x14ac:dyDescent="0.3">
      <c r="A9" s="128" t="s">
        <v>57</v>
      </c>
      <c r="B9" s="605" t="s">
        <v>824</v>
      </c>
      <c r="C9" s="115" t="s">
        <v>14</v>
      </c>
      <c r="D9" s="125">
        <v>5</v>
      </c>
      <c r="E9" s="126">
        <f t="shared" si="7"/>
        <v>13.958660387231822</v>
      </c>
      <c r="F9" s="299">
        <v>0.9</v>
      </c>
      <c r="G9" s="119">
        <f t="shared" si="0"/>
        <v>69.793301936159111</v>
      </c>
      <c r="H9" s="207">
        <f t="shared" si="1"/>
        <v>62.813971742543202</v>
      </c>
      <c r="I9" s="81">
        <f>VLOOKUP(B9,All_Ingredients!$A$1:$F$151,6,FALSE())</f>
        <v>0.9</v>
      </c>
      <c r="J9" s="119">
        <f>VLOOKUP(B9,All_Ingredients!$A$1:$J$151,10,FALSE())</f>
        <v>30</v>
      </c>
      <c r="K9" s="122">
        <f t="shared" si="8"/>
        <v>6.9793301936159111E-2</v>
      </c>
      <c r="L9" s="122">
        <f t="shared" si="9"/>
        <v>2.0937990580847732</v>
      </c>
      <c r="M9" s="131"/>
      <c r="N9" s="131"/>
      <c r="O9" s="338"/>
      <c r="P9" s="338"/>
      <c r="AI9" s="79" t="s">
        <v>97</v>
      </c>
      <c r="AJ9" s="323" t="s">
        <v>117</v>
      </c>
      <c r="AK9" s="334" t="s">
        <v>14</v>
      </c>
      <c r="AL9" s="116">
        <v>3</v>
      </c>
      <c r="AM9" s="126">
        <f t="shared" si="4"/>
        <v>3.1616688396349408</v>
      </c>
      <c r="AN9" s="299">
        <v>1</v>
      </c>
      <c r="AO9" s="119">
        <f t="shared" si="5"/>
        <v>9.4850065189048216</v>
      </c>
      <c r="AP9" s="207">
        <f t="shared" si="6"/>
        <v>9.4850065189048216</v>
      </c>
      <c r="AQ9" s="1172">
        <f>VLOOKUP(AJ9,Marination_Ordering!$A:$J,6,FALSE)</f>
        <v>1</v>
      </c>
      <c r="AR9" s="1172">
        <f>VLOOKUP(AJ9,Marination_Ordering!$A:$J,10,FALSE)</f>
        <v>20</v>
      </c>
      <c r="AS9" s="175">
        <f t="shared" ref="AS9:AS19" si="12">AP9/AQ9</f>
        <v>9.4850065189048216</v>
      </c>
      <c r="AT9" s="1172">
        <f t="shared" ref="AT9:AT19" si="13">AR9*(AS9/1000)</f>
        <v>0.18970013037809641</v>
      </c>
    </row>
    <row r="10" spans="1:46" ht="14.25" customHeight="1" x14ac:dyDescent="0.3">
      <c r="A10" s="128" t="s">
        <v>57</v>
      </c>
      <c r="B10" s="605" t="s">
        <v>825</v>
      </c>
      <c r="C10" s="115" t="s">
        <v>14</v>
      </c>
      <c r="D10" s="125">
        <v>3</v>
      </c>
      <c r="E10" s="126">
        <f t="shared" si="7"/>
        <v>13.958660387231822</v>
      </c>
      <c r="F10" s="299">
        <v>0.75</v>
      </c>
      <c r="G10" s="119">
        <f t="shared" si="0"/>
        <v>41.875981161695464</v>
      </c>
      <c r="H10" s="207">
        <f t="shared" si="1"/>
        <v>31.406985871271598</v>
      </c>
      <c r="I10" s="81">
        <f>VLOOKUP(B10,All_Ingredients!$A$1:$F$151,6,FALSE())</f>
        <v>0.85</v>
      </c>
      <c r="J10" s="119">
        <f>VLOOKUP(B10,All_Ingredients!$A$1:$J$151,10,FALSE())</f>
        <v>30</v>
      </c>
      <c r="K10" s="122">
        <f t="shared" si="8"/>
        <v>3.6949395142672474E-2</v>
      </c>
      <c r="L10" s="122">
        <f t="shared" si="9"/>
        <v>1.1084818542801742</v>
      </c>
      <c r="M10" s="131"/>
      <c r="N10" s="131"/>
      <c r="O10" s="338"/>
      <c r="P10" s="338"/>
      <c r="AI10" s="79" t="s">
        <v>97</v>
      </c>
      <c r="AJ10" s="323" t="s">
        <v>122</v>
      </c>
      <c r="AK10" s="334" t="s">
        <v>14</v>
      </c>
      <c r="AL10" s="116">
        <v>10</v>
      </c>
      <c r="AM10" s="126">
        <f t="shared" si="4"/>
        <v>3.1616688396349408</v>
      </c>
      <c r="AN10" s="299">
        <v>1</v>
      </c>
      <c r="AO10" s="119">
        <f t="shared" si="5"/>
        <v>31.61668839634941</v>
      </c>
      <c r="AP10" s="207">
        <f t="shared" si="6"/>
        <v>31.61668839634941</v>
      </c>
      <c r="AQ10" s="1172">
        <f>VLOOKUP(AJ10,Marination_Ordering!$A:$J,6,FALSE)</f>
        <v>1</v>
      </c>
      <c r="AR10" s="1172">
        <f>VLOOKUP(AJ10,Marination_Ordering!$A:$J,10,FALSE)</f>
        <v>15</v>
      </c>
      <c r="AS10" s="175">
        <f t="shared" si="12"/>
        <v>31.61668839634941</v>
      </c>
      <c r="AT10" s="1172">
        <f t="shared" si="13"/>
        <v>0.47425032594524114</v>
      </c>
    </row>
    <row r="11" spans="1:46" ht="14.25" customHeight="1" x14ac:dyDescent="0.3">
      <c r="A11" s="128" t="s">
        <v>13</v>
      </c>
      <c r="B11" s="605" t="s">
        <v>34</v>
      </c>
      <c r="C11" s="115" t="s">
        <v>14</v>
      </c>
      <c r="D11" s="125">
        <v>2</v>
      </c>
      <c r="E11" s="126">
        <f t="shared" si="7"/>
        <v>13.958660387231822</v>
      </c>
      <c r="F11" s="299">
        <v>0.75</v>
      </c>
      <c r="G11" s="119">
        <f t="shared" si="0"/>
        <v>27.917320774463644</v>
      </c>
      <c r="H11" s="207">
        <f t="shared" si="1"/>
        <v>20.937990580847732</v>
      </c>
      <c r="I11" s="81">
        <f>VLOOKUP(B11,All_Ingredients!$A$1:$F$151,6,FALSE())</f>
        <v>0.86</v>
      </c>
      <c r="J11" s="119">
        <f>VLOOKUP(B11,All_Ingredients!$A$1:$J$151,10,FALSE())</f>
        <v>14</v>
      </c>
      <c r="K11" s="122">
        <f t="shared" si="8"/>
        <v>2.434650067540434E-2</v>
      </c>
      <c r="L11" s="122">
        <f t="shared" si="9"/>
        <v>0.34085100945566077</v>
      </c>
      <c r="M11" s="131"/>
      <c r="N11" s="131"/>
      <c r="O11" s="338"/>
      <c r="P11" s="338"/>
      <c r="AI11" s="79" t="s">
        <v>97</v>
      </c>
      <c r="AJ11" s="323" t="s">
        <v>102</v>
      </c>
      <c r="AK11" s="334" t="s">
        <v>14</v>
      </c>
      <c r="AL11" s="116">
        <v>3</v>
      </c>
      <c r="AM11" s="126">
        <f t="shared" si="4"/>
        <v>3.1616688396349408</v>
      </c>
      <c r="AN11" s="299">
        <v>1</v>
      </c>
      <c r="AO11" s="119">
        <f t="shared" si="5"/>
        <v>9.4850065189048216</v>
      </c>
      <c r="AP11" s="207">
        <f t="shared" si="6"/>
        <v>9.4850065189048216</v>
      </c>
      <c r="AQ11" s="1172">
        <f>VLOOKUP(AJ11,Marination_Ordering!$A:$J,6,FALSE)</f>
        <v>1</v>
      </c>
      <c r="AR11" s="1172">
        <f>VLOOKUP(AJ11,Marination_Ordering!$A:$J,10,FALSE)</f>
        <v>31</v>
      </c>
      <c r="AS11" s="175">
        <f t="shared" si="12"/>
        <v>9.4850065189048216</v>
      </c>
      <c r="AT11" s="1172">
        <f t="shared" si="13"/>
        <v>0.29403520208604944</v>
      </c>
    </row>
    <row r="12" spans="1:46" ht="14.25" customHeight="1" x14ac:dyDescent="0.3">
      <c r="A12" s="128" t="s">
        <v>63</v>
      </c>
      <c r="B12" s="605" t="s">
        <v>62</v>
      </c>
      <c r="C12" s="115" t="s">
        <v>14</v>
      </c>
      <c r="D12" s="125">
        <v>10</v>
      </c>
      <c r="E12" s="126">
        <f t="shared" si="7"/>
        <v>13.958660387231822</v>
      </c>
      <c r="F12" s="299">
        <v>0.9</v>
      </c>
      <c r="G12" s="119">
        <f t="shared" si="0"/>
        <v>139.58660387231822</v>
      </c>
      <c r="H12" s="207">
        <f t="shared" si="1"/>
        <v>125.6279434850864</v>
      </c>
      <c r="I12" s="81">
        <f>VLOOKUP(B12,All_Ingredients!$A$1:$F$151,6,FALSE())</f>
        <v>0.94</v>
      </c>
      <c r="J12" s="119">
        <f>VLOOKUP(B12,All_Ingredients!$A$1:$J$151,10,FALSE())</f>
        <v>3.6363636363636367</v>
      </c>
      <c r="K12" s="122">
        <f t="shared" si="8"/>
        <v>0.1336467483883898</v>
      </c>
      <c r="L12" s="122">
        <f t="shared" si="9"/>
        <v>0.48598817595778115</v>
      </c>
      <c r="M12" s="131"/>
      <c r="N12" s="131"/>
      <c r="O12" s="338"/>
      <c r="P12" s="338"/>
      <c r="AI12" s="79" t="s">
        <v>97</v>
      </c>
      <c r="AJ12" s="323" t="s">
        <v>96</v>
      </c>
      <c r="AK12" s="334" t="s">
        <v>14</v>
      </c>
      <c r="AL12" s="125">
        <v>5</v>
      </c>
      <c r="AM12" s="126">
        <f t="shared" si="4"/>
        <v>3.1616688396349408</v>
      </c>
      <c r="AN12" s="299">
        <v>1</v>
      </c>
      <c r="AO12" s="119">
        <f t="shared" si="5"/>
        <v>15.808344198174705</v>
      </c>
      <c r="AP12" s="207">
        <f t="shared" si="6"/>
        <v>15.808344198174705</v>
      </c>
      <c r="AQ12" s="1172">
        <f>VLOOKUP(AJ12,Marination_Ordering!$A:$J,6,FALSE)</f>
        <v>1</v>
      </c>
      <c r="AR12" s="1172">
        <f>VLOOKUP(AJ12,Marination_Ordering!$A:$J,10,FALSE)</f>
        <v>0.74</v>
      </c>
      <c r="AS12" s="175">
        <f t="shared" si="12"/>
        <v>15.808344198174705</v>
      </c>
      <c r="AT12" s="1172">
        <f t="shared" si="13"/>
        <v>1.1698174706649281E-2</v>
      </c>
    </row>
    <row r="13" spans="1:46" ht="14.25" customHeight="1" x14ac:dyDescent="0.3">
      <c r="A13" s="128" t="s">
        <v>97</v>
      </c>
      <c r="B13" s="605" t="s">
        <v>108</v>
      </c>
      <c r="C13" s="115" t="s">
        <v>14</v>
      </c>
      <c r="D13" s="125">
        <v>5</v>
      </c>
      <c r="E13" s="126">
        <f t="shared" si="7"/>
        <v>13.958660387231822</v>
      </c>
      <c r="F13" s="299">
        <v>0.75</v>
      </c>
      <c r="G13" s="119">
        <f t="shared" si="0"/>
        <v>69.793301936159111</v>
      </c>
      <c r="H13" s="207">
        <f t="shared" si="1"/>
        <v>52.344976452119333</v>
      </c>
      <c r="I13" s="81">
        <f>VLOOKUP(B13,All_Ingredients!$A$1:$F$151,6,FALSE())</f>
        <v>1</v>
      </c>
      <c r="J13" s="119">
        <f>VLOOKUP(B13,All_Ingredients!$A$1:$J$151,10,FALSE())</f>
        <v>15</v>
      </c>
      <c r="K13" s="122">
        <f t="shared" si="8"/>
        <v>5.2344976452119336E-2</v>
      </c>
      <c r="L13" s="122">
        <f t="shared" si="9"/>
        <v>0.78517464678179005</v>
      </c>
      <c r="M13" s="131"/>
      <c r="N13" s="131"/>
      <c r="O13" s="338"/>
      <c r="P13" s="338"/>
      <c r="AI13" s="79" t="s">
        <v>220</v>
      </c>
      <c r="AJ13" s="323" t="s">
        <v>815</v>
      </c>
      <c r="AK13" s="334" t="s">
        <v>14</v>
      </c>
      <c r="AL13" s="116">
        <v>5</v>
      </c>
      <c r="AM13" s="126">
        <f t="shared" si="4"/>
        <v>3.1616688396349408</v>
      </c>
      <c r="AN13" s="299">
        <v>1</v>
      </c>
      <c r="AO13" s="119">
        <f t="shared" si="5"/>
        <v>15.808344198174705</v>
      </c>
      <c r="AP13" s="207">
        <f t="shared" si="6"/>
        <v>15.808344198174705</v>
      </c>
      <c r="AQ13" s="1172">
        <f>VLOOKUP(AJ13,Marination_Ordering!$A:$J,6,FALSE)</f>
        <v>1</v>
      </c>
      <c r="AR13" s="1172">
        <f>VLOOKUP(AJ13,Marination_Ordering!$A:$J,10,FALSE)</f>
        <v>22.5</v>
      </c>
      <c r="AS13" s="175">
        <f t="shared" si="12"/>
        <v>15.808344198174705</v>
      </c>
      <c r="AT13" s="1172">
        <f t="shared" si="13"/>
        <v>0.35568774445893087</v>
      </c>
    </row>
    <row r="14" spans="1:46" ht="14.25" customHeight="1" x14ac:dyDescent="0.3">
      <c r="A14" s="128" t="s">
        <v>97</v>
      </c>
      <c r="B14" s="605" t="s">
        <v>110</v>
      </c>
      <c r="C14" s="115" t="s">
        <v>14</v>
      </c>
      <c r="D14" s="125">
        <v>5</v>
      </c>
      <c r="E14" s="126">
        <f t="shared" si="7"/>
        <v>13.958660387231822</v>
      </c>
      <c r="F14" s="299">
        <v>0.75</v>
      </c>
      <c r="G14" s="119">
        <f t="shared" si="0"/>
        <v>69.793301936159111</v>
      </c>
      <c r="H14" s="207">
        <f t="shared" si="1"/>
        <v>52.344976452119333</v>
      </c>
      <c r="I14" s="81">
        <f>VLOOKUP(B14,All_Ingredients!$A$1:$F$151,6,FALSE())</f>
        <v>1</v>
      </c>
      <c r="J14" s="119">
        <f>VLOOKUP(B14,All_Ingredients!$A$1:$J$151,10,FALSE())</f>
        <v>8</v>
      </c>
      <c r="K14" s="122">
        <f t="shared" si="8"/>
        <v>5.2344976452119336E-2</v>
      </c>
      <c r="L14" s="122">
        <f t="shared" si="9"/>
        <v>0.41875981161695469</v>
      </c>
      <c r="M14" s="131"/>
      <c r="N14" s="131"/>
      <c r="O14" s="338"/>
      <c r="P14" s="338"/>
      <c r="AI14" s="79" t="s">
        <v>97</v>
      </c>
      <c r="AJ14" s="323" t="s">
        <v>126</v>
      </c>
      <c r="AK14" s="334" t="s">
        <v>14</v>
      </c>
      <c r="AL14" s="116">
        <v>2</v>
      </c>
      <c r="AM14" s="126">
        <f t="shared" si="4"/>
        <v>3.1616688396349408</v>
      </c>
      <c r="AN14" s="299">
        <v>1</v>
      </c>
      <c r="AO14" s="119">
        <f t="shared" si="5"/>
        <v>6.3233376792698817</v>
      </c>
      <c r="AP14" s="207">
        <f t="shared" si="6"/>
        <v>6.3233376792698817</v>
      </c>
      <c r="AQ14" s="1172">
        <f>VLOOKUP(AJ14,Marination_Ordering!$A:$J,6,FALSE)</f>
        <v>1</v>
      </c>
      <c r="AR14" s="1172">
        <f>VLOOKUP(AJ14,Marination_Ordering!$A:$J,10,FALSE)</f>
        <v>14</v>
      </c>
      <c r="AS14" s="175">
        <f t="shared" si="12"/>
        <v>6.3233376792698817</v>
      </c>
      <c r="AT14" s="1172">
        <f t="shared" si="13"/>
        <v>8.8526727509778344E-2</v>
      </c>
    </row>
    <row r="15" spans="1:46" ht="14.25" customHeight="1" x14ac:dyDescent="0.3">
      <c r="A15" s="128" t="s">
        <v>97</v>
      </c>
      <c r="B15" s="605" t="s">
        <v>102</v>
      </c>
      <c r="C15" s="115" t="s">
        <v>14</v>
      </c>
      <c r="D15" s="125">
        <v>2</v>
      </c>
      <c r="E15" s="126">
        <f t="shared" si="7"/>
        <v>13.958660387231822</v>
      </c>
      <c r="F15" s="299">
        <v>0.75</v>
      </c>
      <c r="G15" s="119">
        <f t="shared" si="0"/>
        <v>27.917320774463644</v>
      </c>
      <c r="H15" s="207">
        <f t="shared" si="1"/>
        <v>20.937990580847732</v>
      </c>
      <c r="I15" s="81">
        <f>VLOOKUP(B15,All_Ingredients!$A$1:$F$151,6,FALSE())</f>
        <v>1</v>
      </c>
      <c r="J15" s="119">
        <f>VLOOKUP(B15,All_Ingredients!$A$1:$J$151,10,FALSE())</f>
        <v>31</v>
      </c>
      <c r="K15" s="122">
        <f t="shared" si="8"/>
        <v>2.0937990580847731E-2</v>
      </c>
      <c r="L15" s="122">
        <f t="shared" si="9"/>
        <v>0.64907770800627962</v>
      </c>
      <c r="M15" s="131"/>
      <c r="N15" s="131"/>
      <c r="O15" s="338"/>
      <c r="P15" s="338"/>
      <c r="AI15" s="79" t="s">
        <v>97</v>
      </c>
      <c r="AJ15" s="323" t="s">
        <v>128</v>
      </c>
      <c r="AK15" s="334" t="s">
        <v>14</v>
      </c>
      <c r="AL15" s="116">
        <v>7</v>
      </c>
      <c r="AM15" s="126">
        <f t="shared" si="4"/>
        <v>3.1616688396349408</v>
      </c>
      <c r="AN15" s="299">
        <v>1</v>
      </c>
      <c r="AO15" s="119">
        <f t="shared" si="5"/>
        <v>22.131681877444585</v>
      </c>
      <c r="AP15" s="207">
        <f t="shared" si="6"/>
        <v>22.131681877444585</v>
      </c>
      <c r="AQ15" s="1172">
        <f>VLOOKUP(AJ15,Marination_Ordering!$A:$J,6,FALSE)</f>
        <v>1</v>
      </c>
      <c r="AR15" s="1172">
        <f>VLOOKUP(AJ15,Marination_Ordering!$A:$J,10,FALSE)</f>
        <v>37</v>
      </c>
      <c r="AS15" s="175">
        <f t="shared" si="12"/>
        <v>22.131681877444585</v>
      </c>
      <c r="AT15" s="1172">
        <f t="shared" si="13"/>
        <v>0.81887222946544969</v>
      </c>
    </row>
    <row r="16" spans="1:46" ht="14.25" customHeight="1" x14ac:dyDescent="0.35">
      <c r="A16" s="128" t="s">
        <v>196</v>
      </c>
      <c r="B16" s="605" t="s">
        <v>204</v>
      </c>
      <c r="C16" s="1010" t="s">
        <v>165</v>
      </c>
      <c r="D16" s="125">
        <v>20</v>
      </c>
      <c r="E16" s="126">
        <f t="shared" si="7"/>
        <v>13.958660387231822</v>
      </c>
      <c r="F16" s="299">
        <v>0.9</v>
      </c>
      <c r="G16" s="119">
        <f t="shared" si="0"/>
        <v>279.17320774463644</v>
      </c>
      <c r="H16" s="207">
        <f t="shared" si="1"/>
        <v>251.25588697017281</v>
      </c>
      <c r="I16" s="81">
        <f>VLOOKUP(B16,All_Ingredients!$A$1:$F$151,6,FALSE())</f>
        <v>1</v>
      </c>
      <c r="J16" s="119">
        <f>VLOOKUP(B16,All_Ingredients!$A$1:$J$151,10,FALSE())</f>
        <v>3.25</v>
      </c>
      <c r="K16" s="122">
        <f t="shared" si="8"/>
        <v>0.25125588697017281</v>
      </c>
      <c r="L16" s="122">
        <f t="shared" si="9"/>
        <v>0.81658163265306161</v>
      </c>
      <c r="M16" s="131"/>
      <c r="N16" s="131"/>
      <c r="O16" s="338"/>
      <c r="P16" s="338"/>
      <c r="AI16" s="79" t="s">
        <v>57</v>
      </c>
      <c r="AJ16" s="323" t="s">
        <v>56</v>
      </c>
      <c r="AK16" s="334" t="s">
        <v>14</v>
      </c>
      <c r="AL16" s="125">
        <v>100</v>
      </c>
      <c r="AM16" s="126">
        <f t="shared" si="4"/>
        <v>3.1616688396349408</v>
      </c>
      <c r="AN16" s="299">
        <v>1</v>
      </c>
      <c r="AO16" s="119">
        <f t="shared" si="5"/>
        <v>316.16688396349406</v>
      </c>
      <c r="AP16" s="207">
        <f t="shared" si="6"/>
        <v>316.16688396349406</v>
      </c>
      <c r="AQ16" s="1172">
        <f>VLOOKUP(AJ16,Marination_Ordering!$A:$J,6,FALSE)</f>
        <v>0.87</v>
      </c>
      <c r="AR16" s="1172">
        <f>VLOOKUP(AJ16,Marination_Ordering!$A:$J,10,FALSE)</f>
        <v>3.2</v>
      </c>
      <c r="AS16" s="175">
        <f t="shared" si="12"/>
        <v>363.410211452292</v>
      </c>
      <c r="AT16" s="1172">
        <f t="shared" si="13"/>
        <v>1.1629126766473346</v>
      </c>
    </row>
    <row r="17" spans="1:46" ht="14.25" customHeight="1" x14ac:dyDescent="0.3">
      <c r="A17" s="128" t="s">
        <v>186</v>
      </c>
      <c r="B17" s="605" t="s">
        <v>187</v>
      </c>
      <c r="C17" s="115" t="s">
        <v>14</v>
      </c>
      <c r="D17" s="125">
        <v>10</v>
      </c>
      <c r="E17" s="126">
        <f t="shared" si="7"/>
        <v>13.958660387231822</v>
      </c>
      <c r="F17" s="299">
        <v>1</v>
      </c>
      <c r="G17" s="119">
        <f t="shared" si="0"/>
        <v>139.58660387231822</v>
      </c>
      <c r="H17" s="207">
        <f t="shared" si="1"/>
        <v>139.58660387231822</v>
      </c>
      <c r="I17" s="81">
        <f>VLOOKUP(B17,All_Ingredients!$A$1:$F$151,6,FALSE())</f>
        <v>1</v>
      </c>
      <c r="J17" s="119">
        <f>VLOOKUP(B17,All_Ingredients!$A$1:$J$151,10,FALSE())</f>
        <v>6.5</v>
      </c>
      <c r="K17" s="122">
        <f t="shared" si="8"/>
        <v>0.13958660387231822</v>
      </c>
      <c r="L17" s="122">
        <f t="shared" si="9"/>
        <v>0.90731292517006845</v>
      </c>
      <c r="M17" s="131"/>
      <c r="N17" s="131"/>
      <c r="O17" s="338"/>
      <c r="P17" s="338"/>
      <c r="AI17" s="79" t="s">
        <v>13</v>
      </c>
      <c r="AJ17" s="323" t="s">
        <v>792</v>
      </c>
      <c r="AK17" s="334" t="s">
        <v>14</v>
      </c>
      <c r="AL17" s="116">
        <v>150</v>
      </c>
      <c r="AM17" s="126">
        <f t="shared" si="4"/>
        <v>3.1616688396349408</v>
      </c>
      <c r="AN17" s="299">
        <v>1</v>
      </c>
      <c r="AO17" s="119">
        <f t="shared" si="5"/>
        <v>474.25032594524112</v>
      </c>
      <c r="AP17" s="207">
        <f t="shared" si="6"/>
        <v>474.25032594524112</v>
      </c>
      <c r="AQ17" s="1172">
        <f>VLOOKUP(AJ17,Marination_Ordering!$A:$J,6,FALSE)</f>
        <v>1</v>
      </c>
      <c r="AR17" s="1172">
        <f>VLOOKUP(AJ17,Marination_Ordering!$A:$J,10,FALSE)</f>
        <v>10.5</v>
      </c>
      <c r="AS17" s="175">
        <f t="shared" si="12"/>
        <v>474.25032594524112</v>
      </c>
      <c r="AT17" s="1172">
        <f t="shared" si="13"/>
        <v>4.9796284224250318</v>
      </c>
    </row>
    <row r="18" spans="1:46" ht="14.25" customHeight="1" x14ac:dyDescent="0.3">
      <c r="A18" s="128" t="s">
        <v>13</v>
      </c>
      <c r="B18" s="605" t="s">
        <v>12</v>
      </c>
      <c r="C18" s="115" t="s">
        <v>14</v>
      </c>
      <c r="D18" s="125">
        <v>200</v>
      </c>
      <c r="E18" s="126">
        <f t="shared" si="7"/>
        <v>13.958660387231822</v>
      </c>
      <c r="F18" s="299">
        <v>1</v>
      </c>
      <c r="G18" s="119">
        <f t="shared" si="0"/>
        <v>2791.7320774463642</v>
      </c>
      <c r="H18" s="207">
        <f t="shared" si="1"/>
        <v>2791.7320774463642</v>
      </c>
      <c r="I18" s="81">
        <f>VLOOKUP(B18,All_Ingredients!$A$1:$F$151,6,FALSE())</f>
        <v>0.9</v>
      </c>
      <c r="J18" s="119">
        <f>VLOOKUP(B18,All_Ingredients!$A$1:$J$151,10,FALSE())</f>
        <v>3</v>
      </c>
      <c r="K18" s="122">
        <f t="shared" si="8"/>
        <v>3.10192453049596</v>
      </c>
      <c r="L18" s="122">
        <f t="shared" si="9"/>
        <v>9.3057735914878794</v>
      </c>
      <c r="M18" s="131"/>
      <c r="N18" s="131"/>
      <c r="O18" s="338"/>
      <c r="P18" s="338"/>
      <c r="AI18" s="79" t="s">
        <v>210</v>
      </c>
      <c r="AJ18" s="323" t="s">
        <v>219</v>
      </c>
      <c r="AK18" s="334" t="s">
        <v>165</v>
      </c>
      <c r="AL18" s="116">
        <v>300</v>
      </c>
      <c r="AM18" s="126">
        <f t="shared" si="4"/>
        <v>3.1616688396349408</v>
      </c>
      <c r="AN18" s="299">
        <v>1</v>
      </c>
      <c r="AO18" s="119">
        <f t="shared" si="5"/>
        <v>948.50065189048223</v>
      </c>
      <c r="AP18" s="207">
        <f t="shared" si="6"/>
        <v>948.50065189048223</v>
      </c>
      <c r="AQ18" s="1172">
        <f>VLOOKUP(AJ18,Marination_Ordering!$A:$J,6,FALSE)</f>
        <v>1</v>
      </c>
      <c r="AR18" s="1172">
        <f>VLOOKUP(AJ18,Marination_Ordering!$A:$J,10,FALSE)</f>
        <v>5</v>
      </c>
      <c r="AS18" s="175">
        <f t="shared" si="12"/>
        <v>948.50065189048223</v>
      </c>
      <c r="AT18" s="1172">
        <f t="shared" si="13"/>
        <v>4.7425032594524117</v>
      </c>
    </row>
    <row r="19" spans="1:46" ht="14.25" customHeight="1" x14ac:dyDescent="0.3">
      <c r="A19" s="128" t="s">
        <v>57</v>
      </c>
      <c r="B19" s="605" t="s">
        <v>56</v>
      </c>
      <c r="C19" s="115" t="s">
        <v>14</v>
      </c>
      <c r="D19" s="125">
        <v>20</v>
      </c>
      <c r="E19" s="126">
        <f t="shared" si="7"/>
        <v>13.958660387231822</v>
      </c>
      <c r="F19" s="299">
        <v>0.9</v>
      </c>
      <c r="G19" s="119">
        <f t="shared" si="0"/>
        <v>279.17320774463644</v>
      </c>
      <c r="H19" s="207">
        <f t="shared" si="1"/>
        <v>251.25588697017281</v>
      </c>
      <c r="I19" s="81">
        <f>VLOOKUP(B19,All_Ingredients!$A$1:$F$151,6,FALSE())</f>
        <v>0.87</v>
      </c>
      <c r="J19" s="119">
        <f>VLOOKUP(B19,All_Ingredients!$A$1:$J$151,10,FALSE())</f>
        <v>7</v>
      </c>
      <c r="K19" s="122">
        <f t="shared" si="8"/>
        <v>0.28879987008065844</v>
      </c>
      <c r="L19" s="122">
        <f t="shared" si="9"/>
        <v>2.0215990905646093</v>
      </c>
      <c r="M19" s="131"/>
      <c r="N19" s="131"/>
      <c r="O19" s="338"/>
      <c r="P19" s="338"/>
      <c r="AI19" s="79" t="s">
        <v>210</v>
      </c>
      <c r="AJ19" s="323" t="s">
        <v>215</v>
      </c>
      <c r="AK19" s="124" t="s">
        <v>165</v>
      </c>
      <c r="AL19" s="116">
        <v>50</v>
      </c>
      <c r="AM19" s="126">
        <f t="shared" si="4"/>
        <v>3.1616688396349408</v>
      </c>
      <c r="AN19" s="299">
        <v>1</v>
      </c>
      <c r="AO19" s="119">
        <f t="shared" si="5"/>
        <v>158.08344198174703</v>
      </c>
      <c r="AP19" s="207">
        <f t="shared" si="6"/>
        <v>158.08344198174703</v>
      </c>
      <c r="AQ19" s="1172">
        <f>VLOOKUP(AJ19,Marination_Ordering!$A:$J,6,FALSE)</f>
        <v>1</v>
      </c>
      <c r="AR19" s="1172">
        <f>VLOOKUP(AJ19,Marination_Ordering!$A:$J,10,FALSE)</f>
        <v>2.1621621621621623</v>
      </c>
      <c r="AS19" s="175">
        <f t="shared" si="12"/>
        <v>158.08344198174703</v>
      </c>
      <c r="AT19" s="1172">
        <f t="shared" si="13"/>
        <v>0.34180203671729092</v>
      </c>
    </row>
    <row r="20" spans="1:46" ht="14.25" customHeight="1" x14ac:dyDescent="0.3">
      <c r="A20" s="128" t="s">
        <v>13</v>
      </c>
      <c r="B20" s="605" t="s">
        <v>792</v>
      </c>
      <c r="C20" s="115" t="s">
        <v>14</v>
      </c>
      <c r="D20" s="125">
        <v>20</v>
      </c>
      <c r="E20" s="126">
        <f t="shared" si="7"/>
        <v>13.958660387231822</v>
      </c>
      <c r="F20" s="299">
        <v>0.9</v>
      </c>
      <c r="G20" s="119">
        <f t="shared" si="0"/>
        <v>279.17320774463644</v>
      </c>
      <c r="H20" s="207">
        <f t="shared" si="1"/>
        <v>251.25588697017281</v>
      </c>
      <c r="I20" s="81">
        <f>VLOOKUP(B20,All_Ingredients!$A$1:$F$151,6,FALSE())</f>
        <v>1</v>
      </c>
      <c r="J20" s="119">
        <f>VLOOKUP(B20,All_Ingredients!$A$1:$J$151,10,FALSE())</f>
        <v>10.5</v>
      </c>
      <c r="K20" s="122">
        <f t="shared" si="8"/>
        <v>0.25125588697017281</v>
      </c>
      <c r="L20" s="122">
        <f t="shared" si="9"/>
        <v>2.6381868131868145</v>
      </c>
      <c r="M20" s="131"/>
      <c r="N20" s="131"/>
      <c r="O20" s="338"/>
      <c r="P20" s="338"/>
    </row>
    <row r="21" spans="1:46" ht="14.25" customHeight="1" x14ac:dyDescent="0.3">
      <c r="A21" s="128" t="s">
        <v>210</v>
      </c>
      <c r="B21" s="605" t="s">
        <v>219</v>
      </c>
      <c r="C21" s="115" t="s">
        <v>165</v>
      </c>
      <c r="D21" s="125">
        <v>5</v>
      </c>
      <c r="E21" s="126">
        <f t="shared" si="7"/>
        <v>13.958660387231822</v>
      </c>
      <c r="F21" s="299">
        <v>1</v>
      </c>
      <c r="G21" s="119">
        <f t="shared" si="0"/>
        <v>69.793301936159111</v>
      </c>
      <c r="H21" s="207">
        <f t="shared" si="1"/>
        <v>69.793301936159111</v>
      </c>
      <c r="I21" s="81">
        <f>VLOOKUP(B21,All_Ingredients!$A$1:$F$151,6,FALSE())</f>
        <v>1</v>
      </c>
      <c r="J21" s="119">
        <f>VLOOKUP(B21,All_Ingredients!$A$1:$J$151,10,FALSE())</f>
        <v>5</v>
      </c>
      <c r="K21" s="122">
        <f t="shared" si="8"/>
        <v>6.9793301936159111E-2</v>
      </c>
      <c r="L21" s="122">
        <f t="shared" si="9"/>
        <v>0.34896650968079557</v>
      </c>
      <c r="M21" s="131"/>
      <c r="N21" s="131"/>
      <c r="O21" s="338"/>
      <c r="P21" s="338"/>
    </row>
    <row r="22" spans="1:46" ht="14.25" customHeight="1" x14ac:dyDescent="0.3">
      <c r="A22" s="128" t="s">
        <v>13</v>
      </c>
      <c r="B22" s="605" t="s">
        <v>17</v>
      </c>
      <c r="C22" s="115" t="s">
        <v>14</v>
      </c>
      <c r="D22" s="125">
        <v>350</v>
      </c>
      <c r="E22" s="126">
        <f t="shared" si="7"/>
        <v>13.958660387231822</v>
      </c>
      <c r="F22" s="299">
        <v>0.95</v>
      </c>
      <c r="G22" s="119">
        <f t="shared" si="0"/>
        <v>4885.5311355311378</v>
      </c>
      <c r="H22" s="207">
        <f t="shared" si="1"/>
        <v>4641.2545787545805</v>
      </c>
      <c r="I22" s="81">
        <f>VLOOKUP(B22,All_Ingredients!$A$1:$F$151,6,FALSE())</f>
        <v>0.98</v>
      </c>
      <c r="J22" s="119">
        <f>VLOOKUP(B22,All_Ingredients!$A$1:$J$151,10,FALSE())</f>
        <v>3.5</v>
      </c>
      <c r="K22" s="122">
        <f t="shared" si="8"/>
        <v>4.7359740599536533</v>
      </c>
      <c r="L22" s="122">
        <f t="shared" si="9"/>
        <v>16.575909209837786</v>
      </c>
      <c r="M22" s="131"/>
      <c r="N22" s="131"/>
      <c r="O22" s="338"/>
      <c r="P22" s="338"/>
    </row>
    <row r="23" spans="1:46" ht="14.25" customHeight="1" x14ac:dyDescent="0.3">
      <c r="A23" s="128" t="s">
        <v>210</v>
      </c>
      <c r="B23" s="605" t="s">
        <v>209</v>
      </c>
      <c r="C23" s="115" t="s">
        <v>165</v>
      </c>
      <c r="D23" s="125">
        <v>100</v>
      </c>
      <c r="E23" s="126">
        <f t="shared" si="7"/>
        <v>13.958660387231822</v>
      </c>
      <c r="F23" s="299">
        <v>1</v>
      </c>
      <c r="G23" s="119">
        <f t="shared" si="0"/>
        <v>1395.8660387231821</v>
      </c>
      <c r="H23" s="207">
        <f t="shared" si="1"/>
        <v>1395.8660387231821</v>
      </c>
      <c r="I23" s="81">
        <f>VLOOKUP(B23,All_Ingredients!$A$1:$F$151,6,FALSE())</f>
        <v>1</v>
      </c>
      <c r="J23" s="119">
        <f>VLOOKUP(B23,All_Ingredients!$A$1:$J$151,10,FALSE())</f>
        <v>0</v>
      </c>
      <c r="K23" s="122">
        <f t="shared" si="8"/>
        <v>1.395866038723182</v>
      </c>
      <c r="L23" s="122">
        <f t="shared" si="9"/>
        <v>0</v>
      </c>
      <c r="M23" s="131"/>
      <c r="N23" s="131"/>
      <c r="O23" s="338"/>
      <c r="P23" s="338"/>
      <c r="S23" s="275"/>
    </row>
    <row r="24" spans="1:46" ht="14.25" customHeight="1" x14ac:dyDescent="0.3">
      <c r="A24" s="128" t="s">
        <v>192</v>
      </c>
      <c r="B24" s="605" t="s">
        <v>193</v>
      </c>
      <c r="C24" s="115" t="s">
        <v>14</v>
      </c>
      <c r="D24" s="125">
        <v>20</v>
      </c>
      <c r="E24" s="126">
        <f t="shared" si="7"/>
        <v>13.958660387231822</v>
      </c>
      <c r="F24" s="299">
        <v>0.75</v>
      </c>
      <c r="G24" s="119">
        <f t="shared" si="0"/>
        <v>279.17320774463644</v>
      </c>
      <c r="H24" s="207">
        <f t="shared" si="1"/>
        <v>209.37990580847733</v>
      </c>
      <c r="I24" s="81">
        <f>VLOOKUP(B24,All_Ingredients!$A$1:$F$151,6,FALSE())</f>
        <v>0.9</v>
      </c>
      <c r="J24" s="119">
        <f>VLOOKUP(B24,All_Ingredients!$A$1:$J$151,10,FALSE())</f>
        <v>2.3199999999999998</v>
      </c>
      <c r="K24" s="122">
        <f t="shared" si="8"/>
        <v>0.23264433978719704</v>
      </c>
      <c r="L24" s="122">
        <f t="shared" si="9"/>
        <v>0.53973486830629713</v>
      </c>
      <c r="M24" s="131"/>
      <c r="N24" s="131"/>
      <c r="O24" s="338"/>
      <c r="P24" s="338"/>
      <c r="Z24" s="1234"/>
    </row>
    <row r="25" spans="1:46" ht="14.25" customHeight="1" x14ac:dyDescent="0.35">
      <c r="A25" s="128" t="s">
        <v>158</v>
      </c>
      <c r="B25" s="605" t="s">
        <v>157</v>
      </c>
      <c r="C25" s="115" t="s">
        <v>14</v>
      </c>
      <c r="D25" s="125">
        <v>30</v>
      </c>
      <c r="E25" s="126">
        <f t="shared" si="7"/>
        <v>13.958660387231822</v>
      </c>
      <c r="F25" s="299">
        <v>1</v>
      </c>
      <c r="G25" s="119">
        <f t="shared" si="0"/>
        <v>418.75981161695466</v>
      </c>
      <c r="H25" s="207">
        <f t="shared" si="1"/>
        <v>418.75981161695466</v>
      </c>
      <c r="I25" s="81">
        <f>VLOOKUP(B25,All_Ingredients!$A$1:$F$151,6,FALSE())</f>
        <v>1</v>
      </c>
      <c r="J25" s="119">
        <f>VLOOKUP(B25,All_Ingredients!$A$1:$J$151,10,FALSE())</f>
        <v>30</v>
      </c>
      <c r="K25" s="122">
        <f t="shared" si="8"/>
        <v>0.41875981161695469</v>
      </c>
      <c r="L25" s="122">
        <f t="shared" si="9"/>
        <v>12.562794348508641</v>
      </c>
      <c r="M25" s="131"/>
      <c r="N25" s="131"/>
      <c r="R25" s="1411" t="s">
        <v>494</v>
      </c>
      <c r="S25" s="1388"/>
      <c r="T25" s="1388"/>
      <c r="U25" s="1388"/>
      <c r="V25" s="1151"/>
      <c r="Z25" s="141" t="s">
        <v>264</v>
      </c>
      <c r="AA25" s="142">
        <v>24250</v>
      </c>
      <c r="AB25" s="141" t="s">
        <v>261</v>
      </c>
      <c r="AC25" s="143">
        <f>(AA25*(4/3))*AF30+(AA30*(AB28/R1))</f>
        <v>745.05214194313737</v>
      </c>
    </row>
    <row r="26" spans="1:46" ht="14.25" customHeight="1" x14ac:dyDescent="0.3">
      <c r="A26" s="128" t="s">
        <v>158</v>
      </c>
      <c r="B26" s="605" t="s">
        <v>168</v>
      </c>
      <c r="C26" s="115" t="s">
        <v>14</v>
      </c>
      <c r="D26" s="115">
        <v>100</v>
      </c>
      <c r="E26" s="126">
        <f t="shared" si="7"/>
        <v>13.958660387231822</v>
      </c>
      <c r="F26" s="299">
        <v>1</v>
      </c>
      <c r="G26" s="119">
        <f t="shared" si="0"/>
        <v>1395.8660387231821</v>
      </c>
      <c r="H26" s="207">
        <f t="shared" si="1"/>
        <v>1395.8660387231821</v>
      </c>
      <c r="I26" s="81">
        <f>VLOOKUP(B26,All_Ingredients!$A$1:$F$151,6,FALSE())</f>
        <v>1</v>
      </c>
      <c r="J26" s="119">
        <f>VLOOKUP(B26,All_Ingredients!$A$1:$J$151,10,FALSE())</f>
        <v>6.6959999999999997</v>
      </c>
      <c r="K26" s="122">
        <f t="shared" si="8"/>
        <v>1.395866038723182</v>
      </c>
      <c r="L26" s="122">
        <f t="shared" si="9"/>
        <v>9.346718995290427</v>
      </c>
      <c r="M26" s="131"/>
      <c r="N26" s="131"/>
      <c r="R26" s="1409" t="s">
        <v>265</v>
      </c>
      <c r="S26" s="1410"/>
      <c r="T26" s="1410"/>
      <c r="U26" s="1410"/>
      <c r="V26" s="1151"/>
    </row>
    <row r="27" spans="1:46" ht="14.25" customHeight="1" thickBot="1" x14ac:dyDescent="0.35">
      <c r="A27" s="128" t="s">
        <v>220</v>
      </c>
      <c r="B27" s="605" t="s">
        <v>815</v>
      </c>
      <c r="C27" s="115" t="s">
        <v>14</v>
      </c>
      <c r="D27" s="115">
        <v>0.5</v>
      </c>
      <c r="E27" s="126">
        <f t="shared" si="7"/>
        <v>13.958660387231822</v>
      </c>
      <c r="F27" s="299">
        <v>1</v>
      </c>
      <c r="G27" s="119">
        <f t="shared" si="0"/>
        <v>6.9793301936159109</v>
      </c>
      <c r="H27" s="207">
        <f t="shared" si="1"/>
        <v>6.9793301936159109</v>
      </c>
      <c r="I27" s="81">
        <f>VLOOKUP(B27,All_Ingredients!$A$1:$F$151,6,FALSE())</f>
        <v>1</v>
      </c>
      <c r="J27" s="119">
        <f>VLOOKUP(B27,All_Ingredients!$A$1:$J$151,10,FALSE())</f>
        <v>22.5</v>
      </c>
      <c r="K27" s="122">
        <f t="shared" si="8"/>
        <v>6.9793301936159112E-3</v>
      </c>
      <c r="L27" s="122">
        <f t="shared" si="9"/>
        <v>0.15703492935635802</v>
      </c>
      <c r="M27" s="131"/>
      <c r="N27" s="131"/>
      <c r="R27" s="145" t="s">
        <v>266</v>
      </c>
      <c r="S27" s="146" t="s">
        <v>267</v>
      </c>
      <c r="T27" s="146" t="s">
        <v>268</v>
      </c>
      <c r="U27" s="146" t="s">
        <v>269</v>
      </c>
      <c r="V27" s="146" t="s">
        <v>839</v>
      </c>
      <c r="W27" s="146" t="s">
        <v>848</v>
      </c>
      <c r="Z27" s="141" t="s">
        <v>270</v>
      </c>
      <c r="AA27" s="1185" t="s">
        <v>324</v>
      </c>
      <c r="AB27" s="147" t="s">
        <v>271</v>
      </c>
      <c r="AC27" s="147" t="s">
        <v>272</v>
      </c>
      <c r="AD27" s="147" t="s">
        <v>273</v>
      </c>
      <c r="AE27" s="1186" t="s">
        <v>848</v>
      </c>
      <c r="AF27" s="147" t="s">
        <v>274</v>
      </c>
    </row>
    <row r="28" spans="1:46" ht="14.25" customHeight="1" thickBot="1" x14ac:dyDescent="0.35">
      <c r="B28" s="606"/>
      <c r="E28" s="100"/>
      <c r="F28" s="535"/>
      <c r="L28" s="297"/>
      <c r="R28" s="148" t="s">
        <v>275</v>
      </c>
      <c r="S28" s="149">
        <f>U28*S40</f>
        <v>17884.615384615379</v>
      </c>
      <c r="T28" s="149">
        <f>U28*U40</f>
        <v>5365.3846153846207</v>
      </c>
      <c r="U28" s="150">
        <f>$Z$1</f>
        <v>23250</v>
      </c>
      <c r="V28" s="149">
        <f>SUM(AP5:AP13)</f>
        <v>524.83702737940007</v>
      </c>
      <c r="W28" s="149">
        <f>H37</f>
        <v>11.200000000000001</v>
      </c>
      <c r="Z28" s="151"/>
      <c r="AA28" s="1188"/>
      <c r="AB28" s="152">
        <f>AA25*$S$40</f>
        <v>18653.846153846149</v>
      </c>
      <c r="AC28" s="152">
        <f>AA25*$U$40</f>
        <v>5596.1538461538521</v>
      </c>
      <c r="AD28" s="153">
        <f>AA25*(1/3)</f>
        <v>8083.333333333333</v>
      </c>
      <c r="AE28" s="1188"/>
      <c r="AF28" s="154">
        <f>SUM(AB28:AD28)</f>
        <v>32333.333333333332</v>
      </c>
    </row>
    <row r="29" spans="1:46" ht="14.25" customHeight="1" thickBot="1" x14ac:dyDescent="0.35">
      <c r="N29" s="298"/>
      <c r="R29" s="148" t="s">
        <v>276</v>
      </c>
      <c r="S29" s="155"/>
      <c r="T29" s="149">
        <f>U28*(1/3)</f>
        <v>7750</v>
      </c>
      <c r="U29" s="149">
        <f>T29</f>
        <v>7750</v>
      </c>
      <c r="V29" s="149"/>
      <c r="W29" s="149"/>
      <c r="Z29" s="151"/>
      <c r="AA29" s="1192"/>
      <c r="AB29" s="156">
        <f>AB28/$AF$28</f>
        <v>0.57692307692307676</v>
      </c>
      <c r="AC29" s="156">
        <f>AC28/$AF$28</f>
        <v>0.17307692307692327</v>
      </c>
      <c r="AD29" s="156">
        <f>AD28/$AF$28</f>
        <v>0.25</v>
      </c>
      <c r="AE29" s="1192"/>
      <c r="AF29" s="156">
        <f>AF28/$AF$28</f>
        <v>1</v>
      </c>
    </row>
    <row r="30" spans="1:46" ht="14.25" customHeight="1" thickBot="1" x14ac:dyDescent="0.35">
      <c r="R30" s="148" t="s">
        <v>277</v>
      </c>
      <c r="S30" s="1228">
        <f>U30*S40</f>
        <v>769.23076923076906</v>
      </c>
      <c r="T30" s="149">
        <f>(U30*U40)+(U30*(1/3))</f>
        <v>564.10256410256432</v>
      </c>
      <c r="U30" s="150">
        <f>$AB$1</f>
        <v>1000</v>
      </c>
      <c r="V30" s="1143"/>
      <c r="W30" s="1143"/>
      <c r="Z30" s="141" t="s">
        <v>278</v>
      </c>
      <c r="AA30" s="1196">
        <f>V35/(S32/R1)</f>
        <v>5.6267075333954638E-4</v>
      </c>
      <c r="AB30" s="157">
        <f>S35/(S32)</f>
        <v>3.3701221915648408E-2</v>
      </c>
      <c r="AC30" s="158">
        <f>T35/T32</f>
        <v>7.1515519079722581E-3</v>
      </c>
      <c r="AD30" s="158">
        <f>T35/T32</f>
        <v>7.1515519079722581E-3</v>
      </c>
      <c r="AE30" s="1199">
        <f>W35/U32</f>
        <v>2.3980967486122128E-5</v>
      </c>
      <c r="AF30" s="1201">
        <f>SUMPRODUCT(AB30:AD30,AB29:AD29)+AE30</f>
        <v>2.2492650187579233E-2</v>
      </c>
    </row>
    <row r="31" spans="1:46" ht="14.25" customHeight="1" thickBot="1" x14ac:dyDescent="0.35">
      <c r="R31" s="148" t="s">
        <v>279</v>
      </c>
      <c r="S31" s="155"/>
      <c r="T31" s="149"/>
      <c r="U31" s="149"/>
      <c r="V31" s="149"/>
      <c r="W31" s="149"/>
    </row>
    <row r="32" spans="1:46" ht="14.25" customHeight="1" thickBot="1" x14ac:dyDescent="0.35">
      <c r="R32" s="160" t="s">
        <v>269</v>
      </c>
      <c r="S32" s="149">
        <f>SUM(S28:S30)</f>
        <v>18653.846153846149</v>
      </c>
      <c r="T32" s="149">
        <f>SUM(T28:T30)</f>
        <v>13679.487179487185</v>
      </c>
      <c r="U32" s="149">
        <f>SUM(S32:T32)</f>
        <v>32333.333333333336</v>
      </c>
      <c r="V32" s="149"/>
      <c r="W32" s="149">
        <f>SUM(W28:W30)</f>
        <v>11.200000000000001</v>
      </c>
    </row>
    <row r="33" spans="2:23" ht="21.75" customHeight="1" thickBot="1" x14ac:dyDescent="0.35">
      <c r="R33" s="607" t="s">
        <v>280</v>
      </c>
      <c r="S33" s="155"/>
      <c r="T33" s="155"/>
      <c r="U33" s="155"/>
      <c r="V33" s="155"/>
      <c r="W33" s="155"/>
    </row>
    <row r="34" spans="2:23" ht="14.25" customHeight="1" thickBot="1" x14ac:dyDescent="0.35">
      <c r="R34" s="162" t="s">
        <v>281</v>
      </c>
      <c r="S34" s="155"/>
      <c r="T34" s="149"/>
      <c r="U34" s="155"/>
      <c r="V34" s="155"/>
      <c r="W34" s="155"/>
    </row>
    <row r="35" spans="2:23" ht="16" thickBot="1" x14ac:dyDescent="0.35">
      <c r="B35" s="1412" t="s">
        <v>729</v>
      </c>
      <c r="C35" s="1412"/>
      <c r="D35" s="1412"/>
      <c r="E35" s="1412"/>
      <c r="F35" s="1412"/>
      <c r="G35" s="889"/>
      <c r="H35" s="889"/>
      <c r="I35" s="889"/>
      <c r="J35" s="889"/>
      <c r="K35" s="889"/>
      <c r="L35" s="889"/>
      <c r="R35" s="163" t="s">
        <v>261</v>
      </c>
      <c r="S35" s="1144">
        <f>$L$5</f>
        <v>628.65740881113356</v>
      </c>
      <c r="T35" s="1144">
        <f>SUM(L6:L27)</f>
        <v>97.829562638543621</v>
      </c>
      <c r="U35" s="1203">
        <f>S35+T35+V35+W35</f>
        <v>745.05214194313737</v>
      </c>
      <c r="V35" s="1144">
        <f>SUM(AT6:AT19)</f>
        <v>17.789785878075616</v>
      </c>
      <c r="W35" s="1144">
        <f>L37</f>
        <v>0.77538461538461556</v>
      </c>
    </row>
    <row r="36" spans="2:23" ht="48.5" customHeight="1" x14ac:dyDescent="0.3">
      <c r="B36" s="860" t="s">
        <v>253</v>
      </c>
      <c r="C36" s="860" t="s">
        <v>329</v>
      </c>
      <c r="D36" s="862" t="s">
        <v>671</v>
      </c>
      <c r="E36" s="859" t="s">
        <v>672</v>
      </c>
      <c r="F36" s="862" t="s">
        <v>673</v>
      </c>
      <c r="G36" s="882"/>
      <c r="H36" s="862" t="s">
        <v>673</v>
      </c>
      <c r="I36" s="862" t="s">
        <v>258</v>
      </c>
      <c r="J36" s="862" t="s">
        <v>259</v>
      </c>
      <c r="K36" s="862" t="s">
        <v>260</v>
      </c>
      <c r="L36" s="862" t="s">
        <v>261</v>
      </c>
    </row>
    <row r="37" spans="2:23" ht="14.25" customHeight="1" x14ac:dyDescent="0.3">
      <c r="B37" s="855" t="s">
        <v>746</v>
      </c>
      <c r="C37" s="856" t="s">
        <v>14</v>
      </c>
      <c r="D37" s="857">
        <v>7.0000000000000007E-2</v>
      </c>
      <c r="E37" s="855">
        <f>$AD$1</f>
        <v>160</v>
      </c>
      <c r="F37" s="855">
        <f>D37*E37</f>
        <v>11.200000000000001</v>
      </c>
      <c r="G37" s="881"/>
      <c r="H37" s="855">
        <f>F37</f>
        <v>11.200000000000001</v>
      </c>
      <c r="I37" s="855">
        <f>VLOOKUP(B37,All_Ingredients!$A$1:$F$151,6,FALSE())</f>
        <v>0.65</v>
      </c>
      <c r="J37" s="855">
        <f>VLOOKUP(B37,All_Ingredients!$A$1:$J$151,10,FALSE())</f>
        <v>45</v>
      </c>
      <c r="K37" s="855">
        <f>(H37/I37)/1000</f>
        <v>1.7230769230769234E-2</v>
      </c>
      <c r="L37" s="855">
        <f>K37*J37</f>
        <v>0.77538461538461556</v>
      </c>
      <c r="R37" s="321"/>
      <c r="S37" s="338"/>
    </row>
    <row r="38" spans="2:23" ht="14.25" customHeight="1" x14ac:dyDescent="0.3">
      <c r="R38" s="321"/>
      <c r="S38" s="338"/>
    </row>
    <row r="39" spans="2:23" ht="14.25" customHeight="1" x14ac:dyDescent="0.3">
      <c r="U39" s="338"/>
    </row>
    <row r="40" spans="2:23" ht="16.5" customHeight="1" x14ac:dyDescent="0.3">
      <c r="R40" s="165" t="s">
        <v>282</v>
      </c>
      <c r="S40" s="166">
        <v>0.76923076923076905</v>
      </c>
      <c r="T40" s="165" t="s">
        <v>283</v>
      </c>
      <c r="U40" s="167">
        <v>0.230769230769231</v>
      </c>
      <c r="V40" s="168">
        <f>S40+U40</f>
        <v>1</v>
      </c>
    </row>
    <row r="41" spans="2:23" ht="14.25" customHeight="1" x14ac:dyDescent="0.3">
      <c r="U41" s="169"/>
    </row>
    <row r="43" spans="2:23" ht="15.75" customHeight="1" x14ac:dyDescent="0.3">
      <c r="Q43" s="170" t="s">
        <v>284</v>
      </c>
      <c r="R43" s="170" t="s">
        <v>285</v>
      </c>
      <c r="S43" s="170" t="s">
        <v>286</v>
      </c>
      <c r="T43" s="170" t="s">
        <v>287</v>
      </c>
      <c r="U43" s="170" t="s">
        <v>288</v>
      </c>
      <c r="V43" s="170" t="s">
        <v>289</v>
      </c>
      <c r="W43" s="170" t="s">
        <v>290</v>
      </c>
    </row>
    <row r="44" spans="2:23" ht="14.25" customHeight="1" x14ac:dyDescent="0.3">
      <c r="Q44" s="172">
        <v>18841</v>
      </c>
      <c r="R44" s="173">
        <f>D51</f>
        <v>10000</v>
      </c>
      <c r="S44" s="174">
        <v>0.43478260000000002</v>
      </c>
      <c r="T44" s="174">
        <v>0.56521739999999998</v>
      </c>
      <c r="U44" s="242">
        <f>R44*S44</f>
        <v>4347.826</v>
      </c>
      <c r="V44" s="176">
        <f>R44*T44</f>
        <v>5652.174</v>
      </c>
      <c r="W44" s="176">
        <f>Q44-U44</f>
        <v>14493.173999999999</v>
      </c>
    </row>
    <row r="50" spans="1:10" ht="14.25" customHeight="1" x14ac:dyDescent="0.3">
      <c r="B50" s="608"/>
      <c r="C50" s="145" t="s">
        <v>245</v>
      </c>
      <c r="D50" s="145" t="s">
        <v>291</v>
      </c>
      <c r="F50" s="100"/>
      <c r="G50" s="145" t="s">
        <v>292</v>
      </c>
      <c r="H50" s="145" t="s">
        <v>245</v>
      </c>
      <c r="I50" s="145" t="s">
        <v>293</v>
      </c>
      <c r="J50" s="145" t="s">
        <v>294</v>
      </c>
    </row>
    <row r="51" spans="1:10" ht="14.25" customHeight="1" x14ac:dyDescent="0.3">
      <c r="B51" s="180" t="s">
        <v>295</v>
      </c>
      <c r="C51" s="181">
        <f>10/$K$1</f>
        <v>10.204081632653061</v>
      </c>
      <c r="D51" s="182">
        <f>$C$1*10</f>
        <v>10000</v>
      </c>
      <c r="E51" s="183"/>
      <c r="F51" s="100"/>
      <c r="G51" s="180" t="s">
        <v>295</v>
      </c>
      <c r="H51" s="277">
        <f>I51/$D$5</f>
        <v>10</v>
      </c>
      <c r="I51" s="181">
        <f>J51/$R$1</f>
        <v>24564.701694915253</v>
      </c>
      <c r="J51" s="181">
        <f>$W$44</f>
        <v>14493.173999999999</v>
      </c>
    </row>
    <row r="52" spans="1:10" ht="14.25" customHeight="1" x14ac:dyDescent="0.3">
      <c r="B52" s="231" t="s">
        <v>274</v>
      </c>
      <c r="C52" s="232">
        <f>$I$1</f>
        <v>13.958660387231822</v>
      </c>
      <c r="D52" s="233">
        <f>$E$1</f>
        <v>13679.487179487185</v>
      </c>
      <c r="E52" s="100"/>
      <c r="F52" s="100"/>
      <c r="G52" s="148" t="s">
        <v>274</v>
      </c>
      <c r="H52" s="210">
        <f>I52/$D$5</f>
        <v>12.87078051629419</v>
      </c>
      <c r="I52" s="176">
        <f>J52/$R$1</f>
        <v>31616.688396349407</v>
      </c>
      <c r="J52" s="184">
        <f>$S$32</f>
        <v>18653.846153846149</v>
      </c>
    </row>
    <row r="53" spans="1:10" ht="14.25" customHeight="1" x14ac:dyDescent="0.3">
      <c r="B53" s="231" t="s">
        <v>296</v>
      </c>
      <c r="C53" s="234">
        <f>MIN(C52, C51)</f>
        <v>10.204081632653061</v>
      </c>
      <c r="D53" s="233">
        <f>(C53*$K$1)*$C$1</f>
        <v>10000</v>
      </c>
      <c r="E53" s="100"/>
      <c r="F53" s="100"/>
      <c r="G53" s="148" t="s">
        <v>296</v>
      </c>
      <c r="H53" s="187">
        <f>MIN(H52,H51)</f>
        <v>10</v>
      </c>
      <c r="I53" s="176">
        <f>J53/$R$1</f>
        <v>24564.701694915253</v>
      </c>
      <c r="J53" s="176">
        <f>MIN(J52,J51)</f>
        <v>14493.173999999999</v>
      </c>
    </row>
    <row r="54" spans="1:10" ht="14.25" customHeight="1" x14ac:dyDescent="0.3">
      <c r="B54" s="231" t="s">
        <v>297</v>
      </c>
      <c r="C54" s="234">
        <f>MIN(MAX(C52-C53,0),C51)</f>
        <v>3.7545787545787608</v>
      </c>
      <c r="D54" s="233">
        <f>(C54*$K$1)*$C$1</f>
        <v>3679.4871794871856</v>
      </c>
      <c r="E54" s="100"/>
      <c r="F54" s="100"/>
      <c r="G54" s="148" t="s">
        <v>297</v>
      </c>
      <c r="H54" s="187">
        <f>MIN(MAX(H52-H53),H51)</f>
        <v>2.8707805162941895</v>
      </c>
      <c r="I54" s="176">
        <f>J54/$R$1</f>
        <v>7051.9867014341526</v>
      </c>
      <c r="J54" s="176">
        <f>MIN(MAX(J52-J53),J51)</f>
        <v>4160.6721538461497</v>
      </c>
    </row>
    <row r="55" spans="1:10" ht="14.25" customHeight="1" x14ac:dyDescent="0.3">
      <c r="B55" s="231" t="s">
        <v>298</v>
      </c>
      <c r="C55" s="234">
        <f>MIN(MAX(C52-C53-C54,0),C51)</f>
        <v>0</v>
      </c>
      <c r="D55" s="233">
        <f>(C55*$K$1)*$C$1</f>
        <v>0</v>
      </c>
      <c r="E55" s="100"/>
      <c r="F55" s="100"/>
      <c r="G55" s="145" t="s">
        <v>298</v>
      </c>
      <c r="H55" s="187">
        <f>MIN(MAX(H52-H53-H54),H51)</f>
        <v>0</v>
      </c>
      <c r="I55" s="176">
        <f>J55/$R$1</f>
        <v>0</v>
      </c>
      <c r="J55" s="176">
        <f>MIN(MAX(J52-J53-J54),J51)</f>
        <v>0</v>
      </c>
    </row>
    <row r="62" spans="1:10" ht="17.75" customHeight="1" x14ac:dyDescent="0.3">
      <c r="A62" s="937"/>
      <c r="B62" s="1382" t="str">
        <f>"دجاج سنغافورى  1 / " &amp; COUNTIF($C$53:$C$55, "&gt;0")</f>
        <v>دجاج سنغافورى  1 / 2</v>
      </c>
      <c r="C62" s="1383"/>
      <c r="D62" s="1383"/>
      <c r="E62" s="1383"/>
      <c r="F62" s="1383"/>
      <c r="G62" s="1383"/>
      <c r="H62" s="1383"/>
    </row>
    <row r="63" spans="1:10" ht="17.75" customHeight="1" x14ac:dyDescent="0.3">
      <c r="A63" s="937"/>
      <c r="B63" s="1384" t="str">
        <f>"Singapore Chicken  1 / " &amp; COUNTIF($C$53:$C$55, "&gt;0")</f>
        <v>Singapore Chicken  1 / 2</v>
      </c>
      <c r="C63" s="1385"/>
      <c r="D63" s="1385"/>
      <c r="E63" s="1385"/>
      <c r="F63" s="1385"/>
      <c r="G63" s="1385"/>
      <c r="H63" s="1385"/>
    </row>
    <row r="64" spans="1:10" ht="49.5" customHeight="1" x14ac:dyDescent="0.25">
      <c r="A64" s="599"/>
      <c r="B64" s="596" t="s">
        <v>253</v>
      </c>
      <c r="C64" s="244" t="s">
        <v>254</v>
      </c>
      <c r="D64" s="245" t="s">
        <v>243</v>
      </c>
      <c r="E64" s="218" t="s">
        <v>246</v>
      </c>
      <c r="F64" s="218" t="s">
        <v>255</v>
      </c>
      <c r="G64" s="245" t="s">
        <v>256</v>
      </c>
      <c r="H64" s="218" t="s">
        <v>257</v>
      </c>
    </row>
    <row r="65" spans="1:8" ht="14.25" customHeight="1" x14ac:dyDescent="0.3">
      <c r="A65" s="128" t="s">
        <v>230</v>
      </c>
      <c r="B65" s="605" t="str">
        <f t="shared" ref="B65:D87" si="14">B5</f>
        <v>Chicken - دجاج</v>
      </c>
      <c r="C65" s="609" t="str">
        <f t="shared" si="14"/>
        <v>gm</v>
      </c>
      <c r="D65" s="610">
        <f t="shared" si="14"/>
        <v>2456.4701694915252</v>
      </c>
      <c r="E65" s="126">
        <f>H53</f>
        <v>10</v>
      </c>
      <c r="F65" s="299">
        <f t="shared" ref="F65:F87" si="15">F5</f>
        <v>1</v>
      </c>
      <c r="G65" s="119">
        <f t="shared" ref="G65:G87" si="16">D65*E65</f>
        <v>24564.701694915253</v>
      </c>
      <c r="H65" s="207">
        <f t="shared" ref="H65:H87" si="17">G65*F65</f>
        <v>24564.701694915253</v>
      </c>
    </row>
    <row r="66" spans="1:8" ht="14.25" customHeight="1" x14ac:dyDescent="0.3">
      <c r="A66" s="128" t="s">
        <v>97</v>
      </c>
      <c r="B66" s="605" t="str">
        <f t="shared" si="14"/>
        <v>Curry Powder - كاري بودرة</v>
      </c>
      <c r="C66" s="609" t="str">
        <f t="shared" si="14"/>
        <v>gm</v>
      </c>
      <c r="D66" s="609">
        <f t="shared" si="14"/>
        <v>6</v>
      </c>
      <c r="E66" s="433">
        <f>$C$53</f>
        <v>10.204081632653061</v>
      </c>
      <c r="F66" s="299">
        <f t="shared" si="15"/>
        <v>0.95</v>
      </c>
      <c r="G66" s="119">
        <f t="shared" si="16"/>
        <v>61.224489795918366</v>
      </c>
      <c r="H66" s="207">
        <f t="shared" si="17"/>
        <v>58.163265306122447</v>
      </c>
    </row>
    <row r="67" spans="1:8" ht="14.25" customHeight="1" x14ac:dyDescent="0.3">
      <c r="A67" s="128" t="s">
        <v>97</v>
      </c>
      <c r="B67" s="605" t="str">
        <f t="shared" si="14"/>
        <v>Salt - ملح</v>
      </c>
      <c r="C67" s="609" t="str">
        <f t="shared" si="14"/>
        <v>gm</v>
      </c>
      <c r="D67" s="609">
        <f t="shared" si="14"/>
        <v>11</v>
      </c>
      <c r="E67" s="433">
        <f t="shared" ref="E67:E87" si="18">$C$53</f>
        <v>10.204081632653061</v>
      </c>
      <c r="F67" s="299">
        <f t="shared" si="15"/>
        <v>0.75</v>
      </c>
      <c r="G67" s="119">
        <f t="shared" si="16"/>
        <v>112.24489795918367</v>
      </c>
      <c r="H67" s="207">
        <f t="shared" si="17"/>
        <v>84.183673469387756</v>
      </c>
    </row>
    <row r="68" spans="1:8" ht="14.25" customHeight="1" x14ac:dyDescent="0.3">
      <c r="A68" s="128" t="s">
        <v>158</v>
      </c>
      <c r="B68" s="605" t="str">
        <f t="shared" si="14"/>
        <v>Coconut Milk - حليب جوز الهند</v>
      </c>
      <c r="C68" s="609" t="str">
        <f t="shared" si="14"/>
        <v>ml</v>
      </c>
      <c r="D68" s="609">
        <f t="shared" si="14"/>
        <v>250</v>
      </c>
      <c r="E68" s="433">
        <f t="shared" si="18"/>
        <v>10.204081632653061</v>
      </c>
      <c r="F68" s="299">
        <f t="shared" si="15"/>
        <v>1</v>
      </c>
      <c r="G68" s="119">
        <f t="shared" si="16"/>
        <v>2551.0204081632651</v>
      </c>
      <c r="H68" s="207">
        <f t="shared" si="17"/>
        <v>2551.0204081632651</v>
      </c>
    </row>
    <row r="69" spans="1:8" ht="14.25" customHeight="1" x14ac:dyDescent="0.3">
      <c r="A69" s="128" t="s">
        <v>57</v>
      </c>
      <c r="B69" s="605" t="str">
        <f t="shared" si="14"/>
        <v xml:space="preserve">Lemon Grass - ليمون جراس </v>
      </c>
      <c r="C69" s="609" t="str">
        <f t="shared" si="14"/>
        <v>gm</v>
      </c>
      <c r="D69" s="609">
        <f t="shared" si="14"/>
        <v>5</v>
      </c>
      <c r="E69" s="433">
        <f t="shared" si="18"/>
        <v>10.204081632653061</v>
      </c>
      <c r="F69" s="299">
        <f t="shared" si="15"/>
        <v>0.9</v>
      </c>
      <c r="G69" s="119">
        <f t="shared" si="16"/>
        <v>51.020408163265301</v>
      </c>
      <c r="H69" s="207">
        <f t="shared" si="17"/>
        <v>45.918367346938773</v>
      </c>
    </row>
    <row r="70" spans="1:8" ht="14.25" customHeight="1" x14ac:dyDescent="0.3">
      <c r="A70" s="128" t="s">
        <v>57</v>
      </c>
      <c r="B70" s="605" t="str">
        <f t="shared" si="14"/>
        <v xml:space="preserve">Kaffir Lime Leaves - ورق الليمون  </v>
      </c>
      <c r="C70" s="609" t="str">
        <f t="shared" si="14"/>
        <v>gm</v>
      </c>
      <c r="D70" s="609">
        <f t="shared" si="14"/>
        <v>3</v>
      </c>
      <c r="E70" s="433">
        <f t="shared" si="18"/>
        <v>10.204081632653061</v>
      </c>
      <c r="F70" s="299">
        <f t="shared" si="15"/>
        <v>0.75</v>
      </c>
      <c r="G70" s="119">
        <f t="shared" si="16"/>
        <v>30.612244897959183</v>
      </c>
      <c r="H70" s="207">
        <f t="shared" si="17"/>
        <v>22.959183673469386</v>
      </c>
    </row>
    <row r="71" spans="1:8" ht="14.25" customHeight="1" x14ac:dyDescent="0.3">
      <c r="A71" s="128" t="s">
        <v>13</v>
      </c>
      <c r="B71" s="605" t="str">
        <f t="shared" si="14"/>
        <v>Green Chilli Pepper - فلفل أخضر حار</v>
      </c>
      <c r="C71" s="609" t="str">
        <f t="shared" si="14"/>
        <v>gm</v>
      </c>
      <c r="D71" s="609">
        <f t="shared" si="14"/>
        <v>2</v>
      </c>
      <c r="E71" s="433">
        <f t="shared" si="18"/>
        <v>10.204081632653061</v>
      </c>
      <c r="F71" s="299">
        <f t="shared" si="15"/>
        <v>0.75</v>
      </c>
      <c r="G71" s="119">
        <f t="shared" si="16"/>
        <v>20.408163265306122</v>
      </c>
      <c r="H71" s="207">
        <f t="shared" si="17"/>
        <v>15.306122448979592</v>
      </c>
    </row>
    <row r="72" spans="1:8" ht="14.25" customHeight="1" x14ac:dyDescent="0.3">
      <c r="A72" s="128" t="s">
        <v>63</v>
      </c>
      <c r="B72" s="605" t="str">
        <f t="shared" si="14"/>
        <v>Coriander Leaves - كزبرة خضراء</v>
      </c>
      <c r="C72" s="609" t="str">
        <f t="shared" si="14"/>
        <v>gm</v>
      </c>
      <c r="D72" s="609">
        <f t="shared" si="14"/>
        <v>10</v>
      </c>
      <c r="E72" s="433">
        <f t="shared" si="18"/>
        <v>10.204081632653061</v>
      </c>
      <c r="F72" s="299">
        <f t="shared" si="15"/>
        <v>0.9</v>
      </c>
      <c r="G72" s="119">
        <f t="shared" si="16"/>
        <v>102.0408163265306</v>
      </c>
      <c r="H72" s="207">
        <f t="shared" si="17"/>
        <v>91.836734693877546</v>
      </c>
    </row>
    <row r="73" spans="1:8" ht="14.25" customHeight="1" x14ac:dyDescent="0.3">
      <c r="A73" s="128" t="s">
        <v>97</v>
      </c>
      <c r="B73" s="605" t="str">
        <f t="shared" si="14"/>
        <v>Cumin Powder - كمون مطحون</v>
      </c>
      <c r="C73" s="609" t="str">
        <f t="shared" si="14"/>
        <v>gm</v>
      </c>
      <c r="D73" s="609">
        <f t="shared" si="14"/>
        <v>5</v>
      </c>
      <c r="E73" s="433">
        <f t="shared" si="18"/>
        <v>10.204081632653061</v>
      </c>
      <c r="F73" s="299">
        <f t="shared" si="15"/>
        <v>0.75</v>
      </c>
      <c r="G73" s="119">
        <f t="shared" si="16"/>
        <v>51.020408163265301</v>
      </c>
      <c r="H73" s="207">
        <f t="shared" si="17"/>
        <v>38.265306122448976</v>
      </c>
    </row>
    <row r="74" spans="1:8" ht="14.25" customHeight="1" x14ac:dyDescent="0.3">
      <c r="A74" s="128" t="s">
        <v>97</v>
      </c>
      <c r="B74" s="605" t="str">
        <f t="shared" si="14"/>
        <v>Coriander Powder - كزبرة مطحونة</v>
      </c>
      <c r="C74" s="609" t="str">
        <f t="shared" si="14"/>
        <v>gm</v>
      </c>
      <c r="D74" s="609">
        <f t="shared" si="14"/>
        <v>5</v>
      </c>
      <c r="E74" s="433">
        <f t="shared" si="18"/>
        <v>10.204081632653061</v>
      </c>
      <c r="F74" s="299">
        <f t="shared" si="15"/>
        <v>0.75</v>
      </c>
      <c r="G74" s="119">
        <f t="shared" si="16"/>
        <v>51.020408163265301</v>
      </c>
      <c r="H74" s="207">
        <f t="shared" si="17"/>
        <v>38.265306122448976</v>
      </c>
    </row>
    <row r="75" spans="1:8" ht="14.25" customHeight="1" x14ac:dyDescent="0.3">
      <c r="A75" s="128" t="s">
        <v>97</v>
      </c>
      <c r="B75" s="605" t="str">
        <f t="shared" si="14"/>
        <v>Black Pepper Powder - فلفل أسود مطحون</v>
      </c>
      <c r="C75" s="609" t="str">
        <f t="shared" si="14"/>
        <v>gm</v>
      </c>
      <c r="D75" s="609">
        <f t="shared" si="14"/>
        <v>2</v>
      </c>
      <c r="E75" s="433">
        <f t="shared" si="18"/>
        <v>10.204081632653061</v>
      </c>
      <c r="F75" s="299">
        <f t="shared" si="15"/>
        <v>0.75</v>
      </c>
      <c r="G75" s="119">
        <f t="shared" si="16"/>
        <v>20.408163265306122</v>
      </c>
      <c r="H75" s="207">
        <f t="shared" si="17"/>
        <v>15.306122448979592</v>
      </c>
    </row>
    <row r="76" spans="1:8" ht="14.25" customHeight="1" x14ac:dyDescent="0.3">
      <c r="A76" s="128" t="s">
        <v>196</v>
      </c>
      <c r="B76" s="605" t="str">
        <f t="shared" si="14"/>
        <v>Tomato Ketchup - كاتشب طماطم</v>
      </c>
      <c r="C76" s="609" t="str">
        <f t="shared" si="14"/>
        <v>ml</v>
      </c>
      <c r="D76" s="609">
        <f t="shared" si="14"/>
        <v>20</v>
      </c>
      <c r="E76" s="433">
        <f t="shared" si="18"/>
        <v>10.204081632653061</v>
      </c>
      <c r="F76" s="299">
        <f t="shared" si="15"/>
        <v>0.9</v>
      </c>
      <c r="G76" s="119">
        <f t="shared" si="16"/>
        <v>204.08163265306121</v>
      </c>
      <c r="H76" s="207">
        <f t="shared" si="17"/>
        <v>183.67346938775509</v>
      </c>
    </row>
    <row r="77" spans="1:8" ht="14.25" customHeight="1" x14ac:dyDescent="0.3">
      <c r="A77" s="128" t="s">
        <v>186</v>
      </c>
      <c r="B77" s="605" t="str">
        <f t="shared" si="14"/>
        <v>Brown Sugar - سكر بني</v>
      </c>
      <c r="C77" s="609" t="str">
        <f t="shared" si="14"/>
        <v>gm</v>
      </c>
      <c r="D77" s="609">
        <f t="shared" si="14"/>
        <v>10</v>
      </c>
      <c r="E77" s="433">
        <f t="shared" si="18"/>
        <v>10.204081632653061</v>
      </c>
      <c r="F77" s="299">
        <f t="shared" si="15"/>
        <v>1</v>
      </c>
      <c r="G77" s="119">
        <f t="shared" si="16"/>
        <v>102.0408163265306</v>
      </c>
      <c r="H77" s="207">
        <f t="shared" si="17"/>
        <v>102.0408163265306</v>
      </c>
    </row>
    <row r="78" spans="1:8" ht="14.25" customHeight="1" x14ac:dyDescent="0.3">
      <c r="A78" s="128" t="s">
        <v>13</v>
      </c>
      <c r="B78" s="605" t="str">
        <f t="shared" si="14"/>
        <v>Onion - بصل</v>
      </c>
      <c r="C78" s="609" t="str">
        <f t="shared" si="14"/>
        <v>gm</v>
      </c>
      <c r="D78" s="609">
        <f t="shared" si="14"/>
        <v>200</v>
      </c>
      <c r="E78" s="433">
        <f t="shared" si="18"/>
        <v>10.204081632653061</v>
      </c>
      <c r="F78" s="299">
        <f t="shared" si="15"/>
        <v>1</v>
      </c>
      <c r="G78" s="119">
        <f t="shared" si="16"/>
        <v>2040.8163265306123</v>
      </c>
      <c r="H78" s="207">
        <f t="shared" si="17"/>
        <v>2040.8163265306123</v>
      </c>
    </row>
    <row r="79" spans="1:8" ht="14.25" customHeight="1" x14ac:dyDescent="0.3">
      <c r="A79" s="128" t="s">
        <v>57</v>
      </c>
      <c r="B79" s="605" t="str">
        <f t="shared" si="14"/>
        <v>Ginger - زنجبيل</v>
      </c>
      <c r="C79" s="609" t="str">
        <f t="shared" si="14"/>
        <v>gm</v>
      </c>
      <c r="D79" s="609">
        <f t="shared" si="14"/>
        <v>20</v>
      </c>
      <c r="E79" s="433">
        <f t="shared" si="18"/>
        <v>10.204081632653061</v>
      </c>
      <c r="F79" s="299">
        <f t="shared" si="15"/>
        <v>0.9</v>
      </c>
      <c r="G79" s="119">
        <f t="shared" si="16"/>
        <v>204.08163265306121</v>
      </c>
      <c r="H79" s="207">
        <f t="shared" si="17"/>
        <v>183.67346938775509</v>
      </c>
    </row>
    <row r="80" spans="1:8" ht="14.25" customHeight="1" x14ac:dyDescent="0.3">
      <c r="A80" s="128" t="s">
        <v>13</v>
      </c>
      <c r="B80" s="605" t="str">
        <f t="shared" si="14"/>
        <v>Garlic - ثوم مقشر</v>
      </c>
      <c r="C80" s="609" t="str">
        <f t="shared" si="14"/>
        <v>gm</v>
      </c>
      <c r="D80" s="609">
        <f t="shared" si="14"/>
        <v>20</v>
      </c>
      <c r="E80" s="433">
        <f t="shared" si="18"/>
        <v>10.204081632653061</v>
      </c>
      <c r="F80" s="299">
        <f t="shared" si="15"/>
        <v>0.9</v>
      </c>
      <c r="G80" s="119">
        <f t="shared" si="16"/>
        <v>204.08163265306121</v>
      </c>
      <c r="H80" s="207">
        <f t="shared" si="17"/>
        <v>183.67346938775509</v>
      </c>
    </row>
    <row r="81" spans="1:8" ht="14.25" customHeight="1" x14ac:dyDescent="0.3">
      <c r="A81" s="128" t="s">
        <v>210</v>
      </c>
      <c r="B81" s="605" t="str">
        <f t="shared" si="14"/>
        <v>Lemon Juice - عصير ليمون</v>
      </c>
      <c r="C81" s="609" t="str">
        <f t="shared" si="14"/>
        <v>ml</v>
      </c>
      <c r="D81" s="609">
        <f t="shared" si="14"/>
        <v>5</v>
      </c>
      <c r="E81" s="433">
        <f t="shared" si="18"/>
        <v>10.204081632653061</v>
      </c>
      <c r="F81" s="299">
        <f t="shared" si="15"/>
        <v>1</v>
      </c>
      <c r="G81" s="119">
        <f t="shared" si="16"/>
        <v>51.020408163265301</v>
      </c>
      <c r="H81" s="207">
        <f t="shared" si="17"/>
        <v>51.020408163265301</v>
      </c>
    </row>
    <row r="82" spans="1:8" ht="14.25" customHeight="1" x14ac:dyDescent="0.3">
      <c r="A82" s="128" t="s">
        <v>13</v>
      </c>
      <c r="B82" s="605" t="str">
        <f t="shared" si="14"/>
        <v>Tomato - طماطم</v>
      </c>
      <c r="C82" s="609" t="str">
        <f t="shared" si="14"/>
        <v>gm</v>
      </c>
      <c r="D82" s="609">
        <f t="shared" si="14"/>
        <v>350</v>
      </c>
      <c r="E82" s="433">
        <f t="shared" si="18"/>
        <v>10.204081632653061</v>
      </c>
      <c r="F82" s="299">
        <f t="shared" si="15"/>
        <v>0.95</v>
      </c>
      <c r="G82" s="119">
        <f t="shared" si="16"/>
        <v>3571.4285714285716</v>
      </c>
      <c r="H82" s="207">
        <f t="shared" si="17"/>
        <v>3392.8571428571427</v>
      </c>
    </row>
    <row r="83" spans="1:8" ht="14.25" customHeight="1" x14ac:dyDescent="0.3">
      <c r="A83" s="128" t="s">
        <v>210</v>
      </c>
      <c r="B83" s="605" t="str">
        <f t="shared" si="14"/>
        <v>Water - ماء</v>
      </c>
      <c r="C83" s="609" t="str">
        <f t="shared" si="14"/>
        <v>ml</v>
      </c>
      <c r="D83" s="609">
        <f t="shared" si="14"/>
        <v>100</v>
      </c>
      <c r="E83" s="433">
        <f t="shared" si="18"/>
        <v>10.204081632653061</v>
      </c>
      <c r="F83" s="299">
        <f t="shared" si="15"/>
        <v>1</v>
      </c>
      <c r="G83" s="119">
        <f t="shared" si="16"/>
        <v>1020.4081632653061</v>
      </c>
      <c r="H83" s="207">
        <f t="shared" si="17"/>
        <v>1020.4081632653061</v>
      </c>
    </row>
    <row r="84" spans="1:8" ht="14.25" customHeight="1" x14ac:dyDescent="0.3">
      <c r="A84" s="128" t="s">
        <v>192</v>
      </c>
      <c r="B84" s="605" t="str">
        <f t="shared" si="14"/>
        <v>Corn Starch - نشا ذرة</v>
      </c>
      <c r="C84" s="609" t="str">
        <f t="shared" si="14"/>
        <v>gm</v>
      </c>
      <c r="D84" s="609">
        <f t="shared" si="14"/>
        <v>20</v>
      </c>
      <c r="E84" s="433">
        <f t="shared" si="18"/>
        <v>10.204081632653061</v>
      </c>
      <c r="F84" s="299">
        <f t="shared" si="15"/>
        <v>0.75</v>
      </c>
      <c r="G84" s="119">
        <f t="shared" si="16"/>
        <v>204.08163265306121</v>
      </c>
      <c r="H84" s="207">
        <f t="shared" si="17"/>
        <v>153.0612244897959</v>
      </c>
    </row>
    <row r="85" spans="1:8" ht="14.25" customHeight="1" x14ac:dyDescent="0.3">
      <c r="A85" s="128" t="s">
        <v>158</v>
      </c>
      <c r="B85" s="605" t="str">
        <f t="shared" si="14"/>
        <v>Butter - زبدة</v>
      </c>
      <c r="C85" s="609" t="str">
        <f t="shared" si="14"/>
        <v>gm</v>
      </c>
      <c r="D85" s="609">
        <f t="shared" si="14"/>
        <v>30</v>
      </c>
      <c r="E85" s="433">
        <f t="shared" si="18"/>
        <v>10.204081632653061</v>
      </c>
      <c r="F85" s="299">
        <f t="shared" si="15"/>
        <v>1</v>
      </c>
      <c r="G85" s="119">
        <f t="shared" si="16"/>
        <v>306.12244897959181</v>
      </c>
      <c r="H85" s="207">
        <f t="shared" si="17"/>
        <v>306.12244897959181</v>
      </c>
    </row>
    <row r="86" spans="1:8" ht="14.25" customHeight="1" x14ac:dyDescent="0.3">
      <c r="A86" s="128" t="s">
        <v>158</v>
      </c>
      <c r="B86" s="605" t="str">
        <f t="shared" si="14"/>
        <v>Yogurt - زبادي</v>
      </c>
      <c r="C86" s="609" t="str">
        <f t="shared" si="14"/>
        <v>gm</v>
      </c>
      <c r="D86" s="609">
        <f t="shared" si="14"/>
        <v>100</v>
      </c>
      <c r="E86" s="433">
        <f t="shared" si="18"/>
        <v>10.204081632653061</v>
      </c>
      <c r="F86" s="299">
        <f t="shared" si="15"/>
        <v>1</v>
      </c>
      <c r="G86" s="119">
        <f t="shared" si="16"/>
        <v>1020.4081632653061</v>
      </c>
      <c r="H86" s="207">
        <f t="shared" si="17"/>
        <v>1020.4081632653061</v>
      </c>
    </row>
    <row r="87" spans="1:8" ht="14.25" customHeight="1" x14ac:dyDescent="0.3">
      <c r="A87" s="128" t="s">
        <v>220</v>
      </c>
      <c r="B87" s="605" t="str">
        <f t="shared" si="14"/>
        <v>لون صفار زعفران بودر - Saffron yellow color powder</v>
      </c>
      <c r="C87" s="609" t="str">
        <f t="shared" si="14"/>
        <v>gm</v>
      </c>
      <c r="D87" s="609">
        <f t="shared" si="14"/>
        <v>0.5</v>
      </c>
      <c r="E87" s="433">
        <f t="shared" si="18"/>
        <v>10.204081632653061</v>
      </c>
      <c r="F87" s="299">
        <f t="shared" si="15"/>
        <v>1</v>
      </c>
      <c r="G87" s="119">
        <f t="shared" si="16"/>
        <v>5.1020408163265305</v>
      </c>
      <c r="H87" s="207">
        <f t="shared" si="17"/>
        <v>5.1020408163265305</v>
      </c>
    </row>
    <row r="88" spans="1:8" ht="20.25" customHeight="1" x14ac:dyDescent="0.3">
      <c r="A88" s="211"/>
      <c r="B88" s="198" t="s">
        <v>299</v>
      </c>
      <c r="C88" s="200" t="s">
        <v>285</v>
      </c>
      <c r="E88" s="200" t="s">
        <v>300</v>
      </c>
      <c r="G88" s="890" t="s">
        <v>276</v>
      </c>
      <c r="H88" s="890" t="s">
        <v>733</v>
      </c>
    </row>
    <row r="89" spans="1:8" ht="19.25" customHeight="1" x14ac:dyDescent="0.4">
      <c r="A89" s="211"/>
      <c r="B89" s="199">
        <f>$J$53</f>
        <v>14493.173999999999</v>
      </c>
      <c r="C89" s="199">
        <f>E89+G89</f>
        <v>10000</v>
      </c>
      <c r="D89" s="930"/>
      <c r="E89" s="199">
        <f>$D$53*$S$44</f>
        <v>4347.826</v>
      </c>
      <c r="F89" s="934"/>
      <c r="G89" s="199">
        <f>$D$53*$T$44</f>
        <v>5652.174</v>
      </c>
      <c r="H89" s="199">
        <f>B89+E89</f>
        <v>18841</v>
      </c>
    </row>
    <row r="90" spans="1:8" ht="14.25" customHeight="1" x14ac:dyDescent="0.3">
      <c r="B90" s="606"/>
      <c r="E90" s="100"/>
      <c r="F90" s="100"/>
    </row>
    <row r="91" spans="1:8" ht="17.75" customHeight="1" x14ac:dyDescent="0.3">
      <c r="A91" s="937"/>
      <c r="B91" s="1382" t="str">
        <f>"دجاج سنغافورى  2 / " &amp; COUNTIF($C$53:$C$55, "&gt;0")</f>
        <v>دجاج سنغافورى  2 / 2</v>
      </c>
      <c r="C91" s="1383"/>
      <c r="D91" s="1383"/>
      <c r="E91" s="1383"/>
      <c r="F91" s="1383"/>
      <c r="G91" s="1383"/>
      <c r="H91" s="1383"/>
    </row>
    <row r="92" spans="1:8" ht="17.75" customHeight="1" x14ac:dyDescent="0.3">
      <c r="A92" s="937"/>
      <c r="B92" s="1384" t="str">
        <f>"Singapore Chicken 2 / " &amp; COUNTIF($C$53:$C$55, "&gt;0")</f>
        <v>Singapore Chicken 2 / 2</v>
      </c>
      <c r="C92" s="1385"/>
      <c r="D92" s="1385"/>
      <c r="E92" s="1385"/>
      <c r="F92" s="1385"/>
      <c r="G92" s="1385"/>
      <c r="H92" s="1385"/>
    </row>
    <row r="93" spans="1:8" ht="49.5" customHeight="1" x14ac:dyDescent="0.25">
      <c r="A93" s="599"/>
      <c r="B93" s="596" t="s">
        <v>253</v>
      </c>
      <c r="C93" s="244" t="s">
        <v>254</v>
      </c>
      <c r="D93" s="245" t="s">
        <v>243</v>
      </c>
      <c r="E93" s="218" t="s">
        <v>246</v>
      </c>
      <c r="F93" s="218" t="s">
        <v>255</v>
      </c>
      <c r="G93" s="245" t="s">
        <v>256</v>
      </c>
      <c r="H93" s="218" t="s">
        <v>257</v>
      </c>
    </row>
    <row r="94" spans="1:8" ht="14.25" customHeight="1" x14ac:dyDescent="0.3">
      <c r="A94" s="128" t="s">
        <v>230</v>
      </c>
      <c r="B94" s="605" t="str">
        <f t="shared" ref="B94:D116" si="19">B5</f>
        <v>Chicken - دجاج</v>
      </c>
      <c r="C94" s="609" t="str">
        <f t="shared" si="19"/>
        <v>gm</v>
      </c>
      <c r="D94" s="610">
        <f t="shared" si="19"/>
        <v>2456.4701694915252</v>
      </c>
      <c r="E94" s="197">
        <f>H54</f>
        <v>2.8707805162941895</v>
      </c>
      <c r="F94" s="299">
        <f t="shared" ref="F94:F116" si="20">F5</f>
        <v>1</v>
      </c>
      <c r="G94" s="119">
        <f t="shared" ref="G94:G116" si="21">D94*E94</f>
        <v>7051.9867014341562</v>
      </c>
      <c r="H94" s="207">
        <f t="shared" ref="H94:H116" si="22">G94*F94</f>
        <v>7051.9867014341562</v>
      </c>
    </row>
    <row r="95" spans="1:8" ht="14.25" customHeight="1" x14ac:dyDescent="0.3">
      <c r="A95" s="128" t="s">
        <v>97</v>
      </c>
      <c r="B95" s="605" t="str">
        <f t="shared" si="19"/>
        <v>Curry Powder - كاري بودرة</v>
      </c>
      <c r="C95" s="609" t="str">
        <f t="shared" si="19"/>
        <v>gm</v>
      </c>
      <c r="D95" s="609">
        <f t="shared" si="19"/>
        <v>6</v>
      </c>
      <c r="E95" s="197">
        <f t="shared" ref="E95:E116" si="23">$C$54</f>
        <v>3.7545787545787608</v>
      </c>
      <c r="F95" s="299">
        <f t="shared" si="20"/>
        <v>0.95</v>
      </c>
      <c r="G95" s="119">
        <f t="shared" si="21"/>
        <v>22.527472527472565</v>
      </c>
      <c r="H95" s="207">
        <f t="shared" si="22"/>
        <v>21.401098901098937</v>
      </c>
    </row>
    <row r="96" spans="1:8" ht="14.25" customHeight="1" x14ac:dyDescent="0.3">
      <c r="A96" s="128" t="s">
        <v>97</v>
      </c>
      <c r="B96" s="605" t="str">
        <f t="shared" si="19"/>
        <v>Salt - ملح</v>
      </c>
      <c r="C96" s="609" t="str">
        <f t="shared" si="19"/>
        <v>gm</v>
      </c>
      <c r="D96" s="609">
        <f t="shared" si="19"/>
        <v>11</v>
      </c>
      <c r="E96" s="197">
        <f t="shared" si="23"/>
        <v>3.7545787545787608</v>
      </c>
      <c r="F96" s="299">
        <f t="shared" si="20"/>
        <v>0.75</v>
      </c>
      <c r="G96" s="119">
        <f t="shared" si="21"/>
        <v>41.30036630036637</v>
      </c>
      <c r="H96" s="207">
        <f t="shared" si="22"/>
        <v>30.97527472527478</v>
      </c>
    </row>
    <row r="97" spans="1:8" ht="14.25" customHeight="1" x14ac:dyDescent="0.3">
      <c r="A97" s="128" t="s">
        <v>158</v>
      </c>
      <c r="B97" s="605" t="str">
        <f t="shared" si="19"/>
        <v>Coconut Milk - حليب جوز الهند</v>
      </c>
      <c r="C97" s="609" t="str">
        <f t="shared" si="19"/>
        <v>ml</v>
      </c>
      <c r="D97" s="609">
        <f t="shared" si="19"/>
        <v>250</v>
      </c>
      <c r="E97" s="197">
        <f t="shared" si="23"/>
        <v>3.7545787545787608</v>
      </c>
      <c r="F97" s="299">
        <f t="shared" si="20"/>
        <v>1</v>
      </c>
      <c r="G97" s="119">
        <f t="shared" si="21"/>
        <v>938.64468864469018</v>
      </c>
      <c r="H97" s="207">
        <f t="shared" si="22"/>
        <v>938.64468864469018</v>
      </c>
    </row>
    <row r="98" spans="1:8" ht="14.25" customHeight="1" x14ac:dyDescent="0.3">
      <c r="A98" s="128" t="s">
        <v>57</v>
      </c>
      <c r="B98" s="605" t="str">
        <f t="shared" si="19"/>
        <v xml:space="preserve">Lemon Grass - ليمون جراس </v>
      </c>
      <c r="C98" s="609" t="str">
        <f t="shared" si="19"/>
        <v>gm</v>
      </c>
      <c r="D98" s="609">
        <f t="shared" si="19"/>
        <v>5</v>
      </c>
      <c r="E98" s="197">
        <f t="shared" si="23"/>
        <v>3.7545787545787608</v>
      </c>
      <c r="F98" s="299">
        <f t="shared" si="20"/>
        <v>0.9</v>
      </c>
      <c r="G98" s="119">
        <f t="shared" si="21"/>
        <v>18.772893772893802</v>
      </c>
      <c r="H98" s="207">
        <f t="shared" si="22"/>
        <v>16.895604395604423</v>
      </c>
    </row>
    <row r="99" spans="1:8" ht="14.25" customHeight="1" x14ac:dyDescent="0.3">
      <c r="A99" s="128" t="s">
        <v>57</v>
      </c>
      <c r="B99" s="605" t="str">
        <f t="shared" si="19"/>
        <v xml:space="preserve">Kaffir Lime Leaves - ورق الليمون  </v>
      </c>
      <c r="C99" s="609" t="str">
        <f t="shared" si="19"/>
        <v>gm</v>
      </c>
      <c r="D99" s="609">
        <f t="shared" si="19"/>
        <v>3</v>
      </c>
      <c r="E99" s="197">
        <f t="shared" si="23"/>
        <v>3.7545787545787608</v>
      </c>
      <c r="F99" s="299">
        <f t="shared" si="20"/>
        <v>0.75</v>
      </c>
      <c r="G99" s="119">
        <f t="shared" si="21"/>
        <v>11.263736263736282</v>
      </c>
      <c r="H99" s="207">
        <f t="shared" si="22"/>
        <v>8.4478021978022113</v>
      </c>
    </row>
    <row r="100" spans="1:8" ht="14.25" customHeight="1" x14ac:dyDescent="0.3">
      <c r="A100" s="128" t="s">
        <v>13</v>
      </c>
      <c r="B100" s="605" t="str">
        <f t="shared" si="19"/>
        <v>Green Chilli Pepper - فلفل أخضر حار</v>
      </c>
      <c r="C100" s="609" t="str">
        <f t="shared" si="19"/>
        <v>gm</v>
      </c>
      <c r="D100" s="609">
        <f t="shared" si="19"/>
        <v>2</v>
      </c>
      <c r="E100" s="197">
        <f t="shared" si="23"/>
        <v>3.7545787545787608</v>
      </c>
      <c r="F100" s="299">
        <f t="shared" si="20"/>
        <v>0.75</v>
      </c>
      <c r="G100" s="119">
        <f t="shared" si="21"/>
        <v>7.5091575091575216</v>
      </c>
      <c r="H100" s="207">
        <f t="shared" si="22"/>
        <v>5.6318681318681412</v>
      </c>
    </row>
    <row r="101" spans="1:8" ht="14.25" customHeight="1" x14ac:dyDescent="0.3">
      <c r="A101" s="128" t="s">
        <v>63</v>
      </c>
      <c r="B101" s="605" t="str">
        <f t="shared" si="19"/>
        <v>Coriander Leaves - كزبرة خضراء</v>
      </c>
      <c r="C101" s="609" t="str">
        <f t="shared" si="19"/>
        <v>gm</v>
      </c>
      <c r="D101" s="609">
        <f t="shared" si="19"/>
        <v>10</v>
      </c>
      <c r="E101" s="197">
        <f t="shared" si="23"/>
        <v>3.7545787545787608</v>
      </c>
      <c r="F101" s="299">
        <f t="shared" si="20"/>
        <v>0.9</v>
      </c>
      <c r="G101" s="119">
        <f t="shared" si="21"/>
        <v>37.545787545787604</v>
      </c>
      <c r="H101" s="207">
        <f t="shared" si="22"/>
        <v>33.791208791208845</v>
      </c>
    </row>
    <row r="102" spans="1:8" ht="14.25" customHeight="1" x14ac:dyDescent="0.3">
      <c r="A102" s="128" t="s">
        <v>97</v>
      </c>
      <c r="B102" s="605" t="str">
        <f t="shared" si="19"/>
        <v>Cumin Powder - كمون مطحون</v>
      </c>
      <c r="C102" s="609" t="str">
        <f t="shared" si="19"/>
        <v>gm</v>
      </c>
      <c r="D102" s="609">
        <f t="shared" si="19"/>
        <v>5</v>
      </c>
      <c r="E102" s="197">
        <f t="shared" si="23"/>
        <v>3.7545787545787608</v>
      </c>
      <c r="F102" s="299">
        <f t="shared" si="20"/>
        <v>0.75</v>
      </c>
      <c r="G102" s="119">
        <f t="shared" si="21"/>
        <v>18.772893772893802</v>
      </c>
      <c r="H102" s="207">
        <f t="shared" si="22"/>
        <v>14.079670329670352</v>
      </c>
    </row>
    <row r="103" spans="1:8" ht="14.25" customHeight="1" x14ac:dyDescent="0.3">
      <c r="A103" s="128" t="s">
        <v>97</v>
      </c>
      <c r="B103" s="605" t="str">
        <f t="shared" si="19"/>
        <v>Coriander Powder - كزبرة مطحونة</v>
      </c>
      <c r="C103" s="609" t="str">
        <f t="shared" si="19"/>
        <v>gm</v>
      </c>
      <c r="D103" s="609">
        <f t="shared" si="19"/>
        <v>5</v>
      </c>
      <c r="E103" s="197">
        <f t="shared" si="23"/>
        <v>3.7545787545787608</v>
      </c>
      <c r="F103" s="299">
        <f t="shared" si="20"/>
        <v>0.75</v>
      </c>
      <c r="G103" s="119">
        <f t="shared" si="21"/>
        <v>18.772893772893802</v>
      </c>
      <c r="H103" s="207">
        <f t="shared" si="22"/>
        <v>14.079670329670352</v>
      </c>
    </row>
    <row r="104" spans="1:8" ht="14.25" customHeight="1" x14ac:dyDescent="0.3">
      <c r="A104" s="128" t="s">
        <v>97</v>
      </c>
      <c r="B104" s="605" t="str">
        <f t="shared" si="19"/>
        <v>Black Pepper Powder - فلفل أسود مطحون</v>
      </c>
      <c r="C104" s="609" t="str">
        <f t="shared" si="19"/>
        <v>gm</v>
      </c>
      <c r="D104" s="609">
        <f t="shared" si="19"/>
        <v>2</v>
      </c>
      <c r="E104" s="197">
        <f t="shared" si="23"/>
        <v>3.7545787545787608</v>
      </c>
      <c r="F104" s="299">
        <f t="shared" si="20"/>
        <v>0.75</v>
      </c>
      <c r="G104" s="119">
        <f t="shared" si="21"/>
        <v>7.5091575091575216</v>
      </c>
      <c r="H104" s="207">
        <f t="shared" si="22"/>
        <v>5.6318681318681412</v>
      </c>
    </row>
    <row r="105" spans="1:8" ht="14.25" customHeight="1" x14ac:dyDescent="0.3">
      <c r="A105" s="128" t="s">
        <v>196</v>
      </c>
      <c r="B105" s="605" t="str">
        <f t="shared" si="19"/>
        <v>Tomato Ketchup - كاتشب طماطم</v>
      </c>
      <c r="C105" s="609" t="str">
        <f t="shared" si="19"/>
        <v>ml</v>
      </c>
      <c r="D105" s="609">
        <f t="shared" si="19"/>
        <v>20</v>
      </c>
      <c r="E105" s="197">
        <f t="shared" si="23"/>
        <v>3.7545787545787608</v>
      </c>
      <c r="F105" s="299">
        <f t="shared" si="20"/>
        <v>0.9</v>
      </c>
      <c r="G105" s="119">
        <f t="shared" si="21"/>
        <v>75.091575091575208</v>
      </c>
      <c r="H105" s="207">
        <f t="shared" si="22"/>
        <v>67.58241758241769</v>
      </c>
    </row>
    <row r="106" spans="1:8" ht="14.25" customHeight="1" x14ac:dyDescent="0.3">
      <c r="A106" s="128" t="s">
        <v>186</v>
      </c>
      <c r="B106" s="605" t="str">
        <f t="shared" si="19"/>
        <v>Brown Sugar - سكر بني</v>
      </c>
      <c r="C106" s="609" t="str">
        <f t="shared" si="19"/>
        <v>gm</v>
      </c>
      <c r="D106" s="609">
        <f t="shared" si="19"/>
        <v>10</v>
      </c>
      <c r="E106" s="197">
        <f t="shared" si="23"/>
        <v>3.7545787545787608</v>
      </c>
      <c r="F106" s="299">
        <f t="shared" si="20"/>
        <v>1</v>
      </c>
      <c r="G106" s="119">
        <f t="shared" si="21"/>
        <v>37.545787545787604</v>
      </c>
      <c r="H106" s="207">
        <f t="shared" si="22"/>
        <v>37.545787545787604</v>
      </c>
    </row>
    <row r="107" spans="1:8" ht="14.25" customHeight="1" x14ac:dyDescent="0.3">
      <c r="A107" s="128" t="s">
        <v>13</v>
      </c>
      <c r="B107" s="605" t="str">
        <f t="shared" si="19"/>
        <v>Onion - بصل</v>
      </c>
      <c r="C107" s="609" t="str">
        <f t="shared" si="19"/>
        <v>gm</v>
      </c>
      <c r="D107" s="609">
        <f t="shared" si="19"/>
        <v>200</v>
      </c>
      <c r="E107" s="197">
        <f t="shared" si="23"/>
        <v>3.7545787545787608</v>
      </c>
      <c r="F107" s="299">
        <f t="shared" si="20"/>
        <v>1</v>
      </c>
      <c r="G107" s="119">
        <f t="shared" si="21"/>
        <v>750.91575091575214</v>
      </c>
      <c r="H107" s="207">
        <f t="shared" si="22"/>
        <v>750.91575091575214</v>
      </c>
    </row>
    <row r="108" spans="1:8" ht="14.25" customHeight="1" x14ac:dyDescent="0.3">
      <c r="A108" s="128" t="s">
        <v>57</v>
      </c>
      <c r="B108" s="605" t="str">
        <f t="shared" si="19"/>
        <v>Ginger - زنجبيل</v>
      </c>
      <c r="C108" s="609" t="str">
        <f t="shared" si="19"/>
        <v>gm</v>
      </c>
      <c r="D108" s="609">
        <f t="shared" si="19"/>
        <v>20</v>
      </c>
      <c r="E108" s="197">
        <f t="shared" si="23"/>
        <v>3.7545787545787608</v>
      </c>
      <c r="F108" s="299">
        <f t="shared" si="20"/>
        <v>0.9</v>
      </c>
      <c r="G108" s="119">
        <f t="shared" si="21"/>
        <v>75.091575091575208</v>
      </c>
      <c r="H108" s="207">
        <f t="shared" si="22"/>
        <v>67.58241758241769</v>
      </c>
    </row>
    <row r="109" spans="1:8" ht="14.25" customHeight="1" x14ac:dyDescent="0.3">
      <c r="A109" s="128" t="s">
        <v>13</v>
      </c>
      <c r="B109" s="605" t="str">
        <f t="shared" si="19"/>
        <v>Garlic - ثوم مقشر</v>
      </c>
      <c r="C109" s="609" t="str">
        <f t="shared" si="19"/>
        <v>gm</v>
      </c>
      <c r="D109" s="609">
        <f t="shared" si="19"/>
        <v>20</v>
      </c>
      <c r="E109" s="197">
        <f t="shared" si="23"/>
        <v>3.7545787545787608</v>
      </c>
      <c r="F109" s="299">
        <f t="shared" si="20"/>
        <v>0.9</v>
      </c>
      <c r="G109" s="119">
        <f t="shared" si="21"/>
        <v>75.091575091575208</v>
      </c>
      <c r="H109" s="207">
        <f t="shared" si="22"/>
        <v>67.58241758241769</v>
      </c>
    </row>
    <row r="110" spans="1:8" ht="14.25" customHeight="1" x14ac:dyDescent="0.3">
      <c r="A110" s="128" t="s">
        <v>210</v>
      </c>
      <c r="B110" s="605" t="str">
        <f t="shared" si="19"/>
        <v>Lemon Juice - عصير ليمون</v>
      </c>
      <c r="C110" s="609" t="str">
        <f t="shared" si="19"/>
        <v>ml</v>
      </c>
      <c r="D110" s="609">
        <f t="shared" si="19"/>
        <v>5</v>
      </c>
      <c r="E110" s="197">
        <f t="shared" si="23"/>
        <v>3.7545787545787608</v>
      </c>
      <c r="F110" s="299">
        <f t="shared" si="20"/>
        <v>1</v>
      </c>
      <c r="G110" s="119">
        <f t="shared" si="21"/>
        <v>18.772893772893802</v>
      </c>
      <c r="H110" s="207">
        <f t="shared" si="22"/>
        <v>18.772893772893802</v>
      </c>
    </row>
    <row r="111" spans="1:8" ht="14.25" customHeight="1" x14ac:dyDescent="0.3">
      <c r="A111" s="128" t="s">
        <v>13</v>
      </c>
      <c r="B111" s="605" t="str">
        <f t="shared" si="19"/>
        <v>Tomato - طماطم</v>
      </c>
      <c r="C111" s="609" t="str">
        <f t="shared" si="19"/>
        <v>gm</v>
      </c>
      <c r="D111" s="609">
        <f t="shared" si="19"/>
        <v>350</v>
      </c>
      <c r="E111" s="197">
        <f t="shared" si="23"/>
        <v>3.7545787545787608</v>
      </c>
      <c r="F111" s="299">
        <f t="shared" si="20"/>
        <v>0.95</v>
      </c>
      <c r="G111" s="119">
        <f t="shared" si="21"/>
        <v>1314.1025641025662</v>
      </c>
      <c r="H111" s="207">
        <f t="shared" si="22"/>
        <v>1248.3974358974378</v>
      </c>
    </row>
    <row r="112" spans="1:8" ht="14.25" customHeight="1" x14ac:dyDescent="0.3">
      <c r="A112" s="128" t="s">
        <v>210</v>
      </c>
      <c r="B112" s="605" t="str">
        <f t="shared" si="19"/>
        <v>Water - ماء</v>
      </c>
      <c r="C112" s="609" t="str">
        <f t="shared" si="19"/>
        <v>ml</v>
      </c>
      <c r="D112" s="609">
        <f t="shared" si="19"/>
        <v>100</v>
      </c>
      <c r="E112" s="197">
        <f t="shared" si="23"/>
        <v>3.7545787545787608</v>
      </c>
      <c r="F112" s="299">
        <f t="shared" si="20"/>
        <v>1</v>
      </c>
      <c r="G112" s="119">
        <f t="shared" si="21"/>
        <v>375.45787545787607</v>
      </c>
      <c r="H112" s="207">
        <f t="shared" si="22"/>
        <v>375.45787545787607</v>
      </c>
    </row>
    <row r="113" spans="1:10" ht="14.25" customHeight="1" x14ac:dyDescent="0.3">
      <c r="A113" s="128" t="s">
        <v>192</v>
      </c>
      <c r="B113" s="605" t="str">
        <f t="shared" si="19"/>
        <v>Corn Starch - نشا ذرة</v>
      </c>
      <c r="C113" s="609" t="str">
        <f t="shared" si="19"/>
        <v>gm</v>
      </c>
      <c r="D113" s="609">
        <f t="shared" si="19"/>
        <v>20</v>
      </c>
      <c r="E113" s="197">
        <f t="shared" si="23"/>
        <v>3.7545787545787608</v>
      </c>
      <c r="F113" s="299">
        <f t="shared" si="20"/>
        <v>0.75</v>
      </c>
      <c r="G113" s="119">
        <f t="shared" si="21"/>
        <v>75.091575091575208</v>
      </c>
      <c r="H113" s="207">
        <f t="shared" si="22"/>
        <v>56.318681318681406</v>
      </c>
    </row>
    <row r="114" spans="1:10" ht="14.25" customHeight="1" x14ac:dyDescent="0.3">
      <c r="A114" s="128" t="s">
        <v>158</v>
      </c>
      <c r="B114" s="605" t="str">
        <f t="shared" si="19"/>
        <v>Butter - زبدة</v>
      </c>
      <c r="C114" s="609" t="str">
        <f t="shared" si="19"/>
        <v>gm</v>
      </c>
      <c r="D114" s="609">
        <f t="shared" si="19"/>
        <v>30</v>
      </c>
      <c r="E114" s="197">
        <f t="shared" si="23"/>
        <v>3.7545787545787608</v>
      </c>
      <c r="F114" s="299">
        <f t="shared" si="20"/>
        <v>1</v>
      </c>
      <c r="G114" s="119">
        <f t="shared" si="21"/>
        <v>112.63736263736283</v>
      </c>
      <c r="H114" s="207">
        <f t="shared" si="22"/>
        <v>112.63736263736283</v>
      </c>
    </row>
    <row r="115" spans="1:10" ht="14.25" customHeight="1" x14ac:dyDescent="0.3">
      <c r="A115" s="128" t="s">
        <v>158</v>
      </c>
      <c r="B115" s="605" t="str">
        <f t="shared" si="19"/>
        <v>Yogurt - زبادي</v>
      </c>
      <c r="C115" s="609" t="str">
        <f t="shared" si="19"/>
        <v>gm</v>
      </c>
      <c r="D115" s="609">
        <f t="shared" si="19"/>
        <v>100</v>
      </c>
      <c r="E115" s="197">
        <f t="shared" si="23"/>
        <v>3.7545787545787608</v>
      </c>
      <c r="F115" s="299">
        <f t="shared" si="20"/>
        <v>1</v>
      </c>
      <c r="G115" s="119">
        <f t="shared" si="21"/>
        <v>375.45787545787607</v>
      </c>
      <c r="H115" s="207">
        <f t="shared" si="22"/>
        <v>375.45787545787607</v>
      </c>
    </row>
    <row r="116" spans="1:10" ht="14.25" customHeight="1" x14ac:dyDescent="0.3">
      <c r="A116" s="128" t="s">
        <v>220</v>
      </c>
      <c r="B116" s="605" t="str">
        <f t="shared" si="19"/>
        <v>لون صفار زعفران بودر - Saffron yellow color powder</v>
      </c>
      <c r="C116" s="609" t="str">
        <f t="shared" si="19"/>
        <v>gm</v>
      </c>
      <c r="D116" s="609">
        <f t="shared" si="19"/>
        <v>0.5</v>
      </c>
      <c r="E116" s="197">
        <f t="shared" si="23"/>
        <v>3.7545787545787608</v>
      </c>
      <c r="F116" s="299">
        <f t="shared" si="20"/>
        <v>1</v>
      </c>
      <c r="G116" s="119">
        <f t="shared" si="21"/>
        <v>1.8772893772893804</v>
      </c>
      <c r="H116" s="207">
        <f t="shared" si="22"/>
        <v>1.8772893772893804</v>
      </c>
    </row>
    <row r="117" spans="1:10" ht="20.25" customHeight="1" x14ac:dyDescent="0.4">
      <c r="A117" s="211"/>
      <c r="B117" s="198" t="s">
        <v>299</v>
      </c>
      <c r="C117" s="200" t="s">
        <v>285</v>
      </c>
      <c r="E117" s="200" t="s">
        <v>300</v>
      </c>
      <c r="G117" s="890" t="s">
        <v>276</v>
      </c>
      <c r="H117" s="890" t="s">
        <v>733</v>
      </c>
      <c r="I117" s="204"/>
      <c r="J117" s="203"/>
    </row>
    <row r="118" spans="1:10" ht="20" x14ac:dyDescent="0.4">
      <c r="A118" s="211"/>
      <c r="B118" s="199">
        <f>$J$54</f>
        <v>4160.6721538461497</v>
      </c>
      <c r="C118" s="199">
        <f>E118+G118</f>
        <v>3679.4871794871856</v>
      </c>
      <c r="D118" s="930"/>
      <c r="E118" s="199">
        <f>$D$54*$S$44</f>
        <v>1599.7770025641053</v>
      </c>
      <c r="F118" s="934"/>
      <c r="G118" s="199">
        <f>$D$54*$T$44</f>
        <v>2079.7101769230803</v>
      </c>
      <c r="H118" s="199">
        <f>B118+E118</f>
        <v>5760.4491564102555</v>
      </c>
    </row>
  </sheetData>
  <mergeCells count="10">
    <mergeCell ref="AL2:AN2"/>
    <mergeCell ref="AE2:AG3"/>
    <mergeCell ref="R26:U26"/>
    <mergeCell ref="B91:H91"/>
    <mergeCell ref="B92:H92"/>
    <mergeCell ref="R25:U25"/>
    <mergeCell ref="B62:H62"/>
    <mergeCell ref="F2:F3"/>
    <mergeCell ref="B63:H63"/>
    <mergeCell ref="B35:F35"/>
  </mergeCells>
  <printOptions horizontalCentered="1"/>
  <pageMargins left="0.5" right="0.5" top="1" bottom="0.5" header="0.3" footer="0.511811023622047"/>
  <pageSetup paperSize="9" scale="36" orientation="portrait" r:id="rId1"/>
  <legacyDrawing r:id="rId2"/>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73">
    <tabColor rgb="FF333F50"/>
    <pageSetUpPr fitToPage="1"/>
  </sheetPr>
  <dimension ref="A1:AT72"/>
  <sheetViews>
    <sheetView topLeftCell="P1" zoomScale="70" zoomScaleNormal="70" workbookViewId="0">
      <selection activeCell="AC25" sqref="AC25"/>
    </sheetView>
  </sheetViews>
  <sheetFormatPr defaultColWidth="12.5" defaultRowHeight="14" x14ac:dyDescent="0.3"/>
  <cols>
    <col min="1" max="1" width="12.5" style="1" customWidth="1"/>
    <col min="2" max="2" width="30" customWidth="1"/>
    <col min="3" max="3" width="23.9140625" customWidth="1"/>
    <col min="4" max="4" width="19" customWidth="1"/>
    <col min="5" max="5" width="16.1640625" customWidth="1"/>
    <col min="6" max="6" width="23.08203125" customWidth="1"/>
    <col min="7" max="7" width="25.1640625" customWidth="1"/>
    <col min="8" max="8" width="36.1640625" customWidth="1"/>
    <col min="12" max="12" width="8.33203125" customWidth="1"/>
    <col min="13" max="14" width="4.75" customWidth="1"/>
    <col min="18" max="18" width="32.1640625" customWidth="1"/>
    <col min="28" max="28" width="11.08203125" customWidth="1"/>
    <col min="29" max="29" width="11.9140625" bestFit="1" customWidth="1"/>
    <col min="30" max="30" width="11.33203125" customWidth="1"/>
    <col min="31" max="31" width="10" bestFit="1" customWidth="1"/>
    <col min="32" max="32" width="11.58203125" bestFit="1" customWidth="1"/>
    <col min="33" max="34" width="6.25" customWidth="1"/>
    <col min="36" max="36" width="16.9140625" customWidth="1"/>
  </cols>
  <sheetData>
    <row r="1" spans="1:46" ht="34.25" customHeight="1" x14ac:dyDescent="0.3">
      <c r="B1" s="80" t="s">
        <v>243</v>
      </c>
      <c r="C1" s="81">
        <v>1000</v>
      </c>
      <c r="D1" s="82" t="s">
        <v>244</v>
      </c>
      <c r="E1" s="117">
        <f>T32</f>
        <v>9099</v>
      </c>
      <c r="F1" s="80" t="s">
        <v>245</v>
      </c>
      <c r="G1" s="81">
        <f>E1/C1</f>
        <v>9.0990000000000002</v>
      </c>
      <c r="H1" s="80" t="s">
        <v>246</v>
      </c>
      <c r="I1" s="249">
        <f>(G1/K1)</f>
        <v>9.0990000000000002</v>
      </c>
      <c r="J1" s="86" t="s">
        <v>247</v>
      </c>
      <c r="K1" s="81">
        <v>1</v>
      </c>
      <c r="L1" s="100"/>
      <c r="M1" s="89"/>
      <c r="N1" s="90"/>
      <c r="O1" s="91" t="s">
        <v>248</v>
      </c>
      <c r="P1" s="92" t="s">
        <v>311</v>
      </c>
      <c r="Q1" s="93" t="s">
        <v>250</v>
      </c>
      <c r="R1" s="92">
        <v>0.53</v>
      </c>
      <c r="S1" s="100"/>
      <c r="T1" s="100"/>
      <c r="Y1" s="91" t="s">
        <v>479</v>
      </c>
      <c r="Z1" s="847">
        <v>59660</v>
      </c>
      <c r="AA1" s="91" t="s">
        <v>600</v>
      </c>
      <c r="AB1" s="847">
        <v>1000</v>
      </c>
      <c r="AC1" s="91" t="s">
        <v>587</v>
      </c>
      <c r="AD1" s="847">
        <v>417</v>
      </c>
      <c r="AE1" s="250"/>
      <c r="AF1" s="252"/>
      <c r="AG1" s="92"/>
      <c r="AI1" s="1"/>
      <c r="AJ1" s="94" t="s">
        <v>262</v>
      </c>
      <c r="AK1" s="94">
        <v>10000</v>
      </c>
      <c r="AL1" s="628" t="s">
        <v>541</v>
      </c>
      <c r="AM1" s="629">
        <f>$S$32</f>
        <v>60660</v>
      </c>
      <c r="AN1" s="94" t="s">
        <v>251</v>
      </c>
      <c r="AO1" s="329">
        <f>((S32)/$R$1)/$AK$1</f>
        <v>11.445283018867924</v>
      </c>
      <c r="AP1" s="95"/>
    </row>
    <row r="2" spans="1:46" ht="12.75" customHeight="1" x14ac:dyDescent="0.3">
      <c r="A2" s="265"/>
      <c r="B2" s="98"/>
      <c r="C2" s="98"/>
      <c r="D2" s="98"/>
      <c r="E2" s="98"/>
      <c r="F2" s="1408" t="s">
        <v>163</v>
      </c>
      <c r="G2" s="1429"/>
      <c r="H2" s="98"/>
      <c r="I2" s="98"/>
      <c r="J2" s="98"/>
      <c r="K2" s="98"/>
      <c r="L2" s="98"/>
      <c r="M2" s="131"/>
      <c r="N2" s="131"/>
      <c r="O2" s="100"/>
      <c r="P2" s="100"/>
      <c r="Q2" s="100"/>
      <c r="R2" s="100"/>
      <c r="S2" s="100"/>
      <c r="T2" s="100"/>
      <c r="U2" s="100"/>
      <c r="AC2" s="99"/>
      <c r="AD2" s="99"/>
      <c r="AE2" s="1391"/>
      <c r="AF2" s="1422"/>
      <c r="AG2" s="1422"/>
      <c r="AI2" s="1"/>
      <c r="AJ2" s="101"/>
      <c r="AK2" s="1386" t="s">
        <v>498</v>
      </c>
      <c r="AL2" s="1386"/>
      <c r="AM2" s="1386"/>
      <c r="AN2" s="1386"/>
      <c r="AO2" s="101"/>
      <c r="AP2" s="101"/>
    </row>
    <row r="3" spans="1:46" ht="12.75" customHeight="1" x14ac:dyDescent="0.3">
      <c r="A3" s="265"/>
      <c r="B3" s="103"/>
      <c r="C3" s="103"/>
      <c r="D3" s="103"/>
      <c r="E3" s="103"/>
      <c r="F3" s="1388"/>
      <c r="G3" s="1388"/>
      <c r="H3" s="103"/>
      <c r="I3" s="103"/>
      <c r="J3" s="103"/>
      <c r="K3" s="103"/>
      <c r="L3" s="98"/>
      <c r="M3" s="131"/>
      <c r="N3" s="131"/>
      <c r="O3" s="100"/>
      <c r="P3" s="100"/>
      <c r="Q3" s="100"/>
      <c r="R3" s="100"/>
      <c r="S3" s="100"/>
      <c r="T3" s="100"/>
      <c r="U3" s="100"/>
      <c r="AC3" s="99"/>
      <c r="AD3" s="99"/>
      <c r="AE3" s="1422"/>
      <c r="AF3" s="1422"/>
      <c r="AG3" s="1422"/>
      <c r="AI3" s="1"/>
      <c r="AJ3" s="101"/>
      <c r="AK3" s="1386"/>
      <c r="AL3" s="1386"/>
      <c r="AM3" s="1386"/>
      <c r="AN3" s="1386"/>
      <c r="AO3" s="101"/>
      <c r="AP3" s="101"/>
    </row>
    <row r="4" spans="1:46" ht="46.5" customHeight="1" x14ac:dyDescent="0.3">
      <c r="A4" s="91" t="s">
        <v>1</v>
      </c>
      <c r="B4" s="91" t="s">
        <v>253</v>
      </c>
      <c r="C4" s="107" t="s">
        <v>254</v>
      </c>
      <c r="D4" s="91" t="s">
        <v>243</v>
      </c>
      <c r="E4" s="108" t="s">
        <v>246</v>
      </c>
      <c r="F4" s="108" t="s">
        <v>255</v>
      </c>
      <c r="G4" s="91" t="s">
        <v>256</v>
      </c>
      <c r="H4" s="331" t="s">
        <v>347</v>
      </c>
      <c r="I4" s="91" t="s">
        <v>258</v>
      </c>
      <c r="J4" s="91" t="s">
        <v>259</v>
      </c>
      <c r="K4" s="91" t="s">
        <v>260</v>
      </c>
      <c r="L4" s="91" t="s">
        <v>261</v>
      </c>
      <c r="M4" s="131"/>
      <c r="N4" s="131"/>
      <c r="O4" s="100"/>
      <c r="P4" s="100"/>
      <c r="Q4" s="100"/>
      <c r="R4" s="100"/>
      <c r="S4" s="100"/>
      <c r="T4" s="100"/>
      <c r="U4" s="100"/>
      <c r="AC4" s="251"/>
      <c r="AD4" s="253"/>
      <c r="AE4" s="251"/>
      <c r="AF4" s="251"/>
      <c r="AG4" s="251"/>
      <c r="AI4" s="1"/>
      <c r="AJ4" s="94" t="s">
        <v>253</v>
      </c>
      <c r="AK4" s="530" t="s">
        <v>254</v>
      </c>
      <c r="AL4" s="94" t="s">
        <v>262</v>
      </c>
      <c r="AM4" s="94" t="s">
        <v>246</v>
      </c>
      <c r="AN4" s="94" t="s">
        <v>255</v>
      </c>
      <c r="AO4" s="94" t="s">
        <v>256</v>
      </c>
      <c r="AP4" s="94" t="s">
        <v>347</v>
      </c>
      <c r="AQ4" s="91" t="s">
        <v>258</v>
      </c>
      <c r="AR4" s="91" t="s">
        <v>259</v>
      </c>
      <c r="AS4" s="91" t="s">
        <v>260</v>
      </c>
      <c r="AT4" s="91" t="s">
        <v>261</v>
      </c>
    </row>
    <row r="5" spans="1:46" ht="14.25" customHeight="1" x14ac:dyDescent="0.3">
      <c r="A5" s="266" t="s">
        <v>230</v>
      </c>
      <c r="B5" s="267" t="s">
        <v>235</v>
      </c>
      <c r="C5" s="115" t="s">
        <v>14</v>
      </c>
      <c r="D5" s="268">
        <f>I51/10</f>
        <v>12578.679245283018</v>
      </c>
      <c r="E5" s="126">
        <f>H52</f>
        <v>9.0989545052274732</v>
      </c>
      <c r="F5" s="127">
        <v>1</v>
      </c>
      <c r="G5" s="119">
        <f t="shared" ref="G5:G10" si="0">D5*E5</f>
        <v>114452.83018867923</v>
      </c>
      <c r="H5" s="120">
        <f t="shared" ref="H5:H10" si="1">G5*F5</f>
        <v>114452.83018867923</v>
      </c>
      <c r="I5" s="81">
        <f>VLOOKUP(B5,All_Ingredients!$A$1:$F$151,6,FALSE())</f>
        <v>0.37</v>
      </c>
      <c r="J5" s="119">
        <f>VLOOKUP(B5,All_Ingredients!$A$1:$J$151,10,FALSE())</f>
        <v>12</v>
      </c>
      <c r="K5" s="122">
        <f t="shared" ref="K5" si="2">(H5/I5)/1000</f>
        <v>309.33197348291685</v>
      </c>
      <c r="L5" s="122">
        <f t="shared" ref="L5" si="3">K5*J5</f>
        <v>3711.9836817950022</v>
      </c>
      <c r="M5" s="131"/>
      <c r="N5" s="131"/>
      <c r="O5" s="100"/>
      <c r="P5" s="100"/>
      <c r="Q5" s="100"/>
      <c r="R5" s="100"/>
      <c r="S5" s="100"/>
      <c r="T5" s="100"/>
      <c r="U5" s="100"/>
      <c r="AC5" s="92"/>
      <c r="AD5" s="133"/>
      <c r="AE5" s="254"/>
      <c r="AF5" s="135"/>
      <c r="AG5" s="136"/>
      <c r="AI5" s="1"/>
      <c r="AJ5" s="269" t="s">
        <v>235</v>
      </c>
      <c r="AK5" s="124" t="s">
        <v>238</v>
      </c>
      <c r="AL5" s="116">
        <v>10</v>
      </c>
      <c r="AM5" s="223">
        <f t="shared" ref="AM5:AM13" si="4">$AO$1</f>
        <v>11.445283018867924</v>
      </c>
      <c r="AN5" s="127">
        <v>1</v>
      </c>
      <c r="AO5" s="119">
        <f t="shared" ref="AO5:AO13" si="5">AL5*AM5</f>
        <v>114.45283018867924</v>
      </c>
      <c r="AP5" s="120">
        <f t="shared" ref="AP5:AP13" si="6">AO5*AN5</f>
        <v>114.45283018867924</v>
      </c>
      <c r="AQ5" s="295"/>
      <c r="AR5" s="1171"/>
      <c r="AS5" s="175"/>
      <c r="AT5" s="1172"/>
    </row>
    <row r="6" spans="1:46" ht="14.25" customHeight="1" x14ac:dyDescent="0.3">
      <c r="A6" s="270" t="s">
        <v>63</v>
      </c>
      <c r="B6" s="267" t="s">
        <v>73</v>
      </c>
      <c r="C6" s="124" t="s">
        <v>14</v>
      </c>
      <c r="D6" s="125">
        <v>75</v>
      </c>
      <c r="E6" s="223">
        <f>$I$1</f>
        <v>9.0990000000000002</v>
      </c>
      <c r="F6" s="127">
        <v>1</v>
      </c>
      <c r="G6" s="119">
        <f t="shared" si="0"/>
        <v>682.42500000000007</v>
      </c>
      <c r="H6" s="120">
        <f t="shared" si="1"/>
        <v>682.42500000000007</v>
      </c>
      <c r="I6" s="81">
        <f>VLOOKUP(B6,All_Ingredients!$A$1:$F$151,6,FALSE())</f>
        <v>0.71</v>
      </c>
      <c r="J6" s="119">
        <f>VLOOKUP(B6,All_Ingredients!$A$1:$J$151,10,FALSE())</f>
        <v>3</v>
      </c>
      <c r="K6" s="122">
        <f t="shared" ref="K6:K10" si="7">(H6/I6)/1000</f>
        <v>0.96116197183098606</v>
      </c>
      <c r="L6" s="122">
        <f t="shared" ref="L6:L10" si="8">K6*J6</f>
        <v>2.8834859154929582</v>
      </c>
      <c r="M6" s="131"/>
      <c r="N6" s="131"/>
      <c r="AI6" s="1" t="s">
        <v>57</v>
      </c>
      <c r="AJ6" s="374" t="s">
        <v>56</v>
      </c>
      <c r="AK6" s="334" t="s">
        <v>14</v>
      </c>
      <c r="AL6" s="116">
        <v>100</v>
      </c>
      <c r="AM6" s="223">
        <f t="shared" si="4"/>
        <v>11.445283018867924</v>
      </c>
      <c r="AN6" s="127">
        <v>1</v>
      </c>
      <c r="AO6" s="119">
        <f t="shared" si="5"/>
        <v>1144.5283018867924</v>
      </c>
      <c r="AP6" s="120">
        <f t="shared" si="6"/>
        <v>1144.5283018867924</v>
      </c>
      <c r="AQ6" s="1172">
        <f>VLOOKUP(AJ6,Marination_Ordering!$A:$J,6,FALSE)</f>
        <v>0.87</v>
      </c>
      <c r="AR6" s="1172">
        <f>VLOOKUP(AJ6,Marination_Ordering!$A:$J,10,FALSE)</f>
        <v>3.2</v>
      </c>
      <c r="AS6" s="175">
        <f>AP6/AQ6</f>
        <v>1315.5497722836694</v>
      </c>
      <c r="AT6" s="1172">
        <f>AR6*(AS6/1000)</f>
        <v>4.2097592713077416</v>
      </c>
    </row>
    <row r="7" spans="1:46" ht="14.25" customHeight="1" x14ac:dyDescent="0.3">
      <c r="A7" s="270" t="s">
        <v>210</v>
      </c>
      <c r="B7" s="267" t="s">
        <v>219</v>
      </c>
      <c r="C7" s="124" t="s">
        <v>165</v>
      </c>
      <c r="D7" s="125">
        <v>1000</v>
      </c>
      <c r="E7" s="223">
        <f>$I$1</f>
        <v>9.0990000000000002</v>
      </c>
      <c r="F7" s="127">
        <v>1</v>
      </c>
      <c r="G7" s="119">
        <f t="shared" si="0"/>
        <v>9099</v>
      </c>
      <c r="H7" s="120">
        <f t="shared" si="1"/>
        <v>9099</v>
      </c>
      <c r="I7" s="81">
        <f>VLOOKUP(B7,All_Ingredients!$A$1:$F$151,6,FALSE())</f>
        <v>1</v>
      </c>
      <c r="J7" s="119">
        <f>VLOOKUP(B7,All_Ingredients!$A$1:$J$151,10,FALSE())</f>
        <v>5</v>
      </c>
      <c r="K7" s="122">
        <f t="shared" si="7"/>
        <v>9.0990000000000002</v>
      </c>
      <c r="L7" s="122">
        <f t="shared" si="8"/>
        <v>45.495000000000005</v>
      </c>
      <c r="M7" s="131"/>
      <c r="N7" s="131"/>
      <c r="AI7" s="1" t="s">
        <v>13</v>
      </c>
      <c r="AJ7" s="374" t="s">
        <v>792</v>
      </c>
      <c r="AK7" s="334" t="s">
        <v>14</v>
      </c>
      <c r="AL7" s="116">
        <v>200</v>
      </c>
      <c r="AM7" s="223">
        <f t="shared" si="4"/>
        <v>11.445283018867924</v>
      </c>
      <c r="AN7" s="127">
        <v>1</v>
      </c>
      <c r="AO7" s="119">
        <f t="shared" si="5"/>
        <v>2289.0566037735848</v>
      </c>
      <c r="AP7" s="120">
        <f t="shared" si="6"/>
        <v>2289.0566037735848</v>
      </c>
      <c r="AQ7" s="1172">
        <f>VLOOKUP(AJ7,Marination_Ordering!$A:$J,6,FALSE)</f>
        <v>1</v>
      </c>
      <c r="AR7" s="1172">
        <f>VLOOKUP(AJ7,Marination_Ordering!$A:$J,10,FALSE)</f>
        <v>10.5</v>
      </c>
      <c r="AS7" s="175">
        <f t="shared" ref="AS7:AS8" si="9">AP7/AQ7</f>
        <v>2289.0566037735848</v>
      </c>
      <c r="AT7" s="1172">
        <f t="shared" ref="AT7:AT8" si="10">AR7*(AS7/1000)</f>
        <v>24.035094339622642</v>
      </c>
    </row>
    <row r="8" spans="1:46" ht="14.25" customHeight="1" x14ac:dyDescent="0.3">
      <c r="A8" s="270" t="s">
        <v>97</v>
      </c>
      <c r="B8" s="267" t="s">
        <v>102</v>
      </c>
      <c r="C8" s="124" t="s">
        <v>14</v>
      </c>
      <c r="D8" s="125">
        <v>2.5</v>
      </c>
      <c r="E8" s="223">
        <f>$I$1</f>
        <v>9.0990000000000002</v>
      </c>
      <c r="F8" s="127">
        <v>1</v>
      </c>
      <c r="G8" s="119">
        <f t="shared" si="0"/>
        <v>22.747500000000002</v>
      </c>
      <c r="H8" s="120">
        <f t="shared" si="1"/>
        <v>22.747500000000002</v>
      </c>
      <c r="I8" s="81">
        <f>VLOOKUP(B8,All_Ingredients!$A$1:$F$151,6,FALSE())</f>
        <v>1</v>
      </c>
      <c r="J8" s="119">
        <f>VLOOKUP(B8,All_Ingredients!$A$1:$J$151,10,FALSE())</f>
        <v>31</v>
      </c>
      <c r="K8" s="122">
        <f t="shared" si="7"/>
        <v>2.2747500000000004E-2</v>
      </c>
      <c r="L8" s="122">
        <f t="shared" si="8"/>
        <v>0.70517250000000009</v>
      </c>
      <c r="AI8" s="1" t="s">
        <v>210</v>
      </c>
      <c r="AJ8" s="374" t="s">
        <v>219</v>
      </c>
      <c r="AK8" s="334" t="s">
        <v>165</v>
      </c>
      <c r="AL8" s="116">
        <v>450</v>
      </c>
      <c r="AM8" s="223">
        <f t="shared" si="4"/>
        <v>11.445283018867924</v>
      </c>
      <c r="AN8" s="127">
        <v>1</v>
      </c>
      <c r="AO8" s="119">
        <f t="shared" si="5"/>
        <v>5150.3773584905657</v>
      </c>
      <c r="AP8" s="120">
        <f t="shared" si="6"/>
        <v>5150.3773584905657</v>
      </c>
      <c r="AQ8" s="1172">
        <f>VLOOKUP(AJ8,Marination_Ordering!$A:$J,6,FALSE)</f>
        <v>1</v>
      </c>
      <c r="AR8" s="1172">
        <f>VLOOKUP(AJ8,Marination_Ordering!$A:$J,10,FALSE)</f>
        <v>5</v>
      </c>
      <c r="AS8" s="175">
        <f t="shared" si="9"/>
        <v>5150.3773584905657</v>
      </c>
      <c r="AT8" s="1172">
        <f t="shared" si="10"/>
        <v>25.751886792452829</v>
      </c>
    </row>
    <row r="9" spans="1:46" ht="14.25" customHeight="1" x14ac:dyDescent="0.3">
      <c r="A9" s="270" t="s">
        <v>97</v>
      </c>
      <c r="B9" s="267" t="s">
        <v>96</v>
      </c>
      <c r="C9" s="124" t="s">
        <v>14</v>
      </c>
      <c r="D9" s="125">
        <v>12.5</v>
      </c>
      <c r="E9" s="223">
        <f>$I$1</f>
        <v>9.0990000000000002</v>
      </c>
      <c r="F9" s="127">
        <v>1</v>
      </c>
      <c r="G9" s="119">
        <f t="shared" si="0"/>
        <v>113.7375</v>
      </c>
      <c r="H9" s="120">
        <f t="shared" si="1"/>
        <v>113.7375</v>
      </c>
      <c r="I9" s="81">
        <f>VLOOKUP(B9,All_Ingredients!$A$1:$F$151,6,FALSE())</f>
        <v>1</v>
      </c>
      <c r="J9" s="119">
        <f>VLOOKUP(B9,All_Ingredients!$A$1:$J$151,10,FALSE())</f>
        <v>0.74</v>
      </c>
      <c r="K9" s="122">
        <f t="shared" si="7"/>
        <v>0.11373749999999999</v>
      </c>
      <c r="L9" s="122">
        <f t="shared" si="8"/>
        <v>8.4165749999999998E-2</v>
      </c>
      <c r="AI9" s="1" t="s">
        <v>210</v>
      </c>
      <c r="AJ9" s="374" t="s">
        <v>215</v>
      </c>
      <c r="AK9" s="124" t="s">
        <v>165</v>
      </c>
      <c r="AL9" s="223">
        <v>100</v>
      </c>
      <c r="AM9" s="223">
        <f t="shared" si="4"/>
        <v>11.445283018867924</v>
      </c>
      <c r="AN9" s="127">
        <v>1</v>
      </c>
      <c r="AO9" s="119">
        <f t="shared" si="5"/>
        <v>1144.5283018867924</v>
      </c>
      <c r="AP9" s="120">
        <f t="shared" si="6"/>
        <v>1144.5283018867924</v>
      </c>
      <c r="AQ9" s="1172">
        <f>VLOOKUP(AJ9,Marination_Ordering!$A:$J,6,FALSE)</f>
        <v>1</v>
      </c>
      <c r="AR9" s="1172">
        <f>VLOOKUP(AJ9,Marination_Ordering!$A:$J,10,FALSE)</f>
        <v>2.1621621621621623</v>
      </c>
      <c r="AS9" s="175">
        <f t="shared" ref="AS9:AS13" si="11">AP9/AQ9</f>
        <v>1144.5283018867924</v>
      </c>
      <c r="AT9" s="1172">
        <f t="shared" ref="AT9:AT13" si="12">AR9*(AS9/1000)</f>
        <v>2.4746557878633353</v>
      </c>
    </row>
    <row r="10" spans="1:46" ht="14.25" customHeight="1" x14ac:dyDescent="0.3">
      <c r="A10" s="270" t="s">
        <v>97</v>
      </c>
      <c r="B10" s="267" t="s">
        <v>108</v>
      </c>
      <c r="C10" s="124" t="s">
        <v>14</v>
      </c>
      <c r="D10" s="125">
        <v>2.5</v>
      </c>
      <c r="E10" s="223">
        <f>$I$1</f>
        <v>9.0990000000000002</v>
      </c>
      <c r="F10" s="127">
        <v>1</v>
      </c>
      <c r="G10" s="119">
        <f t="shared" si="0"/>
        <v>22.747500000000002</v>
      </c>
      <c r="H10" s="120">
        <f t="shared" si="1"/>
        <v>22.747500000000002</v>
      </c>
      <c r="I10" s="81">
        <f>VLOOKUP(B10,All_Ingredients!$A$1:$F$151,6,FALSE())</f>
        <v>1</v>
      </c>
      <c r="J10" s="119">
        <f>VLOOKUP(B10,All_Ingredients!$A$1:$J$151,10,FALSE())</f>
        <v>15</v>
      </c>
      <c r="K10" s="122">
        <f t="shared" si="7"/>
        <v>2.2747500000000004E-2</v>
      </c>
      <c r="L10" s="122">
        <f t="shared" si="8"/>
        <v>0.34121250000000003</v>
      </c>
      <c r="AI10" s="1" t="s">
        <v>97</v>
      </c>
      <c r="AJ10" s="323" t="s">
        <v>96</v>
      </c>
      <c r="AK10" s="334" t="s">
        <v>14</v>
      </c>
      <c r="AL10" s="116">
        <v>2</v>
      </c>
      <c r="AM10" s="223">
        <f t="shared" si="4"/>
        <v>11.445283018867924</v>
      </c>
      <c r="AN10" s="127">
        <v>1</v>
      </c>
      <c r="AO10" s="119">
        <f t="shared" si="5"/>
        <v>22.890566037735848</v>
      </c>
      <c r="AP10" s="120">
        <f t="shared" si="6"/>
        <v>22.890566037735848</v>
      </c>
      <c r="AQ10" s="1172">
        <f>VLOOKUP(AJ10,Marination_Ordering!$A:$J,6,FALSE)</f>
        <v>1</v>
      </c>
      <c r="AR10" s="1172">
        <f>VLOOKUP(AJ10,Marination_Ordering!$A:$J,10,FALSE)</f>
        <v>0.74</v>
      </c>
      <c r="AS10" s="175">
        <f t="shared" si="11"/>
        <v>22.890566037735848</v>
      </c>
      <c r="AT10" s="1172">
        <f t="shared" si="12"/>
        <v>1.6939018867924528E-2</v>
      </c>
    </row>
    <row r="11" spans="1:46" ht="14.25" customHeight="1" x14ac:dyDescent="0.3">
      <c r="B11" s="100"/>
      <c r="E11" s="100"/>
      <c r="F11" s="100"/>
      <c r="L11" s="209"/>
      <c r="AI11" s="1" t="s">
        <v>97</v>
      </c>
      <c r="AJ11" s="374" t="s">
        <v>102</v>
      </c>
      <c r="AK11" s="334" t="s">
        <v>14</v>
      </c>
      <c r="AL11" s="116">
        <v>2</v>
      </c>
      <c r="AM11" s="223">
        <f t="shared" si="4"/>
        <v>11.445283018867924</v>
      </c>
      <c r="AN11" s="127">
        <v>1</v>
      </c>
      <c r="AO11" s="119">
        <f t="shared" si="5"/>
        <v>22.890566037735848</v>
      </c>
      <c r="AP11" s="120">
        <f t="shared" si="6"/>
        <v>22.890566037735848</v>
      </c>
      <c r="AQ11" s="1172">
        <f>VLOOKUP(AJ11,Marination_Ordering!$A:$J,6,FALSE)</f>
        <v>1</v>
      </c>
      <c r="AR11" s="1172">
        <f>VLOOKUP(AJ11,Marination_Ordering!$A:$J,10,FALSE)</f>
        <v>31</v>
      </c>
      <c r="AS11" s="175">
        <f t="shared" si="11"/>
        <v>22.890566037735848</v>
      </c>
      <c r="AT11" s="1172">
        <f t="shared" si="12"/>
        <v>0.70960754716981123</v>
      </c>
    </row>
    <row r="12" spans="1:46" ht="14.25" customHeight="1" x14ac:dyDescent="0.3">
      <c r="B12" s="100"/>
      <c r="E12" s="100"/>
      <c r="F12" s="100"/>
      <c r="L12" s="209"/>
      <c r="AI12" s="1" t="s">
        <v>97</v>
      </c>
      <c r="AJ12" s="323" t="s">
        <v>108</v>
      </c>
      <c r="AK12" s="334" t="s">
        <v>14</v>
      </c>
      <c r="AL12" s="116">
        <v>25</v>
      </c>
      <c r="AM12" s="223">
        <f t="shared" si="4"/>
        <v>11.445283018867924</v>
      </c>
      <c r="AN12" s="127">
        <v>1</v>
      </c>
      <c r="AO12" s="119">
        <f t="shared" si="5"/>
        <v>286.1320754716981</v>
      </c>
      <c r="AP12" s="120">
        <f t="shared" si="6"/>
        <v>286.1320754716981</v>
      </c>
      <c r="AQ12" s="1172">
        <f>VLOOKUP(AJ12,Marination_Ordering!$A:$J,6,FALSE)</f>
        <v>1</v>
      </c>
      <c r="AR12" s="1172">
        <f>VLOOKUP(AJ12,Marination_Ordering!$A:$J,10,FALSE)</f>
        <v>15</v>
      </c>
      <c r="AS12" s="175">
        <f t="shared" si="11"/>
        <v>286.1320754716981</v>
      </c>
      <c r="AT12" s="1172">
        <f t="shared" si="12"/>
        <v>4.2919811320754713</v>
      </c>
    </row>
    <row r="13" spans="1:46" ht="14.25" customHeight="1" x14ac:dyDescent="0.3">
      <c r="L13" s="209"/>
      <c r="AI13" s="1" t="s">
        <v>196</v>
      </c>
      <c r="AJ13" s="611" t="s">
        <v>208</v>
      </c>
      <c r="AK13" s="334" t="s">
        <v>14</v>
      </c>
      <c r="AL13" s="125">
        <v>300</v>
      </c>
      <c r="AM13" s="223">
        <f t="shared" si="4"/>
        <v>11.445283018867924</v>
      </c>
      <c r="AN13" s="127">
        <v>1</v>
      </c>
      <c r="AO13" s="119">
        <f t="shared" si="5"/>
        <v>3433.584905660377</v>
      </c>
      <c r="AP13" s="120">
        <f t="shared" si="6"/>
        <v>3433.584905660377</v>
      </c>
      <c r="AQ13" s="1172">
        <f>VLOOKUP(AJ13,Marination_Ordering!$A:$J,6,FALSE)</f>
        <v>1</v>
      </c>
      <c r="AR13" s="1172">
        <f>VLOOKUP(AJ13,Marination_Ordering!$A:$J,10,FALSE)</f>
        <v>11.243386243386244</v>
      </c>
      <c r="AS13" s="175">
        <f t="shared" si="11"/>
        <v>3433.584905660377</v>
      </c>
      <c r="AT13" s="1172">
        <f t="shared" si="12"/>
        <v>38.605121293800536</v>
      </c>
    </row>
    <row r="14" spans="1:46" ht="14.25" customHeight="1" x14ac:dyDescent="0.3">
      <c r="L14" s="209"/>
      <c r="AQ14" s="14"/>
      <c r="AR14" s="1147"/>
      <c r="AS14" s="556"/>
      <c r="AT14" s="1145"/>
    </row>
    <row r="15" spans="1:46" ht="14.25" customHeight="1" x14ac:dyDescent="0.3">
      <c r="L15" s="209"/>
      <c r="W15" s="129" t="s">
        <v>495</v>
      </c>
      <c r="AQ15" s="14"/>
      <c r="AR15" s="1147"/>
      <c r="AS15" s="556"/>
      <c r="AT15" s="1145"/>
    </row>
    <row r="16" spans="1:46" ht="14.25" customHeight="1" x14ac:dyDescent="0.3">
      <c r="L16" s="209"/>
      <c r="W16" s="612" t="s">
        <v>496</v>
      </c>
    </row>
    <row r="17" spans="2:31" ht="14.25" customHeight="1" x14ac:dyDescent="0.3">
      <c r="L17" s="209"/>
    </row>
    <row r="18" spans="2:31" ht="14.25" customHeight="1" x14ac:dyDescent="0.3">
      <c r="L18" s="209"/>
    </row>
    <row r="19" spans="2:31" ht="14.25" customHeight="1" x14ac:dyDescent="0.3">
      <c r="L19" s="209"/>
    </row>
    <row r="20" spans="2:31" ht="14.25" customHeight="1" x14ac:dyDescent="0.3">
      <c r="L20" s="209"/>
    </row>
    <row r="21" spans="2:31" ht="14.25" customHeight="1" x14ac:dyDescent="0.3">
      <c r="L21" s="209"/>
    </row>
    <row r="22" spans="2:31" ht="14.25" customHeight="1" x14ac:dyDescent="0.3">
      <c r="L22" s="209"/>
    </row>
    <row r="23" spans="2:31" ht="18" customHeight="1" x14ac:dyDescent="0.3">
      <c r="K23" s="209"/>
      <c r="L23" s="209"/>
      <c r="W23" t="s">
        <v>497</v>
      </c>
    </row>
    <row r="24" spans="2:31" ht="18" customHeight="1" x14ac:dyDescent="0.3">
      <c r="Z24" s="1294"/>
    </row>
    <row r="25" spans="2:31" ht="14.25" customHeight="1" x14ac:dyDescent="0.35">
      <c r="K25" s="209"/>
      <c r="L25" s="209"/>
      <c r="R25" s="1411" t="s">
        <v>498</v>
      </c>
      <c r="S25" s="1388"/>
      <c r="T25" s="1388"/>
      <c r="U25" s="1388"/>
      <c r="V25" s="1151"/>
      <c r="Z25" s="141" t="s">
        <v>264</v>
      </c>
      <c r="AA25" s="142">
        <v>60660</v>
      </c>
      <c r="AB25" s="141" t="s">
        <v>261</v>
      </c>
      <c r="AC25" s="143">
        <f>(AA25*(1.15))*AE30+(AA30*(AB28/R1))</f>
        <v>3861.5877636436558</v>
      </c>
      <c r="AD25" s="14"/>
    </row>
    <row r="26" spans="2:31" ht="14.25" customHeight="1" x14ac:dyDescent="0.3">
      <c r="B26" s="100"/>
      <c r="E26" s="100"/>
      <c r="F26" s="100"/>
      <c r="K26" s="209"/>
      <c r="L26" s="209"/>
      <c r="R26" s="1423" t="s">
        <v>265</v>
      </c>
      <c r="S26" s="1388"/>
      <c r="T26" s="1388"/>
      <c r="U26" s="1388"/>
      <c r="V26" s="1151"/>
      <c r="Z26" s="14"/>
      <c r="AA26" s="14"/>
      <c r="AB26" s="14"/>
      <c r="AC26" s="14"/>
      <c r="AD26" s="14"/>
    </row>
    <row r="27" spans="2:31" ht="14.25" customHeight="1" thickBot="1" x14ac:dyDescent="0.35">
      <c r="B27" s="100"/>
      <c r="E27" s="100"/>
      <c r="F27" s="100"/>
      <c r="K27" s="209"/>
      <c r="R27" s="145" t="s">
        <v>266</v>
      </c>
      <c r="S27" s="146" t="s">
        <v>499</v>
      </c>
      <c r="T27" s="146" t="s">
        <v>268</v>
      </c>
      <c r="U27" s="146" t="s">
        <v>269</v>
      </c>
      <c r="V27" s="146" t="s">
        <v>839</v>
      </c>
      <c r="W27" s="146" t="s">
        <v>848</v>
      </c>
      <c r="Z27" s="141" t="s">
        <v>270</v>
      </c>
      <c r="AA27" s="1185" t="s">
        <v>324</v>
      </c>
      <c r="AB27" s="147" t="s">
        <v>271</v>
      </c>
      <c r="AC27" s="147" t="s">
        <v>273</v>
      </c>
      <c r="AD27" s="1186" t="s">
        <v>848</v>
      </c>
      <c r="AE27" s="147" t="s">
        <v>274</v>
      </c>
    </row>
    <row r="28" spans="2:31" ht="14.25" customHeight="1" thickBot="1" x14ac:dyDescent="0.35">
      <c r="R28" s="148" t="s">
        <v>275</v>
      </c>
      <c r="S28" s="150">
        <f>$Z$1</f>
        <v>59660</v>
      </c>
      <c r="T28" s="304"/>
      <c r="U28" s="149">
        <f>S28/S40</f>
        <v>59660</v>
      </c>
      <c r="V28" s="149">
        <f>SUM(AP5:AP13)</f>
        <v>13608.441509433958</v>
      </c>
      <c r="W28" s="149">
        <f>H37</f>
        <v>0</v>
      </c>
      <c r="Z28" s="151"/>
      <c r="AA28" s="1188"/>
      <c r="AB28" s="152">
        <f>AA25*$S$40</f>
        <v>60660</v>
      </c>
      <c r="AC28" s="153">
        <f>AA25*0.15</f>
        <v>9099</v>
      </c>
      <c r="AD28" s="1188"/>
      <c r="AE28" s="1331">
        <f>SUM(AB28:AC28)</f>
        <v>69759</v>
      </c>
    </row>
    <row r="29" spans="2:31" ht="14.25" customHeight="1" thickBot="1" x14ac:dyDescent="0.35">
      <c r="K29" s="209"/>
      <c r="R29" s="148" t="s">
        <v>276</v>
      </c>
      <c r="S29" s="155"/>
      <c r="T29" s="149">
        <f>S28*0.15</f>
        <v>8949</v>
      </c>
      <c r="U29" s="149">
        <f>T29</f>
        <v>8949</v>
      </c>
      <c r="V29" s="149"/>
      <c r="W29" s="149"/>
      <c r="Z29" s="151"/>
      <c r="AA29" s="1192"/>
      <c r="AB29" s="156">
        <f>AB28/$AE$28</f>
        <v>0.86956521739130432</v>
      </c>
      <c r="AC29" s="156">
        <f>AC28/$AE$28</f>
        <v>0.13043478260869565</v>
      </c>
      <c r="AD29" s="1192"/>
      <c r="AE29" s="156">
        <f>AE28/$AE$28</f>
        <v>1</v>
      </c>
    </row>
    <row r="30" spans="2:31" ht="14.25" customHeight="1" thickBot="1" x14ac:dyDescent="0.35">
      <c r="K30" s="209"/>
      <c r="R30" s="148" t="s">
        <v>277</v>
      </c>
      <c r="S30" s="1236">
        <f>$AB$1</f>
        <v>1000</v>
      </c>
      <c r="T30" s="155">
        <f>S30*0.15</f>
        <v>150</v>
      </c>
      <c r="U30" s="155">
        <f>S30/S40</f>
        <v>1000</v>
      </c>
      <c r="V30" s="1143"/>
      <c r="W30" s="1143"/>
      <c r="Z30" s="141" t="s">
        <v>278</v>
      </c>
      <c r="AA30" s="1196">
        <f>V35/(S32/R1)</f>
        <v>8.7455281811861128E-4</v>
      </c>
      <c r="AB30" s="157">
        <f>S35/(S32)</f>
        <v>6.1193268740438546E-2</v>
      </c>
      <c r="AC30" s="157">
        <f>T35/(T32)</f>
        <v>5.4411514084507038E-3</v>
      </c>
      <c r="AD30" s="1199">
        <f>W35/U32</f>
        <v>0</v>
      </c>
      <c r="AE30" s="159">
        <f>SUMPRODUCT(AB30:AC30,AB29:AC29)</f>
        <v>5.392125343626622E-2</v>
      </c>
    </row>
    <row r="31" spans="2:31" ht="14.25" customHeight="1" thickBot="1" x14ac:dyDescent="0.35">
      <c r="R31" s="148" t="s">
        <v>279</v>
      </c>
      <c r="S31" s="155"/>
      <c r="T31" s="149"/>
      <c r="U31" s="149"/>
      <c r="V31" s="149"/>
      <c r="W31" s="149"/>
    </row>
    <row r="32" spans="2:31" ht="14.25" customHeight="1" thickBot="1" x14ac:dyDescent="0.35">
      <c r="R32" s="160" t="s">
        <v>269</v>
      </c>
      <c r="S32" s="149">
        <f>SUM(S28:S30)</f>
        <v>60660</v>
      </c>
      <c r="T32" s="149">
        <f>SUM(T28:T30)</f>
        <v>9099</v>
      </c>
      <c r="U32" s="149">
        <f>SUM(S32:T32)</f>
        <v>69759</v>
      </c>
      <c r="V32" s="149"/>
      <c r="W32" s="149">
        <f>SUM(W28:W30)</f>
        <v>0</v>
      </c>
    </row>
    <row r="33" spans="17:23" ht="14.25" customHeight="1" thickBot="1" x14ac:dyDescent="0.35">
      <c r="R33" s="161" t="s">
        <v>280</v>
      </c>
      <c r="S33" s="155"/>
      <c r="T33" s="155">
        <f>F45</f>
        <v>0</v>
      </c>
      <c r="U33" s="155"/>
      <c r="V33" s="155"/>
      <c r="W33" s="155"/>
    </row>
    <row r="34" spans="17:23" ht="14.25" customHeight="1" thickBot="1" x14ac:dyDescent="0.35">
      <c r="R34" s="162" t="s">
        <v>281</v>
      </c>
      <c r="S34" s="155"/>
      <c r="T34" s="149">
        <f>T33-(T28+T29)</f>
        <v>-8949</v>
      </c>
      <c r="U34" s="155"/>
      <c r="V34" s="155"/>
      <c r="W34" s="155"/>
    </row>
    <row r="35" spans="17:23" ht="14.25" customHeight="1" thickBot="1" x14ac:dyDescent="0.35">
      <c r="R35" s="163" t="s">
        <v>261</v>
      </c>
      <c r="S35" s="1144">
        <f>$L$5</f>
        <v>3711.9836817950022</v>
      </c>
      <c r="T35" s="1144">
        <f>SUM(L6:L10)</f>
        <v>49.509036665492957</v>
      </c>
      <c r="U35" s="1144">
        <f>S35+T35+V35+W35</f>
        <v>3861.5877636436558</v>
      </c>
      <c r="V35" s="1144">
        <f>SUM(AT6:AT13)</f>
        <v>100.09504518316029</v>
      </c>
      <c r="W35" s="1144">
        <f>L37</f>
        <v>0</v>
      </c>
    </row>
    <row r="36" spans="17:23" ht="18" customHeight="1" x14ac:dyDescent="0.3"/>
    <row r="40" spans="17:23" ht="17.75" customHeight="1" x14ac:dyDescent="0.3">
      <c r="Q40" s="14"/>
      <c r="R40" s="165" t="s">
        <v>282</v>
      </c>
      <c r="S40" s="239">
        <v>1</v>
      </c>
      <c r="T40" s="165" t="s">
        <v>283</v>
      </c>
      <c r="U40" s="239">
        <v>0</v>
      </c>
      <c r="V40" s="168">
        <f>S40+U40</f>
        <v>1</v>
      </c>
      <c r="W40" s="14"/>
    </row>
    <row r="41" spans="17:23" ht="14.25" customHeight="1" x14ac:dyDescent="0.3">
      <c r="Q41" s="14"/>
      <c r="R41" s="14"/>
      <c r="S41" s="14"/>
      <c r="T41" s="14"/>
      <c r="U41" s="169"/>
      <c r="V41" s="14"/>
      <c r="W41" s="14"/>
    </row>
    <row r="42" spans="17:23" ht="14.25" customHeight="1" x14ac:dyDescent="0.3">
      <c r="Q42" s="14"/>
      <c r="R42" s="14"/>
      <c r="S42" s="14"/>
      <c r="T42" s="14"/>
      <c r="U42" s="14"/>
      <c r="V42" s="14"/>
      <c r="W42" s="14"/>
    </row>
    <row r="43" spans="17:23" ht="14.25" customHeight="1" x14ac:dyDescent="0.3">
      <c r="Q43" s="170" t="s">
        <v>284</v>
      </c>
      <c r="R43" s="170" t="s">
        <v>285</v>
      </c>
      <c r="S43" s="170" t="s">
        <v>286</v>
      </c>
      <c r="T43" s="170" t="s">
        <v>287</v>
      </c>
      <c r="U43" s="170" t="s">
        <v>288</v>
      </c>
      <c r="V43" s="170" t="s">
        <v>289</v>
      </c>
      <c r="W43" s="170" t="s">
        <v>290</v>
      </c>
    </row>
    <row r="44" spans="17:23" ht="14.25" customHeight="1" x14ac:dyDescent="0.3">
      <c r="Q44" s="172">
        <v>66667</v>
      </c>
      <c r="R44" s="173">
        <f>D51</f>
        <v>10000</v>
      </c>
      <c r="S44" s="174">
        <v>0</v>
      </c>
      <c r="T44" s="174">
        <v>1</v>
      </c>
      <c r="U44" s="242">
        <f>R44*S44</f>
        <v>0</v>
      </c>
      <c r="V44" s="176">
        <f>R44*T44</f>
        <v>10000</v>
      </c>
      <c r="W44" s="176">
        <f>Q44-U44</f>
        <v>66667</v>
      </c>
    </row>
    <row r="49" spans="1:10" ht="14.25" customHeight="1" x14ac:dyDescent="0.3"/>
    <row r="50" spans="1:10" ht="14.25" customHeight="1" x14ac:dyDescent="0.3">
      <c r="B50" s="276"/>
      <c r="C50" s="145" t="s">
        <v>245</v>
      </c>
      <c r="D50" s="145" t="s">
        <v>291</v>
      </c>
      <c r="F50" s="100"/>
      <c r="G50" s="145" t="s">
        <v>292</v>
      </c>
      <c r="H50" s="145" t="s">
        <v>245</v>
      </c>
      <c r="I50" s="145" t="s">
        <v>293</v>
      </c>
      <c r="J50" s="145" t="s">
        <v>294</v>
      </c>
    </row>
    <row r="51" spans="1:10" ht="14.25" customHeight="1" x14ac:dyDescent="0.3">
      <c r="B51" s="180" t="s">
        <v>295</v>
      </c>
      <c r="C51" s="181">
        <f>10/$K$1</f>
        <v>10</v>
      </c>
      <c r="D51" s="182">
        <f>$C$1*10</f>
        <v>10000</v>
      </c>
      <c r="E51" s="183"/>
      <c r="F51" s="100"/>
      <c r="G51" s="180" t="s">
        <v>295</v>
      </c>
      <c r="H51" s="277">
        <f>I51/$D$5</f>
        <v>10</v>
      </c>
      <c r="I51" s="181">
        <f>J51/$R$1</f>
        <v>125786.79245283018</v>
      </c>
      <c r="J51" s="181">
        <f>$W$44</f>
        <v>66667</v>
      </c>
    </row>
    <row r="52" spans="1:10" ht="14.25" customHeight="1" x14ac:dyDescent="0.3">
      <c r="B52" s="231" t="s">
        <v>274</v>
      </c>
      <c r="C52" s="232">
        <f>$I$1</f>
        <v>9.0990000000000002</v>
      </c>
      <c r="D52" s="233">
        <f>$E$1</f>
        <v>9099</v>
      </c>
      <c r="E52" s="100"/>
      <c r="F52" s="100"/>
      <c r="G52" s="148" t="s">
        <v>274</v>
      </c>
      <c r="H52" s="210">
        <f>I52/$D$5</f>
        <v>9.0989545052274732</v>
      </c>
      <c r="I52" s="176">
        <f>J52/$R$1</f>
        <v>114452.83018867923</v>
      </c>
      <c r="J52" s="184">
        <f>$S$32</f>
        <v>60660</v>
      </c>
    </row>
    <row r="53" spans="1:10" ht="14.25" customHeight="1" x14ac:dyDescent="0.3">
      <c r="B53" s="231" t="s">
        <v>296</v>
      </c>
      <c r="C53" s="234">
        <f>MIN(C52, C51)</f>
        <v>9.0990000000000002</v>
      </c>
      <c r="D53" s="233">
        <f>(C53*$K$1)*$C$1</f>
        <v>9099</v>
      </c>
      <c r="E53" s="100"/>
      <c r="F53" s="100"/>
      <c r="G53" s="148" t="s">
        <v>296</v>
      </c>
      <c r="H53" s="187">
        <f>MIN(H52,H51)</f>
        <v>9.0989545052274732</v>
      </c>
      <c r="I53" s="176">
        <f>J53/$R$1</f>
        <v>114452.83018867923</v>
      </c>
      <c r="J53" s="176">
        <f>MIN(J52,J51)</f>
        <v>60660</v>
      </c>
    </row>
    <row r="54" spans="1:10" ht="14.25" customHeight="1" x14ac:dyDescent="0.3">
      <c r="B54" s="231" t="s">
        <v>297</v>
      </c>
      <c r="C54" s="234">
        <f>MIN(MAX(C52-C53,0),C51)</f>
        <v>0</v>
      </c>
      <c r="D54" s="233">
        <f>(C54*$K$1)*$C$1</f>
        <v>0</v>
      </c>
      <c r="E54" s="100"/>
      <c r="F54" s="100"/>
      <c r="G54" s="148" t="s">
        <v>297</v>
      </c>
      <c r="H54" s="187">
        <f>MIN(MAX(H52-H53),H51)</f>
        <v>0</v>
      </c>
      <c r="I54" s="176">
        <f>J54/$R$1</f>
        <v>0</v>
      </c>
      <c r="J54" s="176">
        <f>MIN(MAX(J52-J53),J51)</f>
        <v>0</v>
      </c>
    </row>
    <row r="55" spans="1:10" x14ac:dyDescent="0.3">
      <c r="B55" s="231" t="s">
        <v>298</v>
      </c>
      <c r="C55" s="234">
        <f>MIN(MAX(C52-C53-C54,0),C51)</f>
        <v>0</v>
      </c>
      <c r="D55" s="233">
        <f>(C55*$K$1)*$C$1</f>
        <v>0</v>
      </c>
      <c r="E55" s="100"/>
      <c r="F55" s="100"/>
      <c r="G55" s="145" t="s">
        <v>298</v>
      </c>
      <c r="H55" s="187">
        <f>MIN(MAX(H52-H53-H54),H51)</f>
        <v>0</v>
      </c>
      <c r="I55" s="176">
        <f>J55/$R$1</f>
        <v>0</v>
      </c>
      <c r="J55" s="176">
        <f>MIN(MAX(J52-J53-J54),J51)</f>
        <v>0</v>
      </c>
    </row>
    <row r="62" spans="1:10" ht="17.75" customHeight="1" x14ac:dyDescent="0.3">
      <c r="A62" s="938"/>
      <c r="B62" s="1382" t="str">
        <f>"سمك بالشبت و الليمون  1 / " &amp; COUNTIF($C$53:$C$54, "&gt;0")</f>
        <v>سمك بالشبت و الليمون  1 / 1</v>
      </c>
      <c r="C62" s="1383"/>
      <c r="D62" s="1383"/>
      <c r="E62" s="1383"/>
      <c r="F62" s="1383"/>
      <c r="G62" s="1383"/>
      <c r="H62" s="1383"/>
    </row>
    <row r="63" spans="1:10" ht="18" customHeight="1" x14ac:dyDescent="0.3">
      <c r="A63" s="938"/>
      <c r="B63" s="1384" t="str">
        <f>"Fish with Shabat and Lemon   1 / " &amp; COUNTIF($C$53:$C$54, "&gt;0")</f>
        <v>Fish with Shabat and Lemon   1 / 1</v>
      </c>
      <c r="C63" s="1385"/>
      <c r="D63" s="1385"/>
      <c r="E63" s="1385"/>
      <c r="F63" s="1385"/>
      <c r="G63" s="1385"/>
      <c r="H63" s="1385"/>
    </row>
    <row r="64" spans="1:10" ht="47.75" customHeight="1" x14ac:dyDescent="0.3">
      <c r="A64" s="91"/>
      <c r="B64" s="243" t="s">
        <v>253</v>
      </c>
      <c r="C64" s="244" t="s">
        <v>254</v>
      </c>
      <c r="D64" s="245" t="s">
        <v>243</v>
      </c>
      <c r="E64" s="218" t="s">
        <v>246</v>
      </c>
      <c r="F64" s="218" t="s">
        <v>255</v>
      </c>
      <c r="G64" s="245" t="s">
        <v>256</v>
      </c>
      <c r="H64" s="218" t="s">
        <v>257</v>
      </c>
    </row>
    <row r="65" spans="1:10" ht="14.25" customHeight="1" x14ac:dyDescent="0.3">
      <c r="A65" s="219" t="s">
        <v>230</v>
      </c>
      <c r="B65" s="114" t="str">
        <f t="shared" ref="B65:D70" si="13">B5</f>
        <v>Fillet Fish - سمك فيليه</v>
      </c>
      <c r="C65" s="123" t="str">
        <f t="shared" si="13"/>
        <v>gm</v>
      </c>
      <c r="D65" s="460">
        <f t="shared" si="13"/>
        <v>12578.679245283018</v>
      </c>
      <c r="E65" s="280">
        <f>H53</f>
        <v>9.0989545052274732</v>
      </c>
      <c r="F65" s="127">
        <f>F5</f>
        <v>1</v>
      </c>
      <c r="G65" s="119">
        <f>G5</f>
        <v>114452.83018867923</v>
      </c>
      <c r="H65" s="120">
        <f>H5</f>
        <v>114452.83018867923</v>
      </c>
    </row>
    <row r="66" spans="1:10" ht="14.25" customHeight="1" x14ac:dyDescent="0.3">
      <c r="A66" s="270" t="s">
        <v>63</v>
      </c>
      <c r="B66" s="114" t="str">
        <f t="shared" si="13"/>
        <v>Dill Leaves - شبت</v>
      </c>
      <c r="C66" s="123" t="str">
        <f t="shared" si="13"/>
        <v>gm</v>
      </c>
      <c r="D66" s="123">
        <f t="shared" si="13"/>
        <v>75</v>
      </c>
      <c r="E66" s="281">
        <f>$C$53</f>
        <v>9.0990000000000002</v>
      </c>
      <c r="F66" s="127">
        <f>F6</f>
        <v>1</v>
      </c>
      <c r="G66" s="119">
        <f>D66*E66</f>
        <v>682.42500000000007</v>
      </c>
      <c r="H66" s="120">
        <f>G66*F66</f>
        <v>682.42500000000007</v>
      </c>
    </row>
    <row r="67" spans="1:10" ht="14.25" customHeight="1" x14ac:dyDescent="0.3">
      <c r="A67" s="270" t="s">
        <v>210</v>
      </c>
      <c r="B67" s="114" t="str">
        <f t="shared" si="13"/>
        <v>Lemon Juice - عصير ليمون</v>
      </c>
      <c r="C67" s="123" t="str">
        <f t="shared" si="13"/>
        <v>ml</v>
      </c>
      <c r="D67" s="123">
        <f t="shared" si="13"/>
        <v>1000</v>
      </c>
      <c r="E67" s="125">
        <f>$C$53</f>
        <v>9.0990000000000002</v>
      </c>
      <c r="F67" s="127">
        <f>F7</f>
        <v>1</v>
      </c>
      <c r="G67" s="119">
        <f>D67*E67</f>
        <v>9099</v>
      </c>
      <c r="H67" s="120">
        <f>G67*F67</f>
        <v>9099</v>
      </c>
    </row>
    <row r="68" spans="1:10" ht="14.25" customHeight="1" x14ac:dyDescent="0.3">
      <c r="A68" s="270" t="s">
        <v>97</v>
      </c>
      <c r="B68" s="114" t="str">
        <f t="shared" si="13"/>
        <v>Black Pepper Powder - فلفل أسود مطحون</v>
      </c>
      <c r="C68" s="123" t="str">
        <f t="shared" si="13"/>
        <v>gm</v>
      </c>
      <c r="D68" s="123">
        <f t="shared" si="13"/>
        <v>2.5</v>
      </c>
      <c r="E68" s="125">
        <f>$C$53</f>
        <v>9.0990000000000002</v>
      </c>
      <c r="F68" s="127">
        <f>F8</f>
        <v>1</v>
      </c>
      <c r="G68" s="119">
        <f>D68*E68</f>
        <v>22.747500000000002</v>
      </c>
      <c r="H68" s="120">
        <f>G68*F68</f>
        <v>22.747500000000002</v>
      </c>
    </row>
    <row r="69" spans="1:10" ht="14.25" customHeight="1" x14ac:dyDescent="0.3">
      <c r="A69" s="270" t="s">
        <v>97</v>
      </c>
      <c r="B69" s="114" t="str">
        <f t="shared" si="13"/>
        <v>Salt - ملح</v>
      </c>
      <c r="C69" s="123" t="str">
        <f t="shared" si="13"/>
        <v>gm</v>
      </c>
      <c r="D69" s="123">
        <f t="shared" si="13"/>
        <v>12.5</v>
      </c>
      <c r="E69" s="125">
        <f>$C$53</f>
        <v>9.0990000000000002</v>
      </c>
      <c r="F69" s="127">
        <f>F9</f>
        <v>1</v>
      </c>
      <c r="G69" s="119">
        <f>D69*E69</f>
        <v>113.7375</v>
      </c>
      <c r="H69" s="120">
        <f>G69*F69</f>
        <v>113.7375</v>
      </c>
    </row>
    <row r="70" spans="1:10" ht="14.25" customHeight="1" x14ac:dyDescent="0.3">
      <c r="A70" s="270" t="s">
        <v>97</v>
      </c>
      <c r="B70" s="114" t="str">
        <f t="shared" si="13"/>
        <v>Cumin Powder - كمون مطحون</v>
      </c>
      <c r="C70" s="123" t="str">
        <f t="shared" si="13"/>
        <v>gm</v>
      </c>
      <c r="D70" s="123">
        <f t="shared" si="13"/>
        <v>2.5</v>
      </c>
      <c r="E70" s="125">
        <f>$C$53</f>
        <v>9.0990000000000002</v>
      </c>
      <c r="F70" s="127">
        <f>F10</f>
        <v>1</v>
      </c>
      <c r="G70" s="119">
        <f>D70*E70</f>
        <v>22.747500000000002</v>
      </c>
      <c r="H70" s="120">
        <f>G70*F70</f>
        <v>22.747500000000002</v>
      </c>
    </row>
    <row r="71" spans="1:10" ht="20.25" customHeight="1" x14ac:dyDescent="0.4">
      <c r="A71" s="211"/>
      <c r="B71" s="198" t="s">
        <v>299</v>
      </c>
      <c r="C71" s="200" t="s">
        <v>285</v>
      </c>
      <c r="D71" s="14"/>
      <c r="E71" s="200" t="s">
        <v>300</v>
      </c>
      <c r="F71" s="14"/>
      <c r="G71" s="890" t="s">
        <v>276</v>
      </c>
      <c r="H71" s="890" t="s">
        <v>733</v>
      </c>
      <c r="I71" s="204"/>
      <c r="J71" s="203"/>
    </row>
    <row r="72" spans="1:10" ht="20" x14ac:dyDescent="0.4">
      <c r="A72" s="211"/>
      <c r="B72" s="199">
        <f>$J$53</f>
        <v>60660</v>
      </c>
      <c r="C72" s="199">
        <f>E72+G72</f>
        <v>9099</v>
      </c>
      <c r="D72" s="930"/>
      <c r="E72" s="199">
        <f>$D$53*$S$44</f>
        <v>0</v>
      </c>
      <c r="F72" s="934"/>
      <c r="G72" s="199">
        <f>$D$53*$T$44</f>
        <v>9099</v>
      </c>
      <c r="H72" s="199">
        <f>B72+E72</f>
        <v>60660</v>
      </c>
    </row>
  </sheetData>
  <mergeCells count="7">
    <mergeCell ref="AK2:AN3"/>
    <mergeCell ref="B63:H63"/>
    <mergeCell ref="AE2:AG3"/>
    <mergeCell ref="F2:G3"/>
    <mergeCell ref="R26:U26"/>
    <mergeCell ref="B62:H62"/>
    <mergeCell ref="R25:U25"/>
  </mergeCells>
  <printOptions horizontalCentered="1"/>
  <pageMargins left="0.5" right="0.5" top="1" bottom="0.5" header="0.3" footer="0.511811023622047"/>
  <pageSetup paperSize="9" scale="31" orientation="portrait" r:id="rId1"/>
  <legacyDrawing r:id="rId2"/>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74">
    <tabColor rgb="FF333F50"/>
    <pageSetUpPr fitToPage="1"/>
  </sheetPr>
  <dimension ref="A1:AG131"/>
  <sheetViews>
    <sheetView topLeftCell="R12" zoomScale="85" zoomScaleNormal="85" workbookViewId="0">
      <selection activeCell="W26" sqref="W26"/>
    </sheetView>
  </sheetViews>
  <sheetFormatPr defaultColWidth="12.5" defaultRowHeight="14" x14ac:dyDescent="0.3"/>
  <cols>
    <col min="1" max="1" width="12.5" style="1" customWidth="1"/>
    <col min="2" max="2" width="30.9140625" customWidth="1"/>
    <col min="3" max="3" width="19.75" customWidth="1"/>
    <col min="4" max="4" width="19" customWidth="1"/>
    <col min="5" max="5" width="16.1640625" customWidth="1"/>
    <col min="6" max="6" width="23.08203125" customWidth="1"/>
    <col min="7" max="7" width="25.1640625" customWidth="1"/>
    <col min="8" max="8" width="36.1640625" customWidth="1"/>
    <col min="12" max="12" width="8.33203125" customWidth="1"/>
    <col min="13" max="14" width="6.1640625" customWidth="1"/>
    <col min="18" max="18" width="32" customWidth="1"/>
    <col min="30" max="31" width="12.5" style="831"/>
  </cols>
  <sheetData>
    <row r="1" spans="1:33" ht="35.25" customHeight="1" x14ac:dyDescent="0.3">
      <c r="B1" s="80" t="s">
        <v>243</v>
      </c>
      <c r="C1" s="81">
        <v>1000</v>
      </c>
      <c r="D1" s="82" t="s">
        <v>244</v>
      </c>
      <c r="E1" s="117">
        <f>T32</f>
        <v>23219</v>
      </c>
      <c r="F1" s="80" t="s">
        <v>245</v>
      </c>
      <c r="G1" s="121">
        <f>E1/C1</f>
        <v>23.219000000000001</v>
      </c>
      <c r="H1" s="80" t="s">
        <v>246</v>
      </c>
      <c r="I1" s="613">
        <f>G1/K1</f>
        <v>23.937113402061858</v>
      </c>
      <c r="J1" s="86" t="s">
        <v>247</v>
      </c>
      <c r="K1" s="100">
        <f>9.7/10</f>
        <v>0.97</v>
      </c>
      <c r="M1" s="89"/>
      <c r="N1" s="90"/>
      <c r="O1" s="91" t="s">
        <v>248</v>
      </c>
      <c r="P1" s="92" t="s">
        <v>301</v>
      </c>
      <c r="Q1" s="93" t="s">
        <v>250</v>
      </c>
      <c r="R1" s="92">
        <v>0.5</v>
      </c>
      <c r="Y1" s="91" t="s">
        <v>479</v>
      </c>
      <c r="Z1" s="847">
        <v>32170</v>
      </c>
      <c r="AA1" s="91" t="s">
        <v>600</v>
      </c>
      <c r="AB1" s="847">
        <v>1000</v>
      </c>
      <c r="AC1" s="91" t="s">
        <v>587</v>
      </c>
      <c r="AD1" s="847">
        <v>217</v>
      </c>
      <c r="AE1" s="824"/>
      <c r="AF1" s="252"/>
      <c r="AG1" s="92"/>
    </row>
    <row r="2" spans="1:33" ht="12.75" customHeight="1" x14ac:dyDescent="0.3">
      <c r="A2" s="265"/>
      <c r="B2" s="1387" t="s">
        <v>167</v>
      </c>
      <c r="C2" s="1422"/>
      <c r="D2" s="1422"/>
      <c r="E2" s="1422"/>
      <c r="F2" s="1422"/>
      <c r="G2" s="1422"/>
      <c r="H2" s="1422"/>
      <c r="I2" s="1422"/>
      <c r="J2" s="1422"/>
      <c r="K2" s="1422"/>
      <c r="L2" s="293"/>
      <c r="M2" s="100"/>
      <c r="N2" s="100"/>
      <c r="O2" s="100"/>
      <c r="P2" s="100"/>
      <c r="Q2" s="100"/>
      <c r="R2" s="100"/>
      <c r="AC2" s="99"/>
      <c r="AD2" s="825"/>
      <c r="AE2" s="825"/>
    </row>
    <row r="3" spans="1:33" ht="12.75" customHeight="1" x14ac:dyDescent="0.3">
      <c r="A3" s="265"/>
      <c r="B3" s="1388"/>
      <c r="C3" s="1388"/>
      <c r="D3" s="1388"/>
      <c r="E3" s="1388"/>
      <c r="F3" s="1388"/>
      <c r="G3" s="1388"/>
      <c r="H3" s="1388"/>
      <c r="I3" s="1388"/>
      <c r="J3" s="1388"/>
      <c r="K3" s="1388"/>
      <c r="L3" s="293"/>
      <c r="M3" s="100"/>
      <c r="N3" s="100"/>
      <c r="O3" s="100"/>
      <c r="P3" s="100"/>
      <c r="Q3" s="100"/>
      <c r="R3" s="100"/>
      <c r="AC3" s="99"/>
      <c r="AD3" s="825"/>
      <c r="AE3" s="825"/>
    </row>
    <row r="4" spans="1:33" ht="35.25" customHeight="1" x14ac:dyDescent="0.3">
      <c r="A4" s="91" t="s">
        <v>1</v>
      </c>
      <c r="B4" s="91" t="s">
        <v>253</v>
      </c>
      <c r="C4" s="107" t="s">
        <v>254</v>
      </c>
      <c r="D4" s="91" t="s">
        <v>243</v>
      </c>
      <c r="E4" s="108" t="s">
        <v>246</v>
      </c>
      <c r="F4" s="108" t="s">
        <v>255</v>
      </c>
      <c r="G4" s="91" t="s">
        <v>256</v>
      </c>
      <c r="H4" s="331" t="s">
        <v>347</v>
      </c>
      <c r="I4" s="91" t="s">
        <v>258</v>
      </c>
      <c r="J4" s="91" t="s">
        <v>259</v>
      </c>
      <c r="K4" s="91" t="s">
        <v>260</v>
      </c>
      <c r="L4" s="91" t="s">
        <v>261</v>
      </c>
      <c r="M4" s="100"/>
      <c r="N4" s="100"/>
      <c r="O4" s="100"/>
      <c r="P4" s="100"/>
      <c r="AA4" s="251"/>
      <c r="AB4" s="253"/>
      <c r="AC4" s="251"/>
      <c r="AD4" s="823"/>
      <c r="AE4" s="823"/>
    </row>
    <row r="5" spans="1:33" ht="14.25" customHeight="1" x14ac:dyDescent="0.3">
      <c r="A5" s="266" t="s">
        <v>230</v>
      </c>
      <c r="B5" s="309" t="s">
        <v>229</v>
      </c>
      <c r="C5" s="115" t="s">
        <v>14</v>
      </c>
      <c r="D5" s="268">
        <f>I51/10</f>
        <v>2857.2</v>
      </c>
      <c r="E5" s="126">
        <f>H52</f>
        <v>23.218535629287416</v>
      </c>
      <c r="F5" s="127">
        <v>1</v>
      </c>
      <c r="G5" s="119">
        <f t="shared" ref="G5:G21" si="0">D5*E5</f>
        <v>66340</v>
      </c>
      <c r="H5" s="120">
        <f t="shared" ref="H5:H21" si="1">G5*F5</f>
        <v>66340</v>
      </c>
      <c r="I5" s="81">
        <f>VLOOKUP(B5,All_Ingredients!$A$1:$F$151,6,FALSE())</f>
        <v>0.86</v>
      </c>
      <c r="J5" s="119">
        <f>VLOOKUP(B5,All_Ingredients!$A$1:$J$151,10,FALSE())</f>
        <v>17.100000000000001</v>
      </c>
      <c r="K5" s="122">
        <f t="shared" ref="K5" si="2">(H5/I5)/1000</f>
        <v>77.139534883720927</v>
      </c>
      <c r="L5" s="122">
        <f t="shared" ref="L5" si="3">K5*J5</f>
        <v>1319.086046511628</v>
      </c>
      <c r="M5" s="100"/>
      <c r="N5" s="100"/>
      <c r="O5" s="100"/>
      <c r="P5" s="100"/>
      <c r="AA5" s="92"/>
      <c r="AB5" s="133"/>
      <c r="AC5" s="254"/>
      <c r="AD5" s="826"/>
      <c r="AE5" s="827"/>
    </row>
    <row r="6" spans="1:33" ht="14.25" customHeight="1" x14ac:dyDescent="0.3">
      <c r="A6" s="270" t="s">
        <v>13</v>
      </c>
      <c r="B6" s="22" t="s">
        <v>762</v>
      </c>
      <c r="C6" s="124" t="s">
        <v>14</v>
      </c>
      <c r="D6" s="125">
        <v>520</v>
      </c>
      <c r="E6" s="197">
        <f t="shared" ref="E6:E21" si="4">$I$1</f>
        <v>23.937113402061858</v>
      </c>
      <c r="F6" s="127">
        <v>1</v>
      </c>
      <c r="G6" s="119">
        <f t="shared" si="0"/>
        <v>12447.298969072166</v>
      </c>
      <c r="H6" s="120">
        <f t="shared" si="1"/>
        <v>12447.298969072166</v>
      </c>
      <c r="I6" s="81">
        <f>VLOOKUP(B6,All_Ingredients!$A$1:$F$151,6,FALSE())</f>
        <v>1</v>
      </c>
      <c r="J6" s="119">
        <f>VLOOKUP(B6,All_Ingredients!$A$1:$J$151,10,FALSE())</f>
        <v>4.125</v>
      </c>
      <c r="K6" s="122">
        <f t="shared" ref="K6:K21" si="5">(H6/I6)/1000</f>
        <v>12.447298969072166</v>
      </c>
      <c r="L6" s="122">
        <f t="shared" ref="L6:L21" si="6">K6*J6</f>
        <v>51.345108247422687</v>
      </c>
    </row>
    <row r="7" spans="1:33" ht="14.25" customHeight="1" x14ac:dyDescent="0.3">
      <c r="A7" s="270" t="s">
        <v>210</v>
      </c>
      <c r="B7" s="22" t="s">
        <v>571</v>
      </c>
      <c r="C7" s="124" t="s">
        <v>165</v>
      </c>
      <c r="D7" s="125">
        <v>600</v>
      </c>
      <c r="E7" s="197">
        <f t="shared" si="4"/>
        <v>23.937113402061858</v>
      </c>
      <c r="F7" s="127">
        <v>0.95</v>
      </c>
      <c r="G7" s="119">
        <f t="shared" si="0"/>
        <v>14362.268041237114</v>
      </c>
      <c r="H7" s="120">
        <f t="shared" si="1"/>
        <v>13644.154639175258</v>
      </c>
      <c r="I7" s="81">
        <f>VLOOKUP(B7,All_Ingredients!$A$1:$F$151,6,FALSE())</f>
        <v>1</v>
      </c>
      <c r="J7" s="119">
        <f>VLOOKUP(B7,All_Ingredients!$A$1:$J$151,10,FALSE())</f>
        <v>0</v>
      </c>
      <c r="K7" s="122">
        <f t="shared" si="5"/>
        <v>13.644154639175259</v>
      </c>
      <c r="L7" s="122">
        <f t="shared" si="6"/>
        <v>0</v>
      </c>
    </row>
    <row r="8" spans="1:33" ht="14.25" customHeight="1" x14ac:dyDescent="0.3">
      <c r="A8" s="270" t="s">
        <v>97</v>
      </c>
      <c r="B8" s="22" t="s">
        <v>108</v>
      </c>
      <c r="C8" s="124" t="s">
        <v>14</v>
      </c>
      <c r="D8" s="125">
        <v>4</v>
      </c>
      <c r="E8" s="197">
        <f t="shared" si="4"/>
        <v>23.937113402061858</v>
      </c>
      <c r="F8" s="127">
        <v>0.75</v>
      </c>
      <c r="G8" s="119">
        <f t="shared" si="0"/>
        <v>95.748453608247431</v>
      </c>
      <c r="H8" s="120">
        <f t="shared" si="1"/>
        <v>71.811340206185577</v>
      </c>
      <c r="I8" s="81">
        <f>VLOOKUP(B8,All_Ingredients!$A$1:$F$151,6,FALSE())</f>
        <v>1</v>
      </c>
      <c r="J8" s="119">
        <f>VLOOKUP(B8,All_Ingredients!$A$1:$J$151,10,FALSE())</f>
        <v>15</v>
      </c>
      <c r="K8" s="122">
        <f t="shared" si="5"/>
        <v>7.181134020618557E-2</v>
      </c>
      <c r="L8" s="122">
        <f t="shared" si="6"/>
        <v>1.0771701030927836</v>
      </c>
    </row>
    <row r="9" spans="1:33" ht="14.25" customHeight="1" x14ac:dyDescent="0.3">
      <c r="A9" s="270" t="s">
        <v>97</v>
      </c>
      <c r="B9" s="22" t="s">
        <v>110</v>
      </c>
      <c r="C9" s="124" t="s">
        <v>14</v>
      </c>
      <c r="D9" s="125">
        <v>4</v>
      </c>
      <c r="E9" s="197">
        <f t="shared" si="4"/>
        <v>23.937113402061858</v>
      </c>
      <c r="F9" s="127">
        <v>0.75</v>
      </c>
      <c r="G9" s="119">
        <f t="shared" si="0"/>
        <v>95.748453608247431</v>
      </c>
      <c r="H9" s="120">
        <f t="shared" si="1"/>
        <v>71.811340206185577</v>
      </c>
      <c r="I9" s="81">
        <f>VLOOKUP(B9,All_Ingredients!$A$1:$F$151,6,FALSE())</f>
        <v>1</v>
      </c>
      <c r="J9" s="119">
        <f>VLOOKUP(B9,All_Ingredients!$A$1:$J$151,10,FALSE())</f>
        <v>8</v>
      </c>
      <c r="K9" s="122">
        <f t="shared" si="5"/>
        <v>7.181134020618557E-2</v>
      </c>
      <c r="L9" s="122">
        <f t="shared" si="6"/>
        <v>0.57449072164948456</v>
      </c>
    </row>
    <row r="10" spans="1:33" ht="14.25" customHeight="1" x14ac:dyDescent="0.3">
      <c r="A10" s="270" t="s">
        <v>97</v>
      </c>
      <c r="B10" s="22" t="s">
        <v>126</v>
      </c>
      <c r="C10" s="124" t="s">
        <v>14</v>
      </c>
      <c r="D10" s="125">
        <v>4</v>
      </c>
      <c r="E10" s="197">
        <f t="shared" si="4"/>
        <v>23.937113402061858</v>
      </c>
      <c r="F10" s="127">
        <v>0.9</v>
      </c>
      <c r="G10" s="119">
        <f t="shared" si="0"/>
        <v>95.748453608247431</v>
      </c>
      <c r="H10" s="120">
        <f t="shared" si="1"/>
        <v>86.173608247422692</v>
      </c>
      <c r="I10" s="81">
        <f>VLOOKUP(B10,All_Ingredients!$A$1:$F$151,6,FALSE())</f>
        <v>1</v>
      </c>
      <c r="J10" s="119">
        <f>VLOOKUP(B10,All_Ingredients!$A$1:$J$151,10,FALSE())</f>
        <v>14</v>
      </c>
      <c r="K10" s="122">
        <f t="shared" si="5"/>
        <v>8.6173608247422692E-2</v>
      </c>
      <c r="L10" s="122">
        <f t="shared" si="6"/>
        <v>1.2064305154639177</v>
      </c>
    </row>
    <row r="11" spans="1:33" ht="14.25" customHeight="1" x14ac:dyDescent="0.3">
      <c r="A11" s="270" t="s">
        <v>97</v>
      </c>
      <c r="B11" s="22" t="s">
        <v>102</v>
      </c>
      <c r="C11" s="124" t="s">
        <v>14</v>
      </c>
      <c r="D11" s="125">
        <v>4</v>
      </c>
      <c r="E11" s="197">
        <f t="shared" si="4"/>
        <v>23.937113402061858</v>
      </c>
      <c r="F11" s="127">
        <v>0.9</v>
      </c>
      <c r="G11" s="119">
        <f t="shared" si="0"/>
        <v>95.748453608247431</v>
      </c>
      <c r="H11" s="120">
        <f t="shared" si="1"/>
        <v>86.173608247422692</v>
      </c>
      <c r="I11" s="81">
        <f>VLOOKUP(B11,All_Ingredients!$A$1:$F$151,6,FALSE())</f>
        <v>1</v>
      </c>
      <c r="J11" s="119">
        <f>VLOOKUP(B11,All_Ingredients!$A$1:$J$151,10,FALSE())</f>
        <v>31</v>
      </c>
      <c r="K11" s="122">
        <f t="shared" si="5"/>
        <v>8.6173608247422692E-2</v>
      </c>
      <c r="L11" s="122">
        <f t="shared" si="6"/>
        <v>2.6713818556701034</v>
      </c>
    </row>
    <row r="12" spans="1:33" ht="14.25" customHeight="1" x14ac:dyDescent="0.3">
      <c r="A12" s="270" t="s">
        <v>97</v>
      </c>
      <c r="B12" s="22" t="s">
        <v>96</v>
      </c>
      <c r="C12" s="124" t="s">
        <v>14</v>
      </c>
      <c r="D12" s="125">
        <v>11</v>
      </c>
      <c r="E12" s="197">
        <f t="shared" si="4"/>
        <v>23.937113402061858</v>
      </c>
      <c r="F12" s="127">
        <v>0.75</v>
      </c>
      <c r="G12" s="119">
        <f t="shared" si="0"/>
        <v>263.30824742268044</v>
      </c>
      <c r="H12" s="120">
        <f t="shared" si="1"/>
        <v>197.48118556701033</v>
      </c>
      <c r="I12" s="81">
        <f>VLOOKUP(B12,All_Ingredients!$A$1:$F$151,6,FALSE())</f>
        <v>1</v>
      </c>
      <c r="J12" s="119">
        <f>VLOOKUP(B12,All_Ingredients!$A$1:$J$151,10,FALSE())</f>
        <v>0.74</v>
      </c>
      <c r="K12" s="122">
        <f t="shared" si="5"/>
        <v>0.19748118556701033</v>
      </c>
      <c r="L12" s="122">
        <f t="shared" si="6"/>
        <v>0.14613607731958764</v>
      </c>
    </row>
    <row r="13" spans="1:33" ht="14.25" customHeight="1" x14ac:dyDescent="0.3">
      <c r="A13" s="270" t="s">
        <v>13</v>
      </c>
      <c r="B13" s="22" t="s">
        <v>792</v>
      </c>
      <c r="C13" s="124" t="s">
        <v>14</v>
      </c>
      <c r="D13" s="125">
        <v>25</v>
      </c>
      <c r="E13" s="197">
        <f t="shared" si="4"/>
        <v>23.937113402061858</v>
      </c>
      <c r="F13" s="127">
        <v>1</v>
      </c>
      <c r="G13" s="119">
        <f t="shared" si="0"/>
        <v>598.42783505154648</v>
      </c>
      <c r="H13" s="120">
        <f t="shared" si="1"/>
        <v>598.42783505154648</v>
      </c>
      <c r="I13" s="81">
        <f>VLOOKUP(B13,All_Ingredients!$A$1:$F$151,6,FALSE())</f>
        <v>1</v>
      </c>
      <c r="J13" s="119">
        <f>VLOOKUP(B13,All_Ingredients!$A$1:$J$151,10,FALSE())</f>
        <v>10.5</v>
      </c>
      <c r="K13" s="122">
        <f t="shared" si="5"/>
        <v>0.59842783505154651</v>
      </c>
      <c r="L13" s="122">
        <f t="shared" si="6"/>
        <v>6.2834922680412379</v>
      </c>
    </row>
    <row r="14" spans="1:33" ht="14.25" customHeight="1" x14ac:dyDescent="0.3">
      <c r="A14" s="270" t="s">
        <v>158</v>
      </c>
      <c r="B14" s="22" t="s">
        <v>161</v>
      </c>
      <c r="C14" s="124" t="s">
        <v>14</v>
      </c>
      <c r="D14" s="125">
        <v>38</v>
      </c>
      <c r="E14" s="197">
        <f t="shared" si="4"/>
        <v>23.937113402061858</v>
      </c>
      <c r="F14" s="127">
        <v>1</v>
      </c>
      <c r="G14" s="119">
        <f t="shared" si="0"/>
        <v>909.61030927835054</v>
      </c>
      <c r="H14" s="120">
        <f t="shared" si="1"/>
        <v>909.61030927835054</v>
      </c>
      <c r="I14" s="81">
        <f>VLOOKUP(B14,All_Ingredients!$A$1:$F$151,6,FALSE())</f>
        <v>1</v>
      </c>
      <c r="J14" s="119">
        <f>VLOOKUP(B14,All_Ingredients!$A$1:$J$151,10,FALSE())</f>
        <v>46.193749999999994</v>
      </c>
      <c r="K14" s="122">
        <f t="shared" si="5"/>
        <v>0.90961030927835052</v>
      </c>
      <c r="L14" s="122">
        <f t="shared" si="6"/>
        <v>42.0183112242268</v>
      </c>
    </row>
    <row r="15" spans="1:33" ht="15" customHeight="1" x14ac:dyDescent="0.3">
      <c r="A15" s="270" t="s">
        <v>220</v>
      </c>
      <c r="B15" s="22" t="s">
        <v>223</v>
      </c>
      <c r="C15" s="124" t="s">
        <v>14</v>
      </c>
      <c r="D15" s="125">
        <v>11</v>
      </c>
      <c r="E15" s="197">
        <f t="shared" si="4"/>
        <v>23.937113402061858</v>
      </c>
      <c r="F15" s="127">
        <v>1</v>
      </c>
      <c r="G15" s="119">
        <f t="shared" si="0"/>
        <v>263.30824742268044</v>
      </c>
      <c r="H15" s="120">
        <f t="shared" si="1"/>
        <v>263.30824742268044</v>
      </c>
      <c r="I15" s="81">
        <f>VLOOKUP(B15,All_Ingredients!$A$1:$F$151,6,FALSE())</f>
        <v>1</v>
      </c>
      <c r="J15" s="119">
        <f>VLOOKUP(B15,All_Ingredients!$A$1:$J$151,10,FALSE())</f>
        <v>5</v>
      </c>
      <c r="K15" s="122">
        <f t="shared" si="5"/>
        <v>0.26330824742268044</v>
      </c>
      <c r="L15" s="122">
        <f t="shared" si="6"/>
        <v>1.3165412371134022</v>
      </c>
    </row>
    <row r="16" spans="1:33" ht="14.25" customHeight="1" x14ac:dyDescent="0.3">
      <c r="A16" s="270" t="s">
        <v>97</v>
      </c>
      <c r="B16" s="22" t="s">
        <v>144</v>
      </c>
      <c r="C16" s="124" t="s">
        <v>14</v>
      </c>
      <c r="D16" s="125">
        <v>10</v>
      </c>
      <c r="E16" s="197">
        <f t="shared" si="4"/>
        <v>23.937113402061858</v>
      </c>
      <c r="F16" s="127">
        <v>1</v>
      </c>
      <c r="G16" s="119">
        <f t="shared" si="0"/>
        <v>239.37113402061857</v>
      </c>
      <c r="H16" s="120">
        <f t="shared" si="1"/>
        <v>239.37113402061857</v>
      </c>
      <c r="I16" s="81">
        <f>VLOOKUP(B16,All_Ingredients!$A$1:$F$151,6,FALSE())</f>
        <v>1</v>
      </c>
      <c r="J16" s="119">
        <f>VLOOKUP(B16,All_Ingredients!$A$1:$J$151,10,FALSE())</f>
        <v>15.277777777777779</v>
      </c>
      <c r="K16" s="122">
        <f t="shared" si="5"/>
        <v>0.23937113402061858</v>
      </c>
      <c r="L16" s="122">
        <f t="shared" si="6"/>
        <v>3.6570589919816729</v>
      </c>
    </row>
    <row r="17" spans="1:30" ht="14.25" customHeight="1" x14ac:dyDescent="0.3">
      <c r="A17" s="270" t="s">
        <v>97</v>
      </c>
      <c r="B17" s="22" t="s">
        <v>100</v>
      </c>
      <c r="C17" s="124" t="s">
        <v>14</v>
      </c>
      <c r="D17" s="125">
        <v>3</v>
      </c>
      <c r="E17" s="197">
        <f t="shared" si="4"/>
        <v>23.937113402061858</v>
      </c>
      <c r="F17" s="127">
        <v>1</v>
      </c>
      <c r="G17" s="119">
        <f t="shared" si="0"/>
        <v>71.811340206185577</v>
      </c>
      <c r="H17" s="120">
        <f t="shared" si="1"/>
        <v>71.811340206185577</v>
      </c>
      <c r="I17" s="81">
        <f>VLOOKUP(B17,All_Ingredients!$A$1:$F$151,6,FALSE())</f>
        <v>1</v>
      </c>
      <c r="J17" s="119">
        <f>VLOOKUP(B17,All_Ingredients!$A$1:$J$151,10,FALSE())</f>
        <v>38</v>
      </c>
      <c r="K17" s="122">
        <f t="shared" si="5"/>
        <v>7.181134020618557E-2</v>
      </c>
      <c r="L17" s="122">
        <f t="shared" si="6"/>
        <v>2.7288309278350518</v>
      </c>
    </row>
    <row r="18" spans="1:30" ht="14.25" customHeight="1" x14ac:dyDescent="0.3">
      <c r="A18" s="270" t="s">
        <v>97</v>
      </c>
      <c r="B18" s="22" t="s">
        <v>106</v>
      </c>
      <c r="C18" s="124" t="s">
        <v>14</v>
      </c>
      <c r="D18" s="125">
        <v>3</v>
      </c>
      <c r="E18" s="197">
        <f t="shared" si="4"/>
        <v>23.937113402061858</v>
      </c>
      <c r="F18" s="127">
        <v>1</v>
      </c>
      <c r="G18" s="119">
        <f t="shared" si="0"/>
        <v>71.811340206185577</v>
      </c>
      <c r="H18" s="120">
        <f t="shared" si="1"/>
        <v>71.811340206185577</v>
      </c>
      <c r="I18" s="81">
        <f>VLOOKUP(B18,All_Ingredients!$A$1:$F$151,6,FALSE())</f>
        <v>1</v>
      </c>
      <c r="J18" s="119">
        <f>VLOOKUP(B18,All_Ingredients!$A$1:$J$151,10,FALSE())</f>
        <v>19</v>
      </c>
      <c r="K18" s="122">
        <f t="shared" si="5"/>
        <v>7.181134020618557E-2</v>
      </c>
      <c r="L18" s="122">
        <f t="shared" si="6"/>
        <v>1.3644154639175259</v>
      </c>
    </row>
    <row r="19" spans="1:30" ht="14.25" customHeight="1" x14ac:dyDescent="0.3">
      <c r="A19" s="270" t="s">
        <v>97</v>
      </c>
      <c r="B19" s="22" t="s">
        <v>128</v>
      </c>
      <c r="C19" s="124" t="s">
        <v>14</v>
      </c>
      <c r="D19" s="125">
        <v>3</v>
      </c>
      <c r="E19" s="197">
        <f t="shared" si="4"/>
        <v>23.937113402061858</v>
      </c>
      <c r="F19" s="127">
        <v>1</v>
      </c>
      <c r="G19" s="119">
        <f t="shared" si="0"/>
        <v>71.811340206185577</v>
      </c>
      <c r="H19" s="120">
        <f t="shared" si="1"/>
        <v>71.811340206185577</v>
      </c>
      <c r="I19" s="81">
        <f>VLOOKUP(B19,All_Ingredients!$A$1:$F$151,6,FALSE())</f>
        <v>1</v>
      </c>
      <c r="J19" s="119">
        <f>VLOOKUP(B19,All_Ingredients!$A$1:$J$151,10,FALSE())</f>
        <v>37</v>
      </c>
      <c r="K19" s="122">
        <f t="shared" si="5"/>
        <v>7.181134020618557E-2</v>
      </c>
      <c r="L19" s="122">
        <f t="shared" si="6"/>
        <v>2.657019587628866</v>
      </c>
    </row>
    <row r="20" spans="1:30" ht="14.25" customHeight="1" x14ac:dyDescent="0.3">
      <c r="A20" s="270" t="s">
        <v>97</v>
      </c>
      <c r="B20" s="22" t="s">
        <v>500</v>
      </c>
      <c r="C20" s="124" t="s">
        <v>14</v>
      </c>
      <c r="D20" s="125">
        <v>3</v>
      </c>
      <c r="E20" s="197">
        <f t="shared" si="4"/>
        <v>23.937113402061858</v>
      </c>
      <c r="F20" s="127">
        <v>1</v>
      </c>
      <c r="G20" s="119">
        <f t="shared" si="0"/>
        <v>71.811340206185577</v>
      </c>
      <c r="H20" s="120">
        <f t="shared" si="1"/>
        <v>71.811340206185577</v>
      </c>
      <c r="I20" s="81">
        <f>VLOOKUP(B20,All_Ingredients!$A$1:$F$151,6,FALSE())</f>
        <v>1</v>
      </c>
      <c r="J20" s="119">
        <f>VLOOKUP(B20,All_Ingredients!$A$1:$J$151,10,FALSE())</f>
        <v>15</v>
      </c>
      <c r="K20" s="122">
        <f t="shared" si="5"/>
        <v>7.181134020618557E-2</v>
      </c>
      <c r="L20" s="122">
        <f t="shared" si="6"/>
        <v>1.0771701030927836</v>
      </c>
    </row>
    <row r="21" spans="1:30" ht="14.25" customHeight="1" x14ac:dyDescent="0.3">
      <c r="A21" s="270" t="s">
        <v>97</v>
      </c>
      <c r="B21" s="22" t="s">
        <v>130</v>
      </c>
      <c r="C21" s="124" t="s">
        <v>14</v>
      </c>
      <c r="D21" s="125">
        <v>3</v>
      </c>
      <c r="E21" s="197">
        <f t="shared" si="4"/>
        <v>23.937113402061858</v>
      </c>
      <c r="F21" s="127">
        <v>1</v>
      </c>
      <c r="G21" s="119">
        <f t="shared" si="0"/>
        <v>71.811340206185577</v>
      </c>
      <c r="H21" s="120">
        <f t="shared" si="1"/>
        <v>71.811340206185577</v>
      </c>
      <c r="I21" s="81">
        <f>VLOOKUP(B21,All_Ingredients!$A$1:$F$151,6,FALSE())</f>
        <v>1</v>
      </c>
      <c r="J21" s="119">
        <f>VLOOKUP(B21,All_Ingredients!$A$1:$J$151,10,FALSE())</f>
        <v>125</v>
      </c>
      <c r="K21" s="122">
        <f t="shared" si="5"/>
        <v>7.181134020618557E-2</v>
      </c>
      <c r="L21" s="122">
        <f t="shared" si="6"/>
        <v>8.9764175257731971</v>
      </c>
    </row>
    <row r="22" spans="1:30" ht="14.25" customHeight="1" x14ac:dyDescent="0.3">
      <c r="B22" s="100"/>
      <c r="E22" s="100"/>
      <c r="F22" s="100"/>
      <c r="L22" s="209"/>
    </row>
    <row r="23" spans="1:30" ht="14.25" customHeight="1" x14ac:dyDescent="0.3">
      <c r="L23" s="209"/>
    </row>
    <row r="24" spans="1:30" ht="14.25" customHeight="1" x14ac:dyDescent="0.3">
      <c r="L24" s="209"/>
      <c r="Z24" s="1294"/>
    </row>
    <row r="25" spans="1:30" ht="14.25" customHeight="1" x14ac:dyDescent="0.35">
      <c r="L25" s="209"/>
      <c r="R25" s="1411" t="s">
        <v>501</v>
      </c>
      <c r="S25" s="1388"/>
      <c r="T25" s="1388"/>
      <c r="U25" s="1388"/>
      <c r="Z25" s="141" t="s">
        <v>264</v>
      </c>
      <c r="AA25" s="142">
        <v>33170</v>
      </c>
      <c r="AB25" s="141" t="s">
        <v>261</v>
      </c>
      <c r="AC25" s="1232">
        <f>(AA25*(1.7))*AD30</f>
        <v>1446.186021361857</v>
      </c>
      <c r="AD25"/>
    </row>
    <row r="26" spans="1:30" ht="14.25" customHeight="1" x14ac:dyDescent="0.3">
      <c r="L26" s="209"/>
      <c r="R26" s="1409" t="s">
        <v>439</v>
      </c>
      <c r="S26" s="1410"/>
      <c r="T26" s="1410"/>
      <c r="U26" s="1410"/>
      <c r="AB26" s="14"/>
      <c r="AC26" s="14"/>
      <c r="AD26" s="14"/>
    </row>
    <row r="27" spans="1:30" ht="14.25" customHeight="1" thickBot="1" x14ac:dyDescent="0.35">
      <c r="R27" s="145" t="s">
        <v>266</v>
      </c>
      <c r="S27" s="146" t="s">
        <v>267</v>
      </c>
      <c r="T27" s="146" t="s">
        <v>268</v>
      </c>
      <c r="U27" s="146" t="s">
        <v>269</v>
      </c>
      <c r="V27" s="146" t="s">
        <v>848</v>
      </c>
      <c r="Z27" s="141" t="s">
        <v>270</v>
      </c>
      <c r="AA27" s="147" t="s">
        <v>271</v>
      </c>
      <c r="AB27" s="147" t="s">
        <v>273</v>
      </c>
      <c r="AC27" s="1186" t="s">
        <v>848</v>
      </c>
      <c r="AD27" s="147" t="s">
        <v>274</v>
      </c>
    </row>
    <row r="28" spans="1:30" ht="14.25" customHeight="1" thickBot="1" x14ac:dyDescent="0.35">
      <c r="R28" s="148" t="s">
        <v>275</v>
      </c>
      <c r="S28" s="150">
        <f>Z1</f>
        <v>32170</v>
      </c>
      <c r="T28" s="149"/>
      <c r="U28" s="149">
        <f>S28/S40</f>
        <v>32170</v>
      </c>
      <c r="V28" s="149">
        <f>G37</f>
        <v>0</v>
      </c>
      <c r="Z28" s="151"/>
      <c r="AA28" s="152">
        <f>AA25*$S$40</f>
        <v>33170</v>
      </c>
      <c r="AB28" s="153">
        <f>AA25*0.7</f>
        <v>23219</v>
      </c>
      <c r="AC28" s="1188"/>
      <c r="AD28" s="1331">
        <f>SUM(AA28:AB28)</f>
        <v>56389</v>
      </c>
    </row>
    <row r="29" spans="1:30" ht="14.25" customHeight="1" thickBot="1" x14ac:dyDescent="0.35">
      <c r="B29" s="100"/>
      <c r="E29" s="100"/>
      <c r="F29" s="100"/>
      <c r="R29" s="148" t="s">
        <v>276</v>
      </c>
      <c r="S29" s="155"/>
      <c r="T29" s="149">
        <f>S28*0.7</f>
        <v>22519</v>
      </c>
      <c r="U29" s="149">
        <f>T29</f>
        <v>22519</v>
      </c>
      <c r="V29" s="149"/>
      <c r="Z29" s="151"/>
      <c r="AA29" s="156">
        <f>AA28/$AD$28</f>
        <v>0.58823529411764708</v>
      </c>
      <c r="AB29" s="156">
        <f>AB28/$AD$28</f>
        <v>0.41176470588235292</v>
      </c>
      <c r="AC29" s="1192"/>
      <c r="AD29" s="156">
        <f>AD28/$AD$28</f>
        <v>1</v>
      </c>
    </row>
    <row r="30" spans="1:30" ht="14.25" customHeight="1" thickBot="1" x14ac:dyDescent="0.35">
      <c r="B30" s="100"/>
      <c r="E30" s="100"/>
      <c r="F30" s="100"/>
      <c r="R30" s="148" t="s">
        <v>277</v>
      </c>
      <c r="S30" s="1236">
        <f>AB1</f>
        <v>1000</v>
      </c>
      <c r="T30" s="155">
        <f>S30*0.7</f>
        <v>700</v>
      </c>
      <c r="U30" s="155">
        <f>S30/S40</f>
        <v>1000</v>
      </c>
      <c r="V30" s="1143"/>
      <c r="Z30" s="141" t="s">
        <v>278</v>
      </c>
      <c r="AA30" s="157">
        <f>S35/(S32)</f>
        <v>3.9767441860465116E-2</v>
      </c>
      <c r="AB30" s="158">
        <f>T35/T32</f>
        <v>5.473964203894616E-3</v>
      </c>
      <c r="AC30" s="1199">
        <f>V35/U32</f>
        <v>0</v>
      </c>
      <c r="AD30" s="1201">
        <f>SUMPRODUCT(AA30:AB30,AA29:AB29)+AC30</f>
        <v>2.5646598119524321E-2</v>
      </c>
    </row>
    <row r="31" spans="1:30" ht="14.25" customHeight="1" thickBot="1" x14ac:dyDescent="0.35">
      <c r="B31" s="100"/>
      <c r="E31" s="100"/>
      <c r="F31" s="100"/>
      <c r="R31" s="148" t="s">
        <v>279</v>
      </c>
      <c r="S31" s="155"/>
      <c r="T31" s="149"/>
      <c r="U31" s="149"/>
      <c r="V31" s="149"/>
    </row>
    <row r="32" spans="1:30" ht="14.25" customHeight="1" thickBot="1" x14ac:dyDescent="0.35">
      <c r="B32" s="100"/>
      <c r="E32" s="100"/>
      <c r="F32" s="100"/>
      <c r="R32" s="160" t="s">
        <v>269</v>
      </c>
      <c r="S32" s="149">
        <f>SUM(S28:S30)</f>
        <v>33170</v>
      </c>
      <c r="T32" s="149">
        <f>SUM(T28:T30)</f>
        <v>23219</v>
      </c>
      <c r="U32" s="149">
        <f>SUM(S32:T32)</f>
        <v>56389</v>
      </c>
      <c r="V32" s="149">
        <f>SUM(V28:V30)</f>
        <v>0</v>
      </c>
    </row>
    <row r="33" spans="2:23" ht="14.25" customHeight="1" thickBot="1" x14ac:dyDescent="0.35">
      <c r="B33" s="100"/>
      <c r="E33" s="100"/>
      <c r="F33" s="100"/>
      <c r="R33" s="161" t="s">
        <v>280</v>
      </c>
      <c r="S33" s="155"/>
      <c r="T33" s="155">
        <f>F83+F106</f>
        <v>0</v>
      </c>
      <c r="U33" s="155"/>
      <c r="V33" s="155"/>
    </row>
    <row r="34" spans="2:23" ht="14.25" customHeight="1" thickBot="1" x14ac:dyDescent="0.35">
      <c r="B34" s="100"/>
      <c r="E34" s="100"/>
      <c r="F34" s="100"/>
      <c r="R34" s="162" t="s">
        <v>281</v>
      </c>
      <c r="S34" s="155"/>
      <c r="T34" s="149">
        <f>T33-(T28+T29)</f>
        <v>-22519</v>
      </c>
      <c r="U34" s="155"/>
      <c r="V34" s="155"/>
    </row>
    <row r="35" spans="2:23" ht="14.25" customHeight="1" thickBot="1" x14ac:dyDescent="0.35">
      <c r="R35" s="163" t="s">
        <v>261</v>
      </c>
      <c r="S35" s="1144">
        <f>$L$5</f>
        <v>1319.086046511628</v>
      </c>
      <c r="T35" s="1144">
        <f>SUM(L6:L21)</f>
        <v>127.09997485022909</v>
      </c>
      <c r="U35" s="1144">
        <f>S35+T35+V35</f>
        <v>1446.186021361857</v>
      </c>
      <c r="V35" s="1144">
        <f>K37</f>
        <v>0</v>
      </c>
    </row>
    <row r="40" spans="2:23" ht="14.75" customHeight="1" x14ac:dyDescent="0.3">
      <c r="Q40" s="14"/>
      <c r="R40" s="165" t="s">
        <v>282</v>
      </c>
      <c r="S40" s="239">
        <v>1</v>
      </c>
      <c r="T40" s="165" t="s">
        <v>283</v>
      </c>
      <c r="U40" s="239">
        <v>0</v>
      </c>
      <c r="V40" s="168">
        <f>S40+U40</f>
        <v>1</v>
      </c>
      <c r="W40" s="14"/>
    </row>
    <row r="41" spans="2:23" ht="14.25" customHeight="1" x14ac:dyDescent="0.3">
      <c r="Q41" s="14"/>
      <c r="R41" s="14"/>
      <c r="S41" s="14"/>
      <c r="T41" s="14"/>
      <c r="U41" s="169"/>
      <c r="V41" s="14"/>
      <c r="W41" s="14"/>
    </row>
    <row r="42" spans="2:23" ht="14.25" customHeight="1" x14ac:dyDescent="0.3">
      <c r="Q42" s="14"/>
      <c r="R42" s="14"/>
      <c r="S42" s="14"/>
      <c r="T42" s="14"/>
      <c r="U42" s="14"/>
      <c r="V42" s="14"/>
      <c r="W42" s="14"/>
    </row>
    <row r="43" spans="2:23" ht="14.25" customHeight="1" x14ac:dyDescent="0.3">
      <c r="Q43" s="170" t="s">
        <v>284</v>
      </c>
      <c r="R43" s="170" t="s">
        <v>285</v>
      </c>
      <c r="S43" s="170" t="s">
        <v>286</v>
      </c>
      <c r="T43" s="170" t="s">
        <v>287</v>
      </c>
      <c r="U43" s="170" t="s">
        <v>288</v>
      </c>
      <c r="V43" s="170" t="s">
        <v>289</v>
      </c>
      <c r="W43" s="170" t="s">
        <v>290</v>
      </c>
    </row>
    <row r="44" spans="2:23" ht="14.25" customHeight="1" x14ac:dyDescent="0.3">
      <c r="Q44" s="172">
        <v>14286</v>
      </c>
      <c r="R44" s="173">
        <f>D51</f>
        <v>10000</v>
      </c>
      <c r="S44" s="174">
        <v>0</v>
      </c>
      <c r="T44" s="174">
        <v>1</v>
      </c>
      <c r="U44" s="242">
        <f>R44*S44</f>
        <v>0</v>
      </c>
      <c r="V44" s="176">
        <f>R44*T44</f>
        <v>10000</v>
      </c>
      <c r="W44" s="176">
        <f>Q44-U44</f>
        <v>14286</v>
      </c>
    </row>
    <row r="50" spans="1:10" x14ac:dyDescent="0.3">
      <c r="B50" s="145"/>
      <c r="C50" s="145" t="s">
        <v>245</v>
      </c>
      <c r="D50" s="145" t="s">
        <v>291</v>
      </c>
      <c r="E50" s="100"/>
      <c r="F50" s="100"/>
      <c r="G50" s="145" t="s">
        <v>292</v>
      </c>
      <c r="H50" s="145" t="s">
        <v>245</v>
      </c>
      <c r="I50" s="145" t="s">
        <v>293</v>
      </c>
      <c r="J50" s="145" t="s">
        <v>294</v>
      </c>
    </row>
    <row r="51" spans="1:10" x14ac:dyDescent="0.3">
      <c r="B51" s="180" t="s">
        <v>295</v>
      </c>
      <c r="C51" s="181">
        <f>10/$K$1</f>
        <v>10.309278350515465</v>
      </c>
      <c r="D51" s="182">
        <f>$C$1*10</f>
        <v>10000</v>
      </c>
      <c r="E51" s="183"/>
      <c r="F51" s="100"/>
      <c r="G51" s="180" t="s">
        <v>295</v>
      </c>
      <c r="H51" s="277">
        <f>I51/$D$5</f>
        <v>10</v>
      </c>
      <c r="I51" s="181">
        <f>J51/$R$1</f>
        <v>28572</v>
      </c>
      <c r="J51" s="181">
        <f>$W$44</f>
        <v>14286</v>
      </c>
    </row>
    <row r="52" spans="1:10" x14ac:dyDescent="0.3">
      <c r="B52" s="231" t="s">
        <v>274</v>
      </c>
      <c r="C52" s="232">
        <f>$I$1</f>
        <v>23.937113402061858</v>
      </c>
      <c r="D52" s="233">
        <f>$E$1</f>
        <v>23219</v>
      </c>
      <c r="E52" s="100"/>
      <c r="F52" s="100"/>
      <c r="G52" s="148" t="s">
        <v>274</v>
      </c>
      <c r="H52" s="210">
        <f>I52/$D$5</f>
        <v>23.218535629287416</v>
      </c>
      <c r="I52" s="176">
        <f>J52/$R$1</f>
        <v>66340</v>
      </c>
      <c r="J52" s="184">
        <f>$S$32</f>
        <v>33170</v>
      </c>
    </row>
    <row r="53" spans="1:10" x14ac:dyDescent="0.3">
      <c r="B53" s="231" t="s">
        <v>296</v>
      </c>
      <c r="C53" s="234">
        <f>MIN(C52, C51)</f>
        <v>10.309278350515465</v>
      </c>
      <c r="D53" s="233">
        <f>(C53*$K$1)*$C$1</f>
        <v>10000</v>
      </c>
      <c r="E53" s="100"/>
      <c r="F53" s="100"/>
      <c r="G53" s="148" t="s">
        <v>296</v>
      </c>
      <c r="H53" s="187">
        <f>MIN(H52,H51)</f>
        <v>10</v>
      </c>
      <c r="I53" s="176">
        <f>J53/$R$1</f>
        <v>28572</v>
      </c>
      <c r="J53" s="176">
        <f>MIN(J52,J51)</f>
        <v>14286</v>
      </c>
    </row>
    <row r="54" spans="1:10" x14ac:dyDescent="0.3">
      <c r="B54" s="231" t="s">
        <v>297</v>
      </c>
      <c r="C54" s="234">
        <f>MIN(MAX(C52-C53,0),C51)</f>
        <v>10.309278350515465</v>
      </c>
      <c r="D54" s="233">
        <f>(C54*$K$1)*$C$1</f>
        <v>10000</v>
      </c>
      <c r="E54" s="100"/>
      <c r="F54" s="100"/>
      <c r="G54" s="148" t="s">
        <v>297</v>
      </c>
      <c r="H54" s="187">
        <f>MIN(MAX(H52-H53),H51)</f>
        <v>10</v>
      </c>
      <c r="I54" s="176">
        <f>J54/$R$1</f>
        <v>28572</v>
      </c>
      <c r="J54" s="176">
        <f>MIN(MAX(J52-J53),J51)</f>
        <v>14286</v>
      </c>
    </row>
    <row r="55" spans="1:10" x14ac:dyDescent="0.3">
      <c r="B55" s="231" t="s">
        <v>298</v>
      </c>
      <c r="C55" s="234">
        <f>MIN(MAX(C52-C53-C54,0),C51)</f>
        <v>3.3185567010309285</v>
      </c>
      <c r="D55" s="233">
        <f>(C55*$K$1)*$C$1</f>
        <v>3219.0000000000009</v>
      </c>
      <c r="E55" s="100"/>
      <c r="F55" s="100"/>
      <c r="G55" s="145" t="s">
        <v>298</v>
      </c>
      <c r="H55" s="187">
        <f>MIN(MAX(H52-H53-H54),H51)</f>
        <v>3.2185356292874161</v>
      </c>
      <c r="I55" s="176">
        <f>J55/$R$1</f>
        <v>9196</v>
      </c>
      <c r="J55" s="176">
        <f>MIN(MAX(J52-J53-J54),J51)</f>
        <v>4598</v>
      </c>
    </row>
    <row r="62" spans="1:10" ht="17.75" customHeight="1" x14ac:dyDescent="0.3">
      <c r="A62" s="938"/>
      <c r="B62" s="1382" t="str">
        <f>"ملوخية دجاج  1 / " &amp; COUNTIF($C$53:$C$55, "&gt;0")</f>
        <v>ملوخية دجاج  1 / 3</v>
      </c>
      <c r="C62" s="1383"/>
      <c r="D62" s="1383"/>
      <c r="E62" s="1383"/>
      <c r="F62" s="1383"/>
      <c r="G62" s="1383"/>
      <c r="H62" s="1383"/>
    </row>
    <row r="63" spans="1:10" ht="17.75" customHeight="1" x14ac:dyDescent="0.3">
      <c r="A63" s="938"/>
      <c r="B63" s="1384" t="str">
        <f>"Chicken Molokeya  1 / " &amp; COUNTIF($C$53:$C$55, "&gt;0")</f>
        <v>Chicken Molokeya  1 / 3</v>
      </c>
      <c r="C63" s="1385"/>
      <c r="D63" s="1385"/>
      <c r="E63" s="1385"/>
      <c r="F63" s="1385"/>
      <c r="G63" s="1385"/>
      <c r="H63" s="1385"/>
    </row>
    <row r="64" spans="1:10" ht="39.5" customHeight="1" x14ac:dyDescent="0.3">
      <c r="A64" s="91"/>
      <c r="B64" s="91" t="s">
        <v>253</v>
      </c>
      <c r="C64" s="107" t="s">
        <v>254</v>
      </c>
      <c r="D64" s="91" t="s">
        <v>243</v>
      </c>
      <c r="E64" s="218" t="s">
        <v>246</v>
      </c>
      <c r="F64" s="108" t="s">
        <v>255</v>
      </c>
      <c r="G64" s="91" t="s">
        <v>256</v>
      </c>
      <c r="H64" s="218" t="s">
        <v>257</v>
      </c>
    </row>
    <row r="65" spans="1:8" ht="14.25" customHeight="1" x14ac:dyDescent="0.3">
      <c r="A65" s="219" t="s">
        <v>230</v>
      </c>
      <c r="B65" s="323" t="str">
        <f t="shared" ref="B65:D81" si="7">B5</f>
        <v>Chicken - دجاج</v>
      </c>
      <c r="C65" s="323" t="str">
        <f t="shared" si="7"/>
        <v>gm</v>
      </c>
      <c r="D65" s="323">
        <f t="shared" si="7"/>
        <v>2857.2</v>
      </c>
      <c r="E65" s="197">
        <f>H53</f>
        <v>10</v>
      </c>
      <c r="F65" s="127">
        <f t="shared" ref="F65:F81" si="8">F5</f>
        <v>1</v>
      </c>
      <c r="G65" s="119">
        <f t="shared" ref="G65:G81" si="9">D65*E65</f>
        <v>28572</v>
      </c>
      <c r="H65" s="120">
        <f t="shared" ref="H65:H81" si="10">G65*F65</f>
        <v>28572</v>
      </c>
    </row>
    <row r="66" spans="1:8" ht="14.25" customHeight="1" x14ac:dyDescent="0.3">
      <c r="A66" s="270" t="s">
        <v>13</v>
      </c>
      <c r="B66" s="323" t="str">
        <f>B6</f>
        <v>Frozen Molokeya - ملوخية مجمدة</v>
      </c>
      <c r="C66" s="323" t="str">
        <f t="shared" si="7"/>
        <v>gm</v>
      </c>
      <c r="D66" s="323">
        <f t="shared" si="7"/>
        <v>520</v>
      </c>
      <c r="E66" s="197">
        <f>$C$53</f>
        <v>10.309278350515465</v>
      </c>
      <c r="F66" s="127">
        <f t="shared" si="8"/>
        <v>1</v>
      </c>
      <c r="G66" s="119">
        <f t="shared" si="9"/>
        <v>5360.8247422680415</v>
      </c>
      <c r="H66" s="120">
        <f t="shared" si="10"/>
        <v>5360.8247422680415</v>
      </c>
    </row>
    <row r="67" spans="1:8" ht="14.25" customHeight="1" x14ac:dyDescent="0.3">
      <c r="A67" s="270" t="s">
        <v>210</v>
      </c>
      <c r="B67" s="323" t="str">
        <f t="shared" si="7"/>
        <v>Chicken Stock - مرق دجاج</v>
      </c>
      <c r="C67" s="323" t="str">
        <f t="shared" si="7"/>
        <v>ml</v>
      </c>
      <c r="D67" s="323">
        <f t="shared" si="7"/>
        <v>600</v>
      </c>
      <c r="E67" s="197">
        <f t="shared" ref="E67:E81" si="11">$C$53</f>
        <v>10.309278350515465</v>
      </c>
      <c r="F67" s="127">
        <f t="shared" si="8"/>
        <v>0.95</v>
      </c>
      <c r="G67" s="119">
        <f t="shared" si="9"/>
        <v>6185.5670103092789</v>
      </c>
      <c r="H67" s="120">
        <f t="shared" si="10"/>
        <v>5876.288659793815</v>
      </c>
    </row>
    <row r="68" spans="1:8" ht="14.25" customHeight="1" x14ac:dyDescent="0.3">
      <c r="A68" s="270" t="s">
        <v>97</v>
      </c>
      <c r="B68" s="323" t="str">
        <f t="shared" si="7"/>
        <v>Cumin Powder - كمون مطحون</v>
      </c>
      <c r="C68" s="323" t="str">
        <f t="shared" si="7"/>
        <v>gm</v>
      </c>
      <c r="D68" s="323">
        <f t="shared" si="7"/>
        <v>4</v>
      </c>
      <c r="E68" s="197">
        <f t="shared" si="11"/>
        <v>10.309278350515465</v>
      </c>
      <c r="F68" s="127">
        <f t="shared" si="8"/>
        <v>0.75</v>
      </c>
      <c r="G68" s="119">
        <f t="shared" si="9"/>
        <v>41.237113402061858</v>
      </c>
      <c r="H68" s="120">
        <f t="shared" si="10"/>
        <v>30.927835051546396</v>
      </c>
    </row>
    <row r="69" spans="1:8" ht="14.25" customHeight="1" x14ac:dyDescent="0.3">
      <c r="A69" s="270" t="s">
        <v>97</v>
      </c>
      <c r="B69" s="323" t="str">
        <f t="shared" si="7"/>
        <v>Coriander Powder - كزبرة مطحونة</v>
      </c>
      <c r="C69" s="323" t="str">
        <f t="shared" si="7"/>
        <v>gm</v>
      </c>
      <c r="D69" s="323">
        <f t="shared" si="7"/>
        <v>4</v>
      </c>
      <c r="E69" s="197">
        <f t="shared" si="11"/>
        <v>10.309278350515465</v>
      </c>
      <c r="F69" s="127">
        <f t="shared" si="8"/>
        <v>0.75</v>
      </c>
      <c r="G69" s="119">
        <f t="shared" si="9"/>
        <v>41.237113402061858</v>
      </c>
      <c r="H69" s="120">
        <f t="shared" si="10"/>
        <v>30.927835051546396</v>
      </c>
    </row>
    <row r="70" spans="1:8" ht="14.25" customHeight="1" x14ac:dyDescent="0.3">
      <c r="A70" s="270" t="s">
        <v>97</v>
      </c>
      <c r="B70" s="323" t="str">
        <f t="shared" si="7"/>
        <v>Cinnamon Powder - قرفة مطحونة</v>
      </c>
      <c r="C70" s="323" t="str">
        <f t="shared" si="7"/>
        <v>gm</v>
      </c>
      <c r="D70" s="323">
        <f t="shared" si="7"/>
        <v>4</v>
      </c>
      <c r="E70" s="197">
        <f t="shared" si="11"/>
        <v>10.309278350515465</v>
      </c>
      <c r="F70" s="127">
        <f t="shared" si="8"/>
        <v>0.9</v>
      </c>
      <c r="G70" s="119">
        <f t="shared" si="9"/>
        <v>41.237113402061858</v>
      </c>
      <c r="H70" s="120">
        <f t="shared" si="10"/>
        <v>37.113402061855673</v>
      </c>
    </row>
    <row r="71" spans="1:8" ht="14.25" customHeight="1" x14ac:dyDescent="0.3">
      <c r="A71" s="270" t="s">
        <v>97</v>
      </c>
      <c r="B71" s="323" t="str">
        <f t="shared" si="7"/>
        <v>Black Pepper Powder - فلفل أسود مطحون</v>
      </c>
      <c r="C71" s="323" t="str">
        <f t="shared" si="7"/>
        <v>gm</v>
      </c>
      <c r="D71" s="323">
        <f t="shared" si="7"/>
        <v>4</v>
      </c>
      <c r="E71" s="197">
        <f t="shared" si="11"/>
        <v>10.309278350515465</v>
      </c>
      <c r="F71" s="127">
        <f t="shared" si="8"/>
        <v>0.9</v>
      </c>
      <c r="G71" s="119">
        <f t="shared" si="9"/>
        <v>41.237113402061858</v>
      </c>
      <c r="H71" s="120">
        <f t="shared" si="10"/>
        <v>37.113402061855673</v>
      </c>
    </row>
    <row r="72" spans="1:8" ht="14.25" customHeight="1" x14ac:dyDescent="0.3">
      <c r="A72" s="270" t="s">
        <v>97</v>
      </c>
      <c r="B72" s="323" t="str">
        <f t="shared" si="7"/>
        <v>Salt - ملح</v>
      </c>
      <c r="C72" s="323" t="str">
        <f t="shared" si="7"/>
        <v>gm</v>
      </c>
      <c r="D72" s="323">
        <f t="shared" si="7"/>
        <v>11</v>
      </c>
      <c r="E72" s="197">
        <f t="shared" si="11"/>
        <v>10.309278350515465</v>
      </c>
      <c r="F72" s="127">
        <f t="shared" si="8"/>
        <v>0.75</v>
      </c>
      <c r="G72" s="119">
        <f t="shared" si="9"/>
        <v>113.40206185567011</v>
      </c>
      <c r="H72" s="120">
        <f t="shared" si="10"/>
        <v>85.051546391752581</v>
      </c>
    </row>
    <row r="73" spans="1:8" ht="14.25" customHeight="1" x14ac:dyDescent="0.3">
      <c r="A73" s="270" t="s">
        <v>13</v>
      </c>
      <c r="B73" s="323" t="str">
        <f t="shared" si="7"/>
        <v>Garlic - ثوم مقشر</v>
      </c>
      <c r="C73" s="323" t="str">
        <f t="shared" si="7"/>
        <v>gm</v>
      </c>
      <c r="D73" s="323">
        <f t="shared" si="7"/>
        <v>25</v>
      </c>
      <c r="E73" s="197">
        <f t="shared" si="11"/>
        <v>10.309278350515465</v>
      </c>
      <c r="F73" s="127">
        <f t="shared" si="8"/>
        <v>1</v>
      </c>
      <c r="G73" s="119">
        <f t="shared" si="9"/>
        <v>257.73195876288662</v>
      </c>
      <c r="H73" s="120">
        <f t="shared" si="10"/>
        <v>257.73195876288662</v>
      </c>
    </row>
    <row r="74" spans="1:8" ht="14.25" customHeight="1" x14ac:dyDescent="0.3">
      <c r="A74" s="270" t="s">
        <v>158</v>
      </c>
      <c r="B74" s="323" t="str">
        <f t="shared" si="7"/>
        <v>Ghee - سمن</v>
      </c>
      <c r="C74" s="323" t="str">
        <f t="shared" si="7"/>
        <v>gm</v>
      </c>
      <c r="D74" s="323">
        <f t="shared" si="7"/>
        <v>38</v>
      </c>
      <c r="E74" s="197">
        <f t="shared" si="11"/>
        <v>10.309278350515465</v>
      </c>
      <c r="F74" s="127">
        <f t="shared" si="8"/>
        <v>1</v>
      </c>
      <c r="G74" s="119">
        <f t="shared" si="9"/>
        <v>391.75257731958766</v>
      </c>
      <c r="H74" s="120">
        <f t="shared" si="10"/>
        <v>391.75257731958766</v>
      </c>
    </row>
    <row r="75" spans="1:8" ht="14.25" customHeight="1" x14ac:dyDescent="0.3">
      <c r="A75" s="270" t="s">
        <v>220</v>
      </c>
      <c r="B75" s="323" t="str">
        <f t="shared" si="7"/>
        <v>Soda Bi Carb - بيكربونات الصوديوم</v>
      </c>
      <c r="C75" s="323" t="str">
        <f t="shared" si="7"/>
        <v>gm</v>
      </c>
      <c r="D75" s="323">
        <f t="shared" si="7"/>
        <v>11</v>
      </c>
      <c r="E75" s="197">
        <f t="shared" si="11"/>
        <v>10.309278350515465</v>
      </c>
      <c r="F75" s="127">
        <f t="shared" si="8"/>
        <v>1</v>
      </c>
      <c r="G75" s="119">
        <f t="shared" si="9"/>
        <v>113.40206185567011</v>
      </c>
      <c r="H75" s="120">
        <f t="shared" si="10"/>
        <v>113.40206185567011</v>
      </c>
    </row>
    <row r="76" spans="1:8" ht="14.25" customHeight="1" x14ac:dyDescent="0.3">
      <c r="A76" s="270" t="s">
        <v>97</v>
      </c>
      <c r="B76" s="323" t="str">
        <f t="shared" si="7"/>
        <v>Maggi Cubes - مكعبات ماجي</v>
      </c>
      <c r="C76" s="323" t="str">
        <f t="shared" si="7"/>
        <v>gm</v>
      </c>
      <c r="D76" s="323">
        <f t="shared" si="7"/>
        <v>10</v>
      </c>
      <c r="E76" s="197">
        <f t="shared" si="11"/>
        <v>10.309278350515465</v>
      </c>
      <c r="F76" s="127">
        <f t="shared" si="8"/>
        <v>1</v>
      </c>
      <c r="G76" s="119">
        <f t="shared" si="9"/>
        <v>103.09278350515464</v>
      </c>
      <c r="H76" s="120">
        <f t="shared" si="10"/>
        <v>103.09278350515464</v>
      </c>
    </row>
    <row r="77" spans="1:8" ht="14.25" customHeight="1" x14ac:dyDescent="0.3">
      <c r="A77" s="270" t="s">
        <v>97</v>
      </c>
      <c r="B77" s="323" t="str">
        <f t="shared" si="7"/>
        <v>Black Pepper Whole - فلفل أسود حب</v>
      </c>
      <c r="C77" s="323" t="str">
        <f t="shared" si="7"/>
        <v>gm</v>
      </c>
      <c r="D77" s="323">
        <f t="shared" si="7"/>
        <v>3</v>
      </c>
      <c r="E77" s="197">
        <f t="shared" si="11"/>
        <v>10.309278350515465</v>
      </c>
      <c r="F77" s="127">
        <f t="shared" si="8"/>
        <v>1</v>
      </c>
      <c r="G77" s="119">
        <f t="shared" si="9"/>
        <v>30.927835051546396</v>
      </c>
      <c r="H77" s="120">
        <f t="shared" si="10"/>
        <v>30.927835051546396</v>
      </c>
    </row>
    <row r="78" spans="1:8" ht="14.25" customHeight="1" x14ac:dyDescent="0.3">
      <c r="A78" s="270" t="s">
        <v>97</v>
      </c>
      <c r="B78" s="323" t="str">
        <f t="shared" si="7"/>
        <v>Cumin Whole - كمون حب</v>
      </c>
      <c r="C78" s="323" t="str">
        <f t="shared" si="7"/>
        <v>gm</v>
      </c>
      <c r="D78" s="323">
        <f t="shared" si="7"/>
        <v>3</v>
      </c>
      <c r="E78" s="197">
        <f t="shared" si="11"/>
        <v>10.309278350515465</v>
      </c>
      <c r="F78" s="127">
        <f t="shared" si="8"/>
        <v>1</v>
      </c>
      <c r="G78" s="119">
        <f t="shared" si="9"/>
        <v>30.927835051546396</v>
      </c>
      <c r="H78" s="120">
        <f t="shared" si="10"/>
        <v>30.927835051546396</v>
      </c>
    </row>
    <row r="79" spans="1:8" ht="14.25" customHeight="1" x14ac:dyDescent="0.3">
      <c r="A79" s="270" t="s">
        <v>97</v>
      </c>
      <c r="B79" s="323" t="str">
        <f t="shared" si="7"/>
        <v>Cloves Whole - قرنفل حب</v>
      </c>
      <c r="C79" s="323" t="str">
        <f t="shared" si="7"/>
        <v>gm</v>
      </c>
      <c r="D79" s="323">
        <f t="shared" si="7"/>
        <v>3</v>
      </c>
      <c r="E79" s="197">
        <f t="shared" si="11"/>
        <v>10.309278350515465</v>
      </c>
      <c r="F79" s="127">
        <f t="shared" si="8"/>
        <v>1</v>
      </c>
      <c r="G79" s="119">
        <f t="shared" si="9"/>
        <v>30.927835051546396</v>
      </c>
      <c r="H79" s="120">
        <f t="shared" si="10"/>
        <v>30.927835051546396</v>
      </c>
    </row>
    <row r="80" spans="1:8" ht="14.25" customHeight="1" x14ac:dyDescent="0.3">
      <c r="A80" s="270" t="s">
        <v>97</v>
      </c>
      <c r="B80" s="323" t="str">
        <f t="shared" si="7"/>
        <v>Cinnamon whole - قرفة أعواد</v>
      </c>
      <c r="C80" s="323" t="str">
        <f t="shared" si="7"/>
        <v>gm</v>
      </c>
      <c r="D80" s="323">
        <f t="shared" si="7"/>
        <v>3</v>
      </c>
      <c r="E80" s="197">
        <f t="shared" si="11"/>
        <v>10.309278350515465</v>
      </c>
      <c r="F80" s="127">
        <f t="shared" si="8"/>
        <v>1</v>
      </c>
      <c r="G80" s="119">
        <f t="shared" si="9"/>
        <v>30.927835051546396</v>
      </c>
      <c r="H80" s="120">
        <f t="shared" si="10"/>
        <v>30.927835051546396</v>
      </c>
    </row>
    <row r="81" spans="1:8" ht="14.25" customHeight="1" x14ac:dyDescent="0.3">
      <c r="A81" s="270" t="s">
        <v>97</v>
      </c>
      <c r="B81" s="323" t="str">
        <f t="shared" si="7"/>
        <v>Cardamom Whole - هيل حب</v>
      </c>
      <c r="C81" s="323" t="str">
        <f t="shared" si="7"/>
        <v>gm</v>
      </c>
      <c r="D81" s="323">
        <f t="shared" si="7"/>
        <v>3</v>
      </c>
      <c r="E81" s="197">
        <f t="shared" si="11"/>
        <v>10.309278350515465</v>
      </c>
      <c r="F81" s="127">
        <f t="shared" si="8"/>
        <v>1</v>
      </c>
      <c r="G81" s="119">
        <f t="shared" si="9"/>
        <v>30.927835051546396</v>
      </c>
      <c r="H81" s="120">
        <f t="shared" si="10"/>
        <v>30.927835051546396</v>
      </c>
    </row>
    <row r="82" spans="1:8" ht="20.25" customHeight="1" x14ac:dyDescent="0.3">
      <c r="A82" s="211"/>
      <c r="B82" s="198" t="s">
        <v>299</v>
      </c>
      <c r="C82" s="200" t="s">
        <v>285</v>
      </c>
      <c r="D82" s="14"/>
      <c r="E82" s="200" t="s">
        <v>300</v>
      </c>
      <c r="F82" s="14"/>
      <c r="G82" s="890" t="s">
        <v>276</v>
      </c>
      <c r="H82" s="890" t="s">
        <v>733</v>
      </c>
    </row>
    <row r="83" spans="1:8" ht="22.25" customHeight="1" x14ac:dyDescent="0.4">
      <c r="A83" s="211"/>
      <c r="B83" s="199">
        <f>$J$53</f>
        <v>14286</v>
      </c>
      <c r="C83" s="199">
        <f>E83+G83</f>
        <v>10000</v>
      </c>
      <c r="D83" s="930"/>
      <c r="E83" s="199">
        <f>$D$53*$S$44</f>
        <v>0</v>
      </c>
      <c r="F83" s="934"/>
      <c r="G83" s="199">
        <f>$D$53*$T$44</f>
        <v>10000</v>
      </c>
      <c r="H83" s="199">
        <f>B83+E83</f>
        <v>14286</v>
      </c>
    </row>
    <row r="84" spans="1:8" ht="14.25" customHeight="1" x14ac:dyDescent="0.3">
      <c r="B84" s="100"/>
      <c r="E84" s="100"/>
      <c r="F84" s="100"/>
    </row>
    <row r="85" spans="1:8" ht="17.75" customHeight="1" x14ac:dyDescent="0.3">
      <c r="A85" s="938"/>
      <c r="B85" s="1382" t="str">
        <f>"ملوخية دجاج  2 / " &amp; COUNTIF($C$53:$C$55, "&gt;0")</f>
        <v>ملوخية دجاج  2 / 3</v>
      </c>
      <c r="C85" s="1383"/>
      <c r="D85" s="1383"/>
      <c r="E85" s="1383"/>
      <c r="F85" s="1383"/>
      <c r="G85" s="1383"/>
      <c r="H85" s="1383"/>
    </row>
    <row r="86" spans="1:8" ht="17.75" customHeight="1" x14ac:dyDescent="0.3">
      <c r="A86" s="938"/>
      <c r="B86" s="1384" t="str">
        <f>"Chicken Molokeya  2 / " &amp; COUNTIF($C$53:$C$55, "&gt;0")</f>
        <v>Chicken Molokeya  2 / 3</v>
      </c>
      <c r="C86" s="1385"/>
      <c r="D86" s="1385"/>
      <c r="E86" s="1385"/>
      <c r="F86" s="1385"/>
      <c r="G86" s="1385"/>
      <c r="H86" s="1385"/>
    </row>
    <row r="87" spans="1:8" ht="40.5" customHeight="1" x14ac:dyDescent="0.3">
      <c r="A87" s="91"/>
      <c r="B87" s="91" t="s">
        <v>253</v>
      </c>
      <c r="C87" s="107" t="s">
        <v>254</v>
      </c>
      <c r="D87" s="91" t="s">
        <v>243</v>
      </c>
      <c r="E87" s="218" t="s">
        <v>246</v>
      </c>
      <c r="F87" s="108" t="s">
        <v>255</v>
      </c>
      <c r="G87" s="91" t="s">
        <v>256</v>
      </c>
      <c r="H87" s="218" t="s">
        <v>257</v>
      </c>
    </row>
    <row r="88" spans="1:8" ht="14.25" customHeight="1" x14ac:dyDescent="0.3">
      <c r="A88" s="270" t="s">
        <v>230</v>
      </c>
      <c r="B88" s="323" t="str">
        <f t="shared" ref="B88:D104" si="12">B5</f>
        <v>Chicken - دجاج</v>
      </c>
      <c r="C88" s="323" t="str">
        <f t="shared" si="12"/>
        <v>gm</v>
      </c>
      <c r="D88" s="323">
        <f t="shared" si="12"/>
        <v>2857.2</v>
      </c>
      <c r="E88" s="223">
        <f>H54</f>
        <v>10</v>
      </c>
      <c r="F88" s="127">
        <f t="shared" ref="F88:F104" si="13">F5</f>
        <v>1</v>
      </c>
      <c r="G88" s="119">
        <f t="shared" ref="G88:G104" si="14">D88*E88</f>
        <v>28572</v>
      </c>
      <c r="H88" s="120">
        <f t="shared" ref="H88:H104" si="15">G88*F88</f>
        <v>28572</v>
      </c>
    </row>
    <row r="89" spans="1:8" ht="14.25" customHeight="1" x14ac:dyDescent="0.3">
      <c r="A89" s="270" t="s">
        <v>13</v>
      </c>
      <c r="B89" s="323" t="str">
        <f t="shared" si="12"/>
        <v>Frozen Molokeya - ملوخية مجمدة</v>
      </c>
      <c r="C89" s="323" t="str">
        <f t="shared" si="12"/>
        <v>gm</v>
      </c>
      <c r="D89" s="323">
        <f t="shared" si="12"/>
        <v>520</v>
      </c>
      <c r="E89" s="223">
        <f t="shared" ref="E89:E104" si="16">$C$54</f>
        <v>10.309278350515465</v>
      </c>
      <c r="F89" s="127">
        <f t="shared" si="13"/>
        <v>1</v>
      </c>
      <c r="G89" s="119">
        <f t="shared" si="14"/>
        <v>5360.8247422680415</v>
      </c>
      <c r="H89" s="120">
        <f t="shared" si="15"/>
        <v>5360.8247422680415</v>
      </c>
    </row>
    <row r="90" spans="1:8" ht="14.25" customHeight="1" x14ac:dyDescent="0.3">
      <c r="A90" s="270" t="s">
        <v>210</v>
      </c>
      <c r="B90" s="323" t="str">
        <f t="shared" si="12"/>
        <v>Chicken Stock - مرق دجاج</v>
      </c>
      <c r="C90" s="323" t="str">
        <f t="shared" si="12"/>
        <v>ml</v>
      </c>
      <c r="D90" s="323">
        <f t="shared" si="12"/>
        <v>600</v>
      </c>
      <c r="E90" s="223">
        <f>$C$54</f>
        <v>10.309278350515465</v>
      </c>
      <c r="F90" s="127">
        <f t="shared" si="13"/>
        <v>0.95</v>
      </c>
      <c r="G90" s="119">
        <f t="shared" si="14"/>
        <v>6185.5670103092789</v>
      </c>
      <c r="H90" s="120">
        <f t="shared" si="15"/>
        <v>5876.288659793815</v>
      </c>
    </row>
    <row r="91" spans="1:8" ht="14.25" customHeight="1" x14ac:dyDescent="0.3">
      <c r="A91" s="270" t="s">
        <v>97</v>
      </c>
      <c r="B91" s="323" t="str">
        <f t="shared" si="12"/>
        <v>Cumin Powder - كمون مطحون</v>
      </c>
      <c r="C91" s="323" t="str">
        <f t="shared" si="12"/>
        <v>gm</v>
      </c>
      <c r="D91" s="323">
        <f t="shared" si="12"/>
        <v>4</v>
      </c>
      <c r="E91" s="223">
        <f t="shared" si="16"/>
        <v>10.309278350515465</v>
      </c>
      <c r="F91" s="127">
        <f t="shared" si="13"/>
        <v>0.75</v>
      </c>
      <c r="G91" s="119">
        <f t="shared" si="14"/>
        <v>41.237113402061858</v>
      </c>
      <c r="H91" s="120">
        <f t="shared" si="15"/>
        <v>30.927835051546396</v>
      </c>
    </row>
    <row r="92" spans="1:8" ht="14.25" customHeight="1" x14ac:dyDescent="0.3">
      <c r="A92" s="270" t="s">
        <v>97</v>
      </c>
      <c r="B92" s="323" t="str">
        <f t="shared" si="12"/>
        <v>Coriander Powder - كزبرة مطحونة</v>
      </c>
      <c r="C92" s="323" t="str">
        <f t="shared" si="12"/>
        <v>gm</v>
      </c>
      <c r="D92" s="323">
        <f t="shared" si="12"/>
        <v>4</v>
      </c>
      <c r="E92" s="223">
        <f t="shared" si="16"/>
        <v>10.309278350515465</v>
      </c>
      <c r="F92" s="127">
        <f t="shared" si="13"/>
        <v>0.75</v>
      </c>
      <c r="G92" s="119">
        <f t="shared" si="14"/>
        <v>41.237113402061858</v>
      </c>
      <c r="H92" s="120">
        <f t="shared" si="15"/>
        <v>30.927835051546396</v>
      </c>
    </row>
    <row r="93" spans="1:8" ht="14.25" customHeight="1" x14ac:dyDescent="0.3">
      <c r="A93" s="270" t="s">
        <v>97</v>
      </c>
      <c r="B93" s="323" t="str">
        <f t="shared" si="12"/>
        <v>Cinnamon Powder - قرفة مطحونة</v>
      </c>
      <c r="C93" s="323" t="str">
        <f t="shared" si="12"/>
        <v>gm</v>
      </c>
      <c r="D93" s="323">
        <f t="shared" si="12"/>
        <v>4</v>
      </c>
      <c r="E93" s="223">
        <f t="shared" si="16"/>
        <v>10.309278350515465</v>
      </c>
      <c r="F93" s="127">
        <f t="shared" si="13"/>
        <v>0.9</v>
      </c>
      <c r="G93" s="119">
        <f t="shared" si="14"/>
        <v>41.237113402061858</v>
      </c>
      <c r="H93" s="120">
        <f t="shared" si="15"/>
        <v>37.113402061855673</v>
      </c>
    </row>
    <row r="94" spans="1:8" ht="14.25" customHeight="1" x14ac:dyDescent="0.3">
      <c r="A94" s="270" t="s">
        <v>97</v>
      </c>
      <c r="B94" s="323" t="str">
        <f t="shared" si="12"/>
        <v>Black Pepper Powder - فلفل أسود مطحون</v>
      </c>
      <c r="C94" s="323" t="str">
        <f t="shared" si="12"/>
        <v>gm</v>
      </c>
      <c r="D94" s="323">
        <f t="shared" si="12"/>
        <v>4</v>
      </c>
      <c r="E94" s="223">
        <f t="shared" si="16"/>
        <v>10.309278350515465</v>
      </c>
      <c r="F94" s="127">
        <f t="shared" si="13"/>
        <v>0.9</v>
      </c>
      <c r="G94" s="119">
        <f t="shared" si="14"/>
        <v>41.237113402061858</v>
      </c>
      <c r="H94" s="120">
        <f t="shared" si="15"/>
        <v>37.113402061855673</v>
      </c>
    </row>
    <row r="95" spans="1:8" ht="14.25" customHeight="1" x14ac:dyDescent="0.3">
      <c r="A95" s="270" t="s">
        <v>97</v>
      </c>
      <c r="B95" s="323" t="str">
        <f t="shared" si="12"/>
        <v>Salt - ملح</v>
      </c>
      <c r="C95" s="323" t="str">
        <f t="shared" si="12"/>
        <v>gm</v>
      </c>
      <c r="D95" s="323">
        <f t="shared" si="12"/>
        <v>11</v>
      </c>
      <c r="E95" s="223">
        <f t="shared" si="16"/>
        <v>10.309278350515465</v>
      </c>
      <c r="F95" s="127">
        <f t="shared" si="13"/>
        <v>0.75</v>
      </c>
      <c r="G95" s="119">
        <f t="shared" si="14"/>
        <v>113.40206185567011</v>
      </c>
      <c r="H95" s="120">
        <f t="shared" si="15"/>
        <v>85.051546391752581</v>
      </c>
    </row>
    <row r="96" spans="1:8" ht="14.25" customHeight="1" x14ac:dyDescent="0.3">
      <c r="A96" s="270" t="s">
        <v>13</v>
      </c>
      <c r="B96" s="323" t="str">
        <f t="shared" si="12"/>
        <v>Garlic - ثوم مقشر</v>
      </c>
      <c r="C96" s="323" t="str">
        <f t="shared" si="12"/>
        <v>gm</v>
      </c>
      <c r="D96" s="323">
        <f t="shared" si="12"/>
        <v>25</v>
      </c>
      <c r="E96" s="223">
        <f t="shared" si="16"/>
        <v>10.309278350515465</v>
      </c>
      <c r="F96" s="127">
        <f t="shared" si="13"/>
        <v>1</v>
      </c>
      <c r="G96" s="119">
        <f t="shared" si="14"/>
        <v>257.73195876288662</v>
      </c>
      <c r="H96" s="120">
        <f t="shared" si="15"/>
        <v>257.73195876288662</v>
      </c>
    </row>
    <row r="97" spans="1:8" ht="14.25" customHeight="1" x14ac:dyDescent="0.3">
      <c r="A97" s="270" t="s">
        <v>158</v>
      </c>
      <c r="B97" s="323" t="str">
        <f t="shared" si="12"/>
        <v>Ghee - سمن</v>
      </c>
      <c r="C97" s="323" t="str">
        <f t="shared" si="12"/>
        <v>gm</v>
      </c>
      <c r="D97" s="323">
        <f t="shared" si="12"/>
        <v>38</v>
      </c>
      <c r="E97" s="223">
        <f t="shared" si="16"/>
        <v>10.309278350515465</v>
      </c>
      <c r="F97" s="127">
        <f t="shared" si="13"/>
        <v>1</v>
      </c>
      <c r="G97" s="119">
        <f t="shared" si="14"/>
        <v>391.75257731958766</v>
      </c>
      <c r="H97" s="120">
        <f t="shared" si="15"/>
        <v>391.75257731958766</v>
      </c>
    </row>
    <row r="98" spans="1:8" ht="14.25" customHeight="1" x14ac:dyDescent="0.3">
      <c r="A98" s="270" t="s">
        <v>220</v>
      </c>
      <c r="B98" s="323" t="str">
        <f t="shared" si="12"/>
        <v>Soda Bi Carb - بيكربونات الصوديوم</v>
      </c>
      <c r="C98" s="323" t="str">
        <f t="shared" si="12"/>
        <v>gm</v>
      </c>
      <c r="D98" s="323">
        <f t="shared" si="12"/>
        <v>11</v>
      </c>
      <c r="E98" s="223">
        <f t="shared" si="16"/>
        <v>10.309278350515465</v>
      </c>
      <c r="F98" s="127">
        <f t="shared" si="13"/>
        <v>1</v>
      </c>
      <c r="G98" s="119">
        <f t="shared" si="14"/>
        <v>113.40206185567011</v>
      </c>
      <c r="H98" s="120">
        <f t="shared" si="15"/>
        <v>113.40206185567011</v>
      </c>
    </row>
    <row r="99" spans="1:8" ht="14.25" customHeight="1" x14ac:dyDescent="0.3">
      <c r="A99" s="270" t="s">
        <v>97</v>
      </c>
      <c r="B99" s="323" t="str">
        <f t="shared" si="12"/>
        <v>Maggi Cubes - مكعبات ماجي</v>
      </c>
      <c r="C99" s="323" t="str">
        <f t="shared" si="12"/>
        <v>gm</v>
      </c>
      <c r="D99" s="323">
        <f t="shared" si="12"/>
        <v>10</v>
      </c>
      <c r="E99" s="223">
        <f t="shared" si="16"/>
        <v>10.309278350515465</v>
      </c>
      <c r="F99" s="127">
        <f t="shared" si="13"/>
        <v>1</v>
      </c>
      <c r="G99" s="119">
        <f t="shared" si="14"/>
        <v>103.09278350515464</v>
      </c>
      <c r="H99" s="120">
        <f t="shared" si="15"/>
        <v>103.09278350515464</v>
      </c>
    </row>
    <row r="100" spans="1:8" ht="14.25" customHeight="1" x14ac:dyDescent="0.3">
      <c r="A100" s="270" t="s">
        <v>97</v>
      </c>
      <c r="B100" s="323" t="str">
        <f t="shared" si="12"/>
        <v>Black Pepper Whole - فلفل أسود حب</v>
      </c>
      <c r="C100" s="323" t="str">
        <f t="shared" si="12"/>
        <v>gm</v>
      </c>
      <c r="D100" s="323">
        <f t="shared" si="12"/>
        <v>3</v>
      </c>
      <c r="E100" s="223">
        <f t="shared" si="16"/>
        <v>10.309278350515465</v>
      </c>
      <c r="F100" s="127">
        <f t="shared" si="13"/>
        <v>1</v>
      </c>
      <c r="G100" s="119">
        <f t="shared" si="14"/>
        <v>30.927835051546396</v>
      </c>
      <c r="H100" s="120">
        <f t="shared" si="15"/>
        <v>30.927835051546396</v>
      </c>
    </row>
    <row r="101" spans="1:8" ht="14.25" customHeight="1" x14ac:dyDescent="0.3">
      <c r="A101" s="270" t="s">
        <v>97</v>
      </c>
      <c r="B101" s="323" t="str">
        <f t="shared" si="12"/>
        <v>Cumin Whole - كمون حب</v>
      </c>
      <c r="C101" s="323" t="str">
        <f t="shared" si="12"/>
        <v>gm</v>
      </c>
      <c r="D101" s="323">
        <f t="shared" si="12"/>
        <v>3</v>
      </c>
      <c r="E101" s="223">
        <f t="shared" si="16"/>
        <v>10.309278350515465</v>
      </c>
      <c r="F101" s="127">
        <f t="shared" si="13"/>
        <v>1</v>
      </c>
      <c r="G101" s="119">
        <f t="shared" si="14"/>
        <v>30.927835051546396</v>
      </c>
      <c r="H101" s="120">
        <f t="shared" si="15"/>
        <v>30.927835051546396</v>
      </c>
    </row>
    <row r="102" spans="1:8" ht="14.25" customHeight="1" x14ac:dyDescent="0.3">
      <c r="A102" s="270" t="s">
        <v>97</v>
      </c>
      <c r="B102" s="323" t="str">
        <f t="shared" si="12"/>
        <v>Cloves Whole - قرنفل حب</v>
      </c>
      <c r="C102" s="323" t="str">
        <f t="shared" si="12"/>
        <v>gm</v>
      </c>
      <c r="D102" s="323">
        <f t="shared" si="12"/>
        <v>3</v>
      </c>
      <c r="E102" s="223">
        <f t="shared" si="16"/>
        <v>10.309278350515465</v>
      </c>
      <c r="F102" s="127">
        <f t="shared" si="13"/>
        <v>1</v>
      </c>
      <c r="G102" s="119">
        <f t="shared" si="14"/>
        <v>30.927835051546396</v>
      </c>
      <c r="H102" s="120">
        <f t="shared" si="15"/>
        <v>30.927835051546396</v>
      </c>
    </row>
    <row r="103" spans="1:8" ht="14.25" customHeight="1" x14ac:dyDescent="0.3">
      <c r="A103" s="270" t="s">
        <v>97</v>
      </c>
      <c r="B103" s="323" t="str">
        <f t="shared" si="12"/>
        <v>Cinnamon whole - قرفة أعواد</v>
      </c>
      <c r="C103" s="323" t="str">
        <f t="shared" si="12"/>
        <v>gm</v>
      </c>
      <c r="D103" s="323">
        <f t="shared" si="12"/>
        <v>3</v>
      </c>
      <c r="E103" s="223">
        <f t="shared" si="16"/>
        <v>10.309278350515465</v>
      </c>
      <c r="F103" s="127">
        <f t="shared" si="13"/>
        <v>1</v>
      </c>
      <c r="G103" s="119">
        <f t="shared" si="14"/>
        <v>30.927835051546396</v>
      </c>
      <c r="H103" s="120">
        <f t="shared" si="15"/>
        <v>30.927835051546396</v>
      </c>
    </row>
    <row r="104" spans="1:8" ht="14.25" customHeight="1" x14ac:dyDescent="0.3">
      <c r="A104" s="270" t="s">
        <v>97</v>
      </c>
      <c r="B104" s="323" t="str">
        <f t="shared" si="12"/>
        <v>Cardamom Whole - هيل حب</v>
      </c>
      <c r="C104" s="323" t="str">
        <f t="shared" si="12"/>
        <v>gm</v>
      </c>
      <c r="D104" s="323">
        <f t="shared" si="12"/>
        <v>3</v>
      </c>
      <c r="E104" s="223">
        <f t="shared" si="16"/>
        <v>10.309278350515465</v>
      </c>
      <c r="F104" s="127">
        <f t="shared" si="13"/>
        <v>1</v>
      </c>
      <c r="G104" s="119">
        <f t="shared" si="14"/>
        <v>30.927835051546396</v>
      </c>
      <c r="H104" s="120">
        <f t="shared" si="15"/>
        <v>30.927835051546396</v>
      </c>
    </row>
    <row r="105" spans="1:8" ht="20.25" customHeight="1" x14ac:dyDescent="0.3">
      <c r="A105" s="211"/>
      <c r="B105" s="198" t="s">
        <v>299</v>
      </c>
      <c r="C105" s="200" t="s">
        <v>285</v>
      </c>
      <c r="D105" s="14"/>
      <c r="E105" s="200" t="s">
        <v>300</v>
      </c>
      <c r="F105" s="14"/>
      <c r="G105" s="890" t="s">
        <v>276</v>
      </c>
      <c r="H105" s="890" t="s">
        <v>733</v>
      </c>
    </row>
    <row r="106" spans="1:8" ht="20" x14ac:dyDescent="0.4">
      <c r="A106" s="211"/>
      <c r="B106" s="199">
        <f>$J$54</f>
        <v>14286</v>
      </c>
      <c r="C106" s="199">
        <f>E106+G106</f>
        <v>10000</v>
      </c>
      <c r="D106" s="930"/>
      <c r="E106" s="199">
        <f>$D$54*$S$44</f>
        <v>0</v>
      </c>
      <c r="F106" s="934"/>
      <c r="G106" s="199">
        <f>$D$54*$T$44</f>
        <v>10000</v>
      </c>
      <c r="H106" s="199">
        <f>B106+E106</f>
        <v>14286</v>
      </c>
    </row>
    <row r="110" spans="1:8" ht="17.75" customHeight="1" x14ac:dyDescent="0.3">
      <c r="A110" s="938"/>
      <c r="B110" s="1382" t="str">
        <f>"ملوخية دجاج  3 / " &amp; COUNTIF($C$53:$C$55, "&gt;0")</f>
        <v>ملوخية دجاج  3 / 3</v>
      </c>
      <c r="C110" s="1383"/>
      <c r="D110" s="1383"/>
      <c r="E110" s="1383"/>
      <c r="F110" s="1383"/>
      <c r="G110" s="1383"/>
      <c r="H110" s="1383"/>
    </row>
    <row r="111" spans="1:8" ht="17.75" customHeight="1" x14ac:dyDescent="0.3">
      <c r="A111" s="938"/>
      <c r="B111" s="1384" t="str">
        <f>"Chicken Molokeya  3 / " &amp; COUNTIF($C$53:$C$55, "&gt;0")</f>
        <v>Chicken Molokeya  3 / 3</v>
      </c>
      <c r="C111" s="1385"/>
      <c r="D111" s="1385"/>
      <c r="E111" s="1385"/>
      <c r="F111" s="1385"/>
      <c r="G111" s="1385"/>
      <c r="H111" s="1385"/>
    </row>
    <row r="112" spans="1:8" ht="43.5" customHeight="1" x14ac:dyDescent="0.3">
      <c r="A112" s="91"/>
      <c r="B112" s="91" t="s">
        <v>253</v>
      </c>
      <c r="C112" s="107" t="s">
        <v>254</v>
      </c>
      <c r="D112" s="91" t="s">
        <v>243</v>
      </c>
      <c r="E112" s="218" t="s">
        <v>246</v>
      </c>
      <c r="F112" s="108" t="s">
        <v>255</v>
      </c>
      <c r="G112" s="91" t="s">
        <v>256</v>
      </c>
      <c r="H112" s="218" t="s">
        <v>257</v>
      </c>
    </row>
    <row r="113" spans="1:8" ht="14.25" customHeight="1" x14ac:dyDescent="0.3">
      <c r="A113" s="270" t="s">
        <v>230</v>
      </c>
      <c r="B113" s="124" t="str">
        <f t="shared" ref="B113:D129" si="17">B5</f>
        <v>Chicken - دجاج</v>
      </c>
      <c r="C113" s="124" t="str">
        <f t="shared" si="17"/>
        <v>gm</v>
      </c>
      <c r="D113" s="124">
        <f t="shared" si="17"/>
        <v>2857.2</v>
      </c>
      <c r="E113" s="223">
        <f>H$55</f>
        <v>3.2185356292874161</v>
      </c>
      <c r="F113" s="127">
        <f>F30</f>
        <v>0</v>
      </c>
      <c r="G113" s="119">
        <f t="shared" ref="G113:G129" si="18">D113*E113</f>
        <v>9196.0000000000055</v>
      </c>
      <c r="H113" s="120">
        <f t="shared" ref="H113:H129" si="19">G113*F113</f>
        <v>0</v>
      </c>
    </row>
    <row r="114" spans="1:8" ht="14.25" customHeight="1" x14ac:dyDescent="0.3">
      <c r="A114" s="270" t="s">
        <v>13</v>
      </c>
      <c r="B114" s="124" t="str">
        <f t="shared" si="17"/>
        <v>Frozen Molokeya - ملوخية مجمدة</v>
      </c>
      <c r="C114" s="124" t="str">
        <f t="shared" si="17"/>
        <v>gm</v>
      </c>
      <c r="D114" s="124">
        <f t="shared" si="17"/>
        <v>520</v>
      </c>
      <c r="E114" s="223">
        <f t="shared" ref="E114:E129" si="20">$C$55</f>
        <v>3.3185567010309285</v>
      </c>
      <c r="F114" s="127">
        <f t="shared" ref="F114:F129" si="21">F6</f>
        <v>1</v>
      </c>
      <c r="G114" s="119">
        <f t="shared" si="18"/>
        <v>1725.6494845360828</v>
      </c>
      <c r="H114" s="120">
        <f t="shared" si="19"/>
        <v>1725.6494845360828</v>
      </c>
    </row>
    <row r="115" spans="1:8" ht="14.25" customHeight="1" x14ac:dyDescent="0.3">
      <c r="A115" s="270" t="s">
        <v>210</v>
      </c>
      <c r="B115" s="124" t="str">
        <f t="shared" si="17"/>
        <v>Chicken Stock - مرق دجاج</v>
      </c>
      <c r="C115" s="124" t="str">
        <f t="shared" si="17"/>
        <v>ml</v>
      </c>
      <c r="D115" s="124">
        <f t="shared" si="17"/>
        <v>600</v>
      </c>
      <c r="E115" s="223">
        <f t="shared" si="20"/>
        <v>3.3185567010309285</v>
      </c>
      <c r="F115" s="127">
        <f t="shared" si="21"/>
        <v>0.95</v>
      </c>
      <c r="G115" s="119">
        <f t="shared" si="18"/>
        <v>1991.1340206185571</v>
      </c>
      <c r="H115" s="120">
        <f t="shared" si="19"/>
        <v>1891.5773195876291</v>
      </c>
    </row>
    <row r="116" spans="1:8" ht="14.25" customHeight="1" x14ac:dyDescent="0.3">
      <c r="A116" s="270" t="s">
        <v>97</v>
      </c>
      <c r="B116" s="124" t="str">
        <f t="shared" si="17"/>
        <v>Cumin Powder - كمون مطحون</v>
      </c>
      <c r="C116" s="124" t="str">
        <f t="shared" si="17"/>
        <v>gm</v>
      </c>
      <c r="D116" s="124">
        <f t="shared" si="17"/>
        <v>4</v>
      </c>
      <c r="E116" s="223">
        <f t="shared" si="20"/>
        <v>3.3185567010309285</v>
      </c>
      <c r="F116" s="127">
        <f t="shared" si="21"/>
        <v>0.75</v>
      </c>
      <c r="G116" s="119">
        <f t="shared" si="18"/>
        <v>13.274226804123714</v>
      </c>
      <c r="H116" s="120">
        <f t="shared" si="19"/>
        <v>9.9556701030927854</v>
      </c>
    </row>
    <row r="117" spans="1:8" ht="14.25" customHeight="1" x14ac:dyDescent="0.3">
      <c r="A117" s="270" t="s">
        <v>97</v>
      </c>
      <c r="B117" s="124" t="str">
        <f t="shared" si="17"/>
        <v>Coriander Powder - كزبرة مطحونة</v>
      </c>
      <c r="C117" s="124" t="str">
        <f t="shared" si="17"/>
        <v>gm</v>
      </c>
      <c r="D117" s="124">
        <f t="shared" si="17"/>
        <v>4</v>
      </c>
      <c r="E117" s="223">
        <f t="shared" si="20"/>
        <v>3.3185567010309285</v>
      </c>
      <c r="F117" s="127">
        <f t="shared" si="21"/>
        <v>0.75</v>
      </c>
      <c r="G117" s="119">
        <f t="shared" si="18"/>
        <v>13.274226804123714</v>
      </c>
      <c r="H117" s="120">
        <f t="shared" si="19"/>
        <v>9.9556701030927854</v>
      </c>
    </row>
    <row r="118" spans="1:8" ht="14.25" customHeight="1" x14ac:dyDescent="0.3">
      <c r="A118" s="270" t="s">
        <v>97</v>
      </c>
      <c r="B118" s="124" t="str">
        <f t="shared" si="17"/>
        <v>Cinnamon Powder - قرفة مطحونة</v>
      </c>
      <c r="C118" s="124" t="str">
        <f t="shared" si="17"/>
        <v>gm</v>
      </c>
      <c r="D118" s="124">
        <f t="shared" si="17"/>
        <v>4</v>
      </c>
      <c r="E118" s="223">
        <f t="shared" si="20"/>
        <v>3.3185567010309285</v>
      </c>
      <c r="F118" s="127">
        <f t="shared" si="21"/>
        <v>0.9</v>
      </c>
      <c r="G118" s="119">
        <f t="shared" si="18"/>
        <v>13.274226804123714</v>
      </c>
      <c r="H118" s="120">
        <f t="shared" si="19"/>
        <v>11.946804123711344</v>
      </c>
    </row>
    <row r="119" spans="1:8" ht="14.25" customHeight="1" x14ac:dyDescent="0.3">
      <c r="A119" s="270" t="s">
        <v>97</v>
      </c>
      <c r="B119" s="124" t="str">
        <f t="shared" si="17"/>
        <v>Black Pepper Powder - فلفل أسود مطحون</v>
      </c>
      <c r="C119" s="124" t="str">
        <f t="shared" si="17"/>
        <v>gm</v>
      </c>
      <c r="D119" s="124">
        <f t="shared" si="17"/>
        <v>4</v>
      </c>
      <c r="E119" s="223">
        <f t="shared" si="20"/>
        <v>3.3185567010309285</v>
      </c>
      <c r="F119" s="127">
        <f t="shared" si="21"/>
        <v>0.9</v>
      </c>
      <c r="G119" s="119">
        <f t="shared" si="18"/>
        <v>13.274226804123714</v>
      </c>
      <c r="H119" s="120">
        <f t="shared" si="19"/>
        <v>11.946804123711344</v>
      </c>
    </row>
    <row r="120" spans="1:8" ht="14.25" customHeight="1" x14ac:dyDescent="0.3">
      <c r="A120" s="270" t="s">
        <v>97</v>
      </c>
      <c r="B120" s="124" t="str">
        <f t="shared" si="17"/>
        <v>Salt - ملح</v>
      </c>
      <c r="C120" s="124" t="str">
        <f t="shared" si="17"/>
        <v>gm</v>
      </c>
      <c r="D120" s="124">
        <f t="shared" si="17"/>
        <v>11</v>
      </c>
      <c r="E120" s="223">
        <f t="shared" si="20"/>
        <v>3.3185567010309285</v>
      </c>
      <c r="F120" s="127">
        <f t="shared" si="21"/>
        <v>0.75</v>
      </c>
      <c r="G120" s="119">
        <f t="shared" si="18"/>
        <v>36.504123711340213</v>
      </c>
      <c r="H120" s="120">
        <f t="shared" si="19"/>
        <v>27.37809278350516</v>
      </c>
    </row>
    <row r="121" spans="1:8" ht="14.25" customHeight="1" x14ac:dyDescent="0.3">
      <c r="A121" s="270" t="s">
        <v>13</v>
      </c>
      <c r="B121" s="124" t="str">
        <f t="shared" si="17"/>
        <v>Garlic - ثوم مقشر</v>
      </c>
      <c r="C121" s="124" t="str">
        <f t="shared" si="17"/>
        <v>gm</v>
      </c>
      <c r="D121" s="124">
        <f t="shared" si="17"/>
        <v>25</v>
      </c>
      <c r="E121" s="223">
        <f t="shared" si="20"/>
        <v>3.3185567010309285</v>
      </c>
      <c r="F121" s="127">
        <f t="shared" si="21"/>
        <v>1</v>
      </c>
      <c r="G121" s="119">
        <f t="shared" si="18"/>
        <v>82.963917525773212</v>
      </c>
      <c r="H121" s="120">
        <f t="shared" si="19"/>
        <v>82.963917525773212</v>
      </c>
    </row>
    <row r="122" spans="1:8" ht="14.25" customHeight="1" x14ac:dyDescent="0.3">
      <c r="A122" s="270" t="s">
        <v>158</v>
      </c>
      <c r="B122" s="124" t="str">
        <f t="shared" si="17"/>
        <v>Ghee - سمن</v>
      </c>
      <c r="C122" s="124" t="str">
        <f t="shared" si="17"/>
        <v>gm</v>
      </c>
      <c r="D122" s="124">
        <f t="shared" si="17"/>
        <v>38</v>
      </c>
      <c r="E122" s="223">
        <f t="shared" si="20"/>
        <v>3.3185567010309285</v>
      </c>
      <c r="F122" s="127">
        <f t="shared" si="21"/>
        <v>1</v>
      </c>
      <c r="G122" s="119">
        <f t="shared" si="18"/>
        <v>126.10515463917528</v>
      </c>
      <c r="H122" s="120">
        <f t="shared" si="19"/>
        <v>126.10515463917528</v>
      </c>
    </row>
    <row r="123" spans="1:8" ht="14.25" customHeight="1" x14ac:dyDescent="0.3">
      <c r="A123" s="270" t="s">
        <v>220</v>
      </c>
      <c r="B123" s="124" t="str">
        <f t="shared" si="17"/>
        <v>Soda Bi Carb - بيكربونات الصوديوم</v>
      </c>
      <c r="C123" s="124" t="str">
        <f t="shared" si="17"/>
        <v>gm</v>
      </c>
      <c r="D123" s="124">
        <f t="shared" si="17"/>
        <v>11</v>
      </c>
      <c r="E123" s="223">
        <f t="shared" si="20"/>
        <v>3.3185567010309285</v>
      </c>
      <c r="F123" s="127">
        <f t="shared" si="21"/>
        <v>1</v>
      </c>
      <c r="G123" s="119">
        <f t="shared" si="18"/>
        <v>36.504123711340213</v>
      </c>
      <c r="H123" s="120">
        <f t="shared" si="19"/>
        <v>36.504123711340213</v>
      </c>
    </row>
    <row r="124" spans="1:8" ht="14.25" customHeight="1" x14ac:dyDescent="0.3">
      <c r="A124" s="270" t="s">
        <v>97</v>
      </c>
      <c r="B124" s="124" t="str">
        <f t="shared" si="17"/>
        <v>Maggi Cubes - مكعبات ماجي</v>
      </c>
      <c r="C124" s="124" t="str">
        <f t="shared" si="17"/>
        <v>gm</v>
      </c>
      <c r="D124" s="124">
        <f t="shared" si="17"/>
        <v>10</v>
      </c>
      <c r="E124" s="223">
        <f t="shared" si="20"/>
        <v>3.3185567010309285</v>
      </c>
      <c r="F124" s="127">
        <f t="shared" si="21"/>
        <v>1</v>
      </c>
      <c r="G124" s="119">
        <f t="shared" si="18"/>
        <v>33.185567010309285</v>
      </c>
      <c r="H124" s="120">
        <f t="shared" si="19"/>
        <v>33.185567010309285</v>
      </c>
    </row>
    <row r="125" spans="1:8" ht="14.25" customHeight="1" x14ac:dyDescent="0.3">
      <c r="A125" s="270" t="s">
        <v>97</v>
      </c>
      <c r="B125" s="124" t="str">
        <f t="shared" si="17"/>
        <v>Black Pepper Whole - فلفل أسود حب</v>
      </c>
      <c r="C125" s="124" t="str">
        <f t="shared" si="17"/>
        <v>gm</v>
      </c>
      <c r="D125" s="124">
        <f t="shared" si="17"/>
        <v>3</v>
      </c>
      <c r="E125" s="223">
        <f t="shared" si="20"/>
        <v>3.3185567010309285</v>
      </c>
      <c r="F125" s="127">
        <f t="shared" si="21"/>
        <v>1</v>
      </c>
      <c r="G125" s="119">
        <f t="shared" si="18"/>
        <v>9.9556701030927854</v>
      </c>
      <c r="H125" s="120">
        <f t="shared" si="19"/>
        <v>9.9556701030927854</v>
      </c>
    </row>
    <row r="126" spans="1:8" ht="14.25" customHeight="1" x14ac:dyDescent="0.3">
      <c r="A126" s="270" t="s">
        <v>97</v>
      </c>
      <c r="B126" s="124" t="str">
        <f t="shared" si="17"/>
        <v>Cumin Whole - كمون حب</v>
      </c>
      <c r="C126" s="124" t="str">
        <f t="shared" si="17"/>
        <v>gm</v>
      </c>
      <c r="D126" s="124">
        <f t="shared" si="17"/>
        <v>3</v>
      </c>
      <c r="E126" s="223">
        <f t="shared" si="20"/>
        <v>3.3185567010309285</v>
      </c>
      <c r="F126" s="127">
        <f t="shared" si="21"/>
        <v>1</v>
      </c>
      <c r="G126" s="119">
        <f t="shared" si="18"/>
        <v>9.9556701030927854</v>
      </c>
      <c r="H126" s="120">
        <f t="shared" si="19"/>
        <v>9.9556701030927854</v>
      </c>
    </row>
    <row r="127" spans="1:8" ht="14.25" customHeight="1" x14ac:dyDescent="0.3">
      <c r="A127" s="270" t="s">
        <v>97</v>
      </c>
      <c r="B127" s="124" t="str">
        <f t="shared" si="17"/>
        <v>Cloves Whole - قرنفل حب</v>
      </c>
      <c r="C127" s="124" t="str">
        <f t="shared" si="17"/>
        <v>gm</v>
      </c>
      <c r="D127" s="124">
        <f t="shared" si="17"/>
        <v>3</v>
      </c>
      <c r="E127" s="223">
        <f t="shared" si="20"/>
        <v>3.3185567010309285</v>
      </c>
      <c r="F127" s="127">
        <f t="shared" si="21"/>
        <v>1</v>
      </c>
      <c r="G127" s="119">
        <f t="shared" si="18"/>
        <v>9.9556701030927854</v>
      </c>
      <c r="H127" s="120">
        <f t="shared" si="19"/>
        <v>9.9556701030927854</v>
      </c>
    </row>
    <row r="128" spans="1:8" ht="14.25" customHeight="1" x14ac:dyDescent="0.3">
      <c r="A128" s="270" t="s">
        <v>97</v>
      </c>
      <c r="B128" s="124" t="str">
        <f t="shared" si="17"/>
        <v>Cinnamon whole - قرفة أعواد</v>
      </c>
      <c r="C128" s="124" t="str">
        <f t="shared" si="17"/>
        <v>gm</v>
      </c>
      <c r="D128" s="124">
        <f t="shared" si="17"/>
        <v>3</v>
      </c>
      <c r="E128" s="223">
        <f t="shared" si="20"/>
        <v>3.3185567010309285</v>
      </c>
      <c r="F128" s="127">
        <f t="shared" si="21"/>
        <v>1</v>
      </c>
      <c r="G128" s="119">
        <f t="shared" si="18"/>
        <v>9.9556701030927854</v>
      </c>
      <c r="H128" s="120">
        <f t="shared" si="19"/>
        <v>9.9556701030927854</v>
      </c>
    </row>
    <row r="129" spans="1:10" ht="20.25" customHeight="1" x14ac:dyDescent="0.4">
      <c r="A129" s="270" t="s">
        <v>97</v>
      </c>
      <c r="B129" s="124" t="str">
        <f t="shared" si="17"/>
        <v>Cardamom Whole - هيل حب</v>
      </c>
      <c r="C129" s="124" t="str">
        <f t="shared" si="17"/>
        <v>gm</v>
      </c>
      <c r="D129" s="124">
        <f t="shared" si="17"/>
        <v>3</v>
      </c>
      <c r="E129" s="223">
        <f t="shared" si="20"/>
        <v>3.3185567010309285</v>
      </c>
      <c r="F129" s="127">
        <f t="shared" si="21"/>
        <v>1</v>
      </c>
      <c r="G129" s="119">
        <f t="shared" si="18"/>
        <v>9.9556701030927854</v>
      </c>
      <c r="H129" s="120">
        <f t="shared" si="19"/>
        <v>9.9556701030927854</v>
      </c>
      <c r="I129" s="204"/>
      <c r="J129" s="203"/>
    </row>
    <row r="130" spans="1:10" ht="20.25" customHeight="1" x14ac:dyDescent="0.3">
      <c r="A130" s="211"/>
      <c r="B130" s="198" t="s">
        <v>299</v>
      </c>
      <c r="C130" s="200" t="s">
        <v>285</v>
      </c>
      <c r="D130" s="14"/>
      <c r="E130" s="200" t="s">
        <v>300</v>
      </c>
      <c r="F130" s="14"/>
      <c r="G130" s="890" t="s">
        <v>276</v>
      </c>
      <c r="H130" s="890" t="s">
        <v>733</v>
      </c>
    </row>
    <row r="131" spans="1:10" ht="20" x14ac:dyDescent="0.4">
      <c r="A131" s="211"/>
      <c r="B131" s="199">
        <f>$J$55</f>
        <v>4598</v>
      </c>
      <c r="C131" s="199">
        <f>E131+G131</f>
        <v>3219.0000000000009</v>
      </c>
      <c r="D131" s="930"/>
      <c r="E131" s="199">
        <f>$D$55*$S$44</f>
        <v>0</v>
      </c>
      <c r="F131" s="934"/>
      <c r="G131" s="199">
        <f>$D$55*$T$44</f>
        <v>3219.0000000000009</v>
      </c>
      <c r="H131" s="199">
        <f>B131+E131</f>
        <v>4598</v>
      </c>
    </row>
  </sheetData>
  <mergeCells count="9">
    <mergeCell ref="B111:H111"/>
    <mergeCell ref="B2:K3"/>
    <mergeCell ref="B63:H63"/>
    <mergeCell ref="B85:H85"/>
    <mergeCell ref="B110:H110"/>
    <mergeCell ref="R26:U26"/>
    <mergeCell ref="R25:U25"/>
    <mergeCell ref="B62:H62"/>
    <mergeCell ref="B86:H86"/>
  </mergeCells>
  <printOptions horizontalCentered="1"/>
  <pageMargins left="0.5" right="0.5" top="1" bottom="0.5" header="0.3" footer="0.511811023622047"/>
  <pageSetup paperSize="9" scale="31" orientation="portrait" r:id="rId1"/>
  <legacyDrawing r:id="rId2"/>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75">
    <tabColor rgb="FFFF0000"/>
    <pageSetUpPr fitToPage="1"/>
  </sheetPr>
  <dimension ref="A1:AP974"/>
  <sheetViews>
    <sheetView zoomScale="85" zoomScaleNormal="85" workbookViewId="0">
      <selection activeCell="D5" sqref="D5:D6"/>
    </sheetView>
  </sheetViews>
  <sheetFormatPr defaultColWidth="12.5" defaultRowHeight="12.5" x14ac:dyDescent="0.25"/>
  <cols>
    <col min="1" max="1" width="12.5" style="14" customWidth="1"/>
    <col min="2" max="2" width="38.33203125" style="14" customWidth="1"/>
    <col min="3" max="3" width="24"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5" width="3.83203125" style="14" customWidth="1"/>
    <col min="16" max="17" width="12.5" style="14" customWidth="1"/>
    <col min="18" max="18" width="24.6640625" style="14" customWidth="1"/>
    <col min="19" max="19" width="15.9140625" style="14" customWidth="1"/>
    <col min="20" max="27" width="12.5" style="14" customWidth="1"/>
    <col min="28" max="28" width="11" style="14" bestFit="1" customWidth="1"/>
    <col min="29" max="29" width="11.75" style="14" bestFit="1" customWidth="1"/>
    <col min="30" max="30" width="13.25" style="14" bestFit="1" customWidth="1"/>
    <col min="31" max="31" width="7" style="828" bestFit="1" customWidth="1"/>
    <col min="32" max="32" width="6.25" style="828" customWidth="1"/>
    <col min="33" max="35" width="6.25" style="14" customWidth="1"/>
    <col min="36" max="36" width="36.9140625" style="14" customWidth="1"/>
    <col min="37" max="37" width="12.5" style="14" customWidth="1"/>
    <col min="38" max="16384" width="12.5" style="14"/>
  </cols>
  <sheetData>
    <row r="1" spans="1:32" ht="28.5" customHeight="1" x14ac:dyDescent="0.3">
      <c r="B1" s="80" t="s">
        <v>343</v>
      </c>
      <c r="C1" s="81">
        <v>1</v>
      </c>
      <c r="D1" s="82" t="s">
        <v>244</v>
      </c>
      <c r="E1" s="117">
        <f>156</f>
        <v>156</v>
      </c>
      <c r="F1" s="80" t="s">
        <v>245</v>
      </c>
      <c r="G1" s="117">
        <f>E1/C1</f>
        <v>156</v>
      </c>
      <c r="H1" s="80" t="s">
        <v>246</v>
      </c>
      <c r="I1" s="117"/>
      <c r="J1" s="326" t="s">
        <v>247</v>
      </c>
      <c r="K1" s="327">
        <v>1</v>
      </c>
      <c r="L1" s="100"/>
      <c r="M1" s="100"/>
      <c r="N1" s="100"/>
      <c r="O1" s="91" t="s">
        <v>248</v>
      </c>
      <c r="P1" s="92" t="s">
        <v>502</v>
      </c>
      <c r="Q1" s="93" t="s">
        <v>250</v>
      </c>
      <c r="R1" s="466">
        <v>0.5</v>
      </c>
      <c r="S1" s="93" t="s">
        <v>345</v>
      </c>
      <c r="T1" s="1345">
        <v>75</v>
      </c>
      <c r="U1" s="100"/>
      <c r="V1" s="100"/>
      <c r="Y1" s="91" t="s">
        <v>479</v>
      </c>
      <c r="Z1" s="847">
        <v>182</v>
      </c>
      <c r="AA1" s="91" t="s">
        <v>600</v>
      </c>
      <c r="AB1" s="847">
        <v>5</v>
      </c>
      <c r="AC1" s="91" t="s">
        <v>587</v>
      </c>
      <c r="AD1" s="847">
        <v>182</v>
      </c>
      <c r="AE1" s="91" t="s">
        <v>578</v>
      </c>
      <c r="AF1" s="847">
        <f>Z1+AB1</f>
        <v>187</v>
      </c>
    </row>
    <row r="2" spans="1:32" ht="12.75" customHeight="1" x14ac:dyDescent="0.25">
      <c r="A2" s="330"/>
      <c r="B2" s="1408" t="s">
        <v>503</v>
      </c>
      <c r="C2" s="1429"/>
      <c r="D2" s="1429"/>
      <c r="E2" s="1429"/>
      <c r="F2" s="1429"/>
      <c r="G2" s="1429"/>
      <c r="H2" s="1429"/>
      <c r="I2" s="330"/>
      <c r="J2" s="330"/>
      <c r="K2" s="330"/>
      <c r="L2" s="293"/>
      <c r="M2" s="100"/>
      <c r="N2" s="100"/>
      <c r="O2" s="100"/>
      <c r="P2" s="100"/>
      <c r="Q2" s="100"/>
      <c r="R2" s="100"/>
      <c r="S2" s="100"/>
      <c r="T2" s="100"/>
      <c r="U2" s="100"/>
    </row>
    <row r="3" spans="1:32" ht="12.75" customHeight="1" x14ac:dyDescent="0.3">
      <c r="A3" s="330"/>
      <c r="B3" s="1388"/>
      <c r="C3" s="1388"/>
      <c r="D3" s="1388"/>
      <c r="E3" s="1388"/>
      <c r="F3" s="1388"/>
      <c r="G3" s="1388"/>
      <c r="H3" s="1388"/>
      <c r="I3" s="614"/>
      <c r="J3" s="614"/>
      <c r="K3" s="614"/>
      <c r="L3" s="293"/>
      <c r="M3" s="100"/>
      <c r="N3" s="100"/>
      <c r="O3" s="100"/>
      <c r="P3" s="100"/>
      <c r="Q3" s="100"/>
      <c r="R3" s="100"/>
      <c r="S3" s="100"/>
      <c r="T3" s="100"/>
      <c r="U3" s="100"/>
    </row>
    <row r="4" spans="1:32" ht="68.75" customHeight="1" x14ac:dyDescent="0.25">
      <c r="A4" s="91" t="s">
        <v>1</v>
      </c>
      <c r="B4" s="91" t="s">
        <v>253</v>
      </c>
      <c r="C4" s="107" t="s">
        <v>254</v>
      </c>
      <c r="D4" s="91" t="s">
        <v>519</v>
      </c>
      <c r="E4" s="108" t="s">
        <v>246</v>
      </c>
      <c r="F4" s="108" t="s">
        <v>255</v>
      </c>
      <c r="G4" s="91" t="s">
        <v>256</v>
      </c>
      <c r="H4" s="331" t="s">
        <v>347</v>
      </c>
      <c r="I4" s="91" t="s">
        <v>258</v>
      </c>
      <c r="J4" s="91" t="s">
        <v>259</v>
      </c>
      <c r="K4" s="91" t="s">
        <v>260</v>
      </c>
      <c r="L4" s="91" t="s">
        <v>261</v>
      </c>
      <c r="M4" s="371"/>
      <c r="N4" s="100"/>
      <c r="O4" s="100"/>
      <c r="P4" s="100"/>
      <c r="Q4" s="100"/>
      <c r="R4" s="100"/>
      <c r="S4" s="100"/>
    </row>
    <row r="5" spans="1:32" ht="14.25" customHeight="1" x14ac:dyDescent="0.3">
      <c r="A5" s="403" t="s">
        <v>230</v>
      </c>
      <c r="B5" s="615" t="s">
        <v>237</v>
      </c>
      <c r="C5" s="419" t="s">
        <v>14</v>
      </c>
      <c r="D5" s="448">
        <f>(T1*0.8)/R1</f>
        <v>120</v>
      </c>
      <c r="E5" s="197">
        <f>H53</f>
        <v>187</v>
      </c>
      <c r="F5" s="127">
        <v>1</v>
      </c>
      <c r="G5" s="249">
        <f>D5*E5</f>
        <v>22440</v>
      </c>
      <c r="H5" s="120">
        <f>G5*F5</f>
        <v>22440</v>
      </c>
      <c r="I5" s="81">
        <f>VLOOKUP(B5,All_Ingredients!$A$1:$F$151,6,FALSE())</f>
        <v>0.99</v>
      </c>
      <c r="J5" s="119">
        <f>VLOOKUP(B5,All_Ingredients!$A$1:$J$151,10,FALSE())</f>
        <v>0</v>
      </c>
      <c r="K5" s="122">
        <f>(H5/I5)/1000</f>
        <v>22.666666666666668</v>
      </c>
      <c r="L5" s="122">
        <f>K5*J5</f>
        <v>0</v>
      </c>
      <c r="M5" s="131"/>
      <c r="R5" s="532" t="s">
        <v>731</v>
      </c>
    </row>
    <row r="6" spans="1:32" ht="14.25" customHeight="1" x14ac:dyDescent="0.25">
      <c r="A6" s="404"/>
      <c r="B6" s="323" t="s">
        <v>231</v>
      </c>
      <c r="C6" s="334" t="s">
        <v>14</v>
      </c>
      <c r="D6" s="116">
        <f>(T1*0.2)/R1</f>
        <v>30</v>
      </c>
      <c r="E6" s="197">
        <f>H54</f>
        <v>187</v>
      </c>
      <c r="F6" s="127">
        <v>1</v>
      </c>
      <c r="G6" s="121">
        <f>D6*E6</f>
        <v>5610</v>
      </c>
      <c r="H6" s="120">
        <f>G6*F6</f>
        <v>5610</v>
      </c>
      <c r="I6" s="81">
        <f>VLOOKUP(B6,All_Ingredients!$A$1:$F$151,6,FALSE())</f>
        <v>1</v>
      </c>
      <c r="J6" s="119">
        <f>VLOOKUP(B6,All_Ingredients!$A$1:$J$151,10,FALSE())</f>
        <v>30</v>
      </c>
      <c r="K6" s="122">
        <f>(H6/I6)/1000</f>
        <v>5.61</v>
      </c>
      <c r="L6" s="122">
        <f>K6*J6</f>
        <v>168.3</v>
      </c>
      <c r="M6" s="131"/>
    </row>
    <row r="7" spans="1:32" ht="14.25" customHeight="1" x14ac:dyDescent="0.3">
      <c r="B7" s="323" t="s">
        <v>865</v>
      </c>
      <c r="C7" s="124" t="s">
        <v>241</v>
      </c>
      <c r="D7" s="116">
        <v>1</v>
      </c>
      <c r="E7" s="116">
        <f>$Z$1+$AB$1</f>
        <v>187</v>
      </c>
      <c r="F7" s="127">
        <v>1</v>
      </c>
      <c r="G7" s="121">
        <f>D7*($Z$1+$AB$1)</f>
        <v>187</v>
      </c>
      <c r="H7" s="120">
        <f>G7*F7</f>
        <v>187</v>
      </c>
      <c r="I7" s="81">
        <f>VLOOKUP(B7,All_Ingredients!$A$1:$F$151,6,FALSE())</f>
        <v>1</v>
      </c>
      <c r="J7" s="119">
        <f>VLOOKUP(B7,All_Ingredients!$A$1:$J$151,10,FALSE())</f>
        <v>2</v>
      </c>
      <c r="K7" s="175">
        <f>H7*I7</f>
        <v>187</v>
      </c>
      <c r="L7" s="122">
        <f>K7*J7</f>
        <v>374</v>
      </c>
      <c r="M7" s="131"/>
      <c r="R7" s="532" t="s">
        <v>732</v>
      </c>
    </row>
    <row r="8" spans="1:32" ht="14" customHeight="1" x14ac:dyDescent="0.25">
      <c r="B8" s="349"/>
      <c r="C8" s="133"/>
      <c r="D8" s="333"/>
      <c r="E8" s="333"/>
      <c r="F8" s="136"/>
      <c r="G8" s="140"/>
      <c r="H8" s="138"/>
      <c r="I8" s="92"/>
      <c r="J8" s="137"/>
      <c r="K8" s="556"/>
      <c r="L8" s="131"/>
      <c r="M8" s="131"/>
    </row>
    <row r="9" spans="1:32" ht="14.25" customHeight="1" x14ac:dyDescent="0.25">
      <c r="B9" s="94" t="s">
        <v>262</v>
      </c>
      <c r="C9" s="94">
        <v>10000</v>
      </c>
      <c r="D9" s="628" t="s">
        <v>540</v>
      </c>
      <c r="E9" s="629">
        <f>$S$30*$T$1</f>
        <v>14025</v>
      </c>
      <c r="F9" s="94" t="s">
        <v>251</v>
      </c>
      <c r="G9" s="329">
        <f>(($S$30*$T$1)/$R$1)/$C$9</f>
        <v>2.8050000000000002</v>
      </c>
      <c r="H9" s="95"/>
      <c r="I9" s="92"/>
      <c r="J9" s="137"/>
      <c r="K9" s="131"/>
      <c r="L9" s="131"/>
      <c r="M9" s="131"/>
    </row>
    <row r="10" spans="1:32" ht="9.5" customHeight="1" x14ac:dyDescent="0.25">
      <c r="B10" s="101"/>
      <c r="C10" s="1386" t="s">
        <v>509</v>
      </c>
      <c r="D10" s="1386"/>
      <c r="E10" s="1386"/>
      <c r="F10" s="101"/>
      <c r="G10" s="101"/>
      <c r="H10" s="101"/>
      <c r="I10" s="92"/>
      <c r="J10" s="137"/>
      <c r="K10" s="131"/>
      <c r="L10" s="131"/>
      <c r="M10" s="131"/>
    </row>
    <row r="11" spans="1:32" ht="26" customHeight="1" x14ac:dyDescent="0.25">
      <c r="B11" s="646"/>
      <c r="C11" s="101"/>
      <c r="D11" s="101"/>
      <c r="E11" s="101"/>
      <c r="F11" s="101"/>
      <c r="G11" s="101"/>
      <c r="H11" s="101"/>
      <c r="I11" s="92"/>
      <c r="J11" s="137"/>
      <c r="K11" s="131"/>
      <c r="L11" s="131"/>
      <c r="M11" s="131"/>
    </row>
    <row r="12" spans="1:32" ht="22.25" customHeight="1" x14ac:dyDescent="0.25">
      <c r="B12" s="94" t="s">
        <v>253</v>
      </c>
      <c r="C12" s="530" t="s">
        <v>254</v>
      </c>
      <c r="D12" s="94" t="s">
        <v>262</v>
      </c>
      <c r="E12" s="94" t="s">
        <v>246</v>
      </c>
      <c r="F12" s="94" t="s">
        <v>255</v>
      </c>
      <c r="G12" s="94" t="s">
        <v>256</v>
      </c>
      <c r="H12" s="94" t="s">
        <v>347</v>
      </c>
      <c r="I12" s="91" t="s">
        <v>258</v>
      </c>
      <c r="J12" s="91" t="s">
        <v>259</v>
      </c>
      <c r="K12" s="91" t="s">
        <v>260</v>
      </c>
      <c r="L12" s="91" t="s">
        <v>261</v>
      </c>
      <c r="M12" s="131"/>
    </row>
    <row r="13" spans="1:32" ht="14.25" customHeight="1" x14ac:dyDescent="0.25">
      <c r="B13" s="323" t="s">
        <v>56</v>
      </c>
      <c r="C13" s="334" t="s">
        <v>14</v>
      </c>
      <c r="D13" s="116">
        <v>350</v>
      </c>
      <c r="E13" s="126">
        <f t="shared" ref="E13:E24" si="0">$G$9</f>
        <v>2.8050000000000002</v>
      </c>
      <c r="F13" s="299">
        <v>1</v>
      </c>
      <c r="G13" s="119">
        <f t="shared" ref="G13:G21" si="1">D13*E13</f>
        <v>981.75</v>
      </c>
      <c r="H13" s="207">
        <f t="shared" ref="H13:H24" si="2">G13*F13</f>
        <v>981.75</v>
      </c>
      <c r="I13" s="81">
        <f>VLOOKUP(B13,All_Ingredients!$A$1:$F$151,6,FALSE())</f>
        <v>0.87</v>
      </c>
      <c r="J13" s="119">
        <f>VLOOKUP(B13,All_Ingredients!$A$1:$J$151,10,FALSE())</f>
        <v>7</v>
      </c>
      <c r="K13" s="122">
        <f>(H13/I13)/1000</f>
        <v>1.1284482758620691</v>
      </c>
      <c r="L13" s="122">
        <f>K13*J13</f>
        <v>7.8991379310344838</v>
      </c>
      <c r="M13" s="131"/>
    </row>
    <row r="14" spans="1:32" ht="14.25" customHeight="1" x14ac:dyDescent="0.25">
      <c r="B14" s="323" t="s">
        <v>792</v>
      </c>
      <c r="C14" s="334" t="s">
        <v>14</v>
      </c>
      <c r="D14" s="116">
        <v>300</v>
      </c>
      <c r="E14" s="126">
        <f t="shared" si="0"/>
        <v>2.8050000000000002</v>
      </c>
      <c r="F14" s="299">
        <v>1</v>
      </c>
      <c r="G14" s="119">
        <f t="shared" si="1"/>
        <v>841.5</v>
      </c>
      <c r="H14" s="207">
        <f t="shared" si="2"/>
        <v>841.5</v>
      </c>
      <c r="I14" s="81">
        <f>VLOOKUP(B14,All_Ingredients!$A$1:$F$151,6,FALSE())</f>
        <v>1</v>
      </c>
      <c r="J14" s="119">
        <f>VLOOKUP(B14,All_Ingredients!$A$1:$J$151,10,FALSE())</f>
        <v>10.5</v>
      </c>
      <c r="K14" s="122">
        <f>(H14/I14)/1000</f>
        <v>0.84150000000000003</v>
      </c>
      <c r="L14" s="122">
        <f>K14*J14</f>
        <v>8.8357500000000009</v>
      </c>
      <c r="M14" s="131"/>
    </row>
    <row r="15" spans="1:32" s="557" customFormat="1" ht="14.25" customHeight="1" x14ac:dyDescent="0.25">
      <c r="A15" s="14"/>
      <c r="B15" s="323" t="s">
        <v>12</v>
      </c>
      <c r="C15" s="334" t="s">
        <v>14</v>
      </c>
      <c r="D15" s="116">
        <v>1200</v>
      </c>
      <c r="E15" s="126">
        <f t="shared" si="0"/>
        <v>2.8050000000000002</v>
      </c>
      <c r="F15" s="299">
        <v>1</v>
      </c>
      <c r="G15" s="119">
        <f t="shared" si="1"/>
        <v>3366</v>
      </c>
      <c r="H15" s="207">
        <f t="shared" si="2"/>
        <v>3366</v>
      </c>
      <c r="I15" s="81">
        <f>VLOOKUP(B15,All_Ingredients!$A$1:$F$151,6,FALSE())</f>
        <v>0.9</v>
      </c>
      <c r="J15" s="119">
        <f>VLOOKUP(B15,All_Ingredients!$A$1:$J$151,10,FALSE())</f>
        <v>3</v>
      </c>
      <c r="K15" s="122">
        <f t="shared" ref="K15:K24" si="3">(H15/I15)/1000</f>
        <v>3.74</v>
      </c>
      <c r="L15" s="122">
        <f t="shared" ref="L15:L24" si="4">K15*J15</f>
        <v>11.22</v>
      </c>
      <c r="M15" s="478"/>
      <c r="N15" s="617"/>
      <c r="O15" s="617"/>
      <c r="R15" s="616" t="s">
        <v>504</v>
      </c>
      <c r="S15" s="137"/>
      <c r="AE15" s="832"/>
      <c r="AF15" s="832"/>
    </row>
    <row r="16" spans="1:32" ht="14.25" customHeight="1" x14ac:dyDescent="0.25">
      <c r="A16" s="557"/>
      <c r="B16" s="323" t="s">
        <v>62</v>
      </c>
      <c r="C16" s="334" t="s">
        <v>14</v>
      </c>
      <c r="D16" s="116">
        <v>100</v>
      </c>
      <c r="E16" s="126">
        <f t="shared" si="0"/>
        <v>2.8050000000000002</v>
      </c>
      <c r="F16" s="299">
        <v>1</v>
      </c>
      <c r="G16" s="119">
        <f t="shared" si="1"/>
        <v>280.5</v>
      </c>
      <c r="H16" s="207">
        <f t="shared" si="2"/>
        <v>280.5</v>
      </c>
      <c r="I16" s="81">
        <f>VLOOKUP(B16,All_Ingredients!$A$1:$F$151,6,FALSE())</f>
        <v>0.94</v>
      </c>
      <c r="J16" s="119">
        <f>VLOOKUP(B16,All_Ingredients!$A$1:$J$151,10,FALSE())</f>
        <v>3.6363636363636367</v>
      </c>
      <c r="K16" s="122">
        <f t="shared" si="3"/>
        <v>0.29840425531914894</v>
      </c>
      <c r="L16" s="122">
        <f t="shared" si="4"/>
        <v>1.0851063829787235</v>
      </c>
      <c r="M16" s="137"/>
      <c r="N16" s="131"/>
      <c r="O16" s="131"/>
      <c r="R16" s="616" t="s">
        <v>505</v>
      </c>
      <c r="S16" s="137"/>
    </row>
    <row r="17" spans="1:42" ht="14.25" customHeight="1" x14ac:dyDescent="0.25">
      <c r="A17" s="557"/>
      <c r="B17" s="323" t="s">
        <v>96</v>
      </c>
      <c r="C17" s="334" t="s">
        <v>14</v>
      </c>
      <c r="D17" s="116">
        <v>150</v>
      </c>
      <c r="E17" s="126">
        <f t="shared" si="0"/>
        <v>2.8050000000000002</v>
      </c>
      <c r="F17" s="299">
        <v>1</v>
      </c>
      <c r="G17" s="119">
        <f t="shared" si="1"/>
        <v>420.75</v>
      </c>
      <c r="H17" s="207">
        <f t="shared" si="2"/>
        <v>420.75</v>
      </c>
      <c r="I17" s="81">
        <f>VLOOKUP(B17,All_Ingredients!$A$1:$F$151,6,FALSE())</f>
        <v>1</v>
      </c>
      <c r="J17" s="119">
        <f>VLOOKUP(B17,All_Ingredients!$A$1:$J$151,10,FALSE())</f>
        <v>0.74</v>
      </c>
      <c r="K17" s="122">
        <f t="shared" si="3"/>
        <v>0.42075000000000001</v>
      </c>
      <c r="L17" s="122">
        <f t="shared" si="4"/>
        <v>0.31135499999999999</v>
      </c>
      <c r="M17" s="137"/>
      <c r="N17" s="131"/>
      <c r="O17" s="131"/>
      <c r="R17" s="616" t="s">
        <v>506</v>
      </c>
      <c r="S17" s="137"/>
    </row>
    <row r="18" spans="1:42" ht="14.25" customHeight="1" x14ac:dyDescent="0.25">
      <c r="A18" s="557"/>
      <c r="B18" s="323" t="s">
        <v>790</v>
      </c>
      <c r="C18" s="334" t="s">
        <v>14</v>
      </c>
      <c r="D18" s="116">
        <v>100</v>
      </c>
      <c r="E18" s="126">
        <f t="shared" si="0"/>
        <v>2.8050000000000002</v>
      </c>
      <c r="F18" s="299">
        <v>1</v>
      </c>
      <c r="G18" s="119">
        <f t="shared" si="1"/>
        <v>280.5</v>
      </c>
      <c r="H18" s="207">
        <f t="shared" si="2"/>
        <v>280.5</v>
      </c>
      <c r="I18" s="81">
        <f>VLOOKUP(B18,All_Ingredients!$A$1:$F$151,6,FALSE())</f>
        <v>1</v>
      </c>
      <c r="J18" s="119">
        <f>VLOOKUP(B18,All_Ingredients!$A$1:$J$151,10,FALSE())</f>
        <v>43.333333333333336</v>
      </c>
      <c r="K18" s="122">
        <f t="shared" si="3"/>
        <v>0.28050000000000003</v>
      </c>
      <c r="L18" s="122">
        <f t="shared" si="4"/>
        <v>12.155000000000001</v>
      </c>
      <c r="M18" s="137"/>
      <c r="N18" s="131"/>
      <c r="O18" s="131"/>
      <c r="R18" s="616" t="s">
        <v>507</v>
      </c>
      <c r="S18" s="137"/>
      <c r="AJ18" s="349"/>
      <c r="AK18" s="332"/>
      <c r="AM18" s="135"/>
      <c r="AN18" s="535"/>
      <c r="AO18" s="137"/>
      <c r="AP18" s="536"/>
    </row>
    <row r="19" spans="1:42" ht="14.25" customHeight="1" x14ac:dyDescent="0.25">
      <c r="A19" s="557"/>
      <c r="B19" s="323" t="s">
        <v>34</v>
      </c>
      <c r="C19" s="334" t="s">
        <v>14</v>
      </c>
      <c r="D19" s="116">
        <v>200</v>
      </c>
      <c r="E19" s="126">
        <f t="shared" si="0"/>
        <v>2.8050000000000002</v>
      </c>
      <c r="F19" s="299">
        <v>1</v>
      </c>
      <c r="G19" s="119">
        <f t="shared" si="1"/>
        <v>561</v>
      </c>
      <c r="H19" s="207">
        <f t="shared" si="2"/>
        <v>561</v>
      </c>
      <c r="I19" s="81">
        <f>VLOOKUP(B19,All_Ingredients!$A$1:$F$151,6,FALSE())</f>
        <v>0.86</v>
      </c>
      <c r="J19" s="119">
        <f>VLOOKUP(B19,All_Ingredients!$A$1:$J$151,10,FALSE())</f>
        <v>14</v>
      </c>
      <c r="K19" s="122">
        <f t="shared" si="3"/>
        <v>0.65232558139534891</v>
      </c>
      <c r="L19" s="122">
        <f t="shared" si="4"/>
        <v>9.1325581395348845</v>
      </c>
      <c r="M19" s="137"/>
      <c r="N19" s="131"/>
      <c r="O19" s="131"/>
      <c r="R19" s="136"/>
      <c r="S19" s="137"/>
      <c r="AJ19" s="349"/>
      <c r="AK19" s="332"/>
      <c r="AM19" s="135"/>
      <c r="AN19" s="535"/>
      <c r="AO19" s="137"/>
      <c r="AP19" s="536"/>
    </row>
    <row r="20" spans="1:42" ht="14.25" customHeight="1" x14ac:dyDescent="0.25">
      <c r="A20" s="557"/>
      <c r="B20" s="323" t="s">
        <v>122</v>
      </c>
      <c r="C20" s="334" t="s">
        <v>14</v>
      </c>
      <c r="D20" s="116">
        <v>30</v>
      </c>
      <c r="E20" s="126">
        <f t="shared" si="0"/>
        <v>2.8050000000000002</v>
      </c>
      <c r="F20" s="299">
        <v>1</v>
      </c>
      <c r="G20" s="119">
        <f t="shared" si="1"/>
        <v>84.15</v>
      </c>
      <c r="H20" s="207">
        <f t="shared" si="2"/>
        <v>84.15</v>
      </c>
      <c r="I20" s="81">
        <f>VLOOKUP(B20,All_Ingredients!$A$1:$F$151,6,FALSE())</f>
        <v>1</v>
      </c>
      <c r="J20" s="119">
        <f>VLOOKUP(B20,All_Ingredients!$A$1:$J$151,10,FALSE())</f>
        <v>15</v>
      </c>
      <c r="K20" s="122">
        <f t="shared" si="3"/>
        <v>8.4150000000000003E-2</v>
      </c>
      <c r="L20" s="122">
        <f t="shared" si="4"/>
        <v>1.2622500000000001</v>
      </c>
      <c r="M20" s="137"/>
      <c r="N20" s="131"/>
      <c r="O20" s="131"/>
      <c r="R20" s="14" t="s">
        <v>508</v>
      </c>
      <c r="S20" s="137"/>
      <c r="AJ20" s="349"/>
      <c r="AK20" s="332"/>
      <c r="AM20" s="135"/>
      <c r="AN20" s="535"/>
      <c r="AO20" s="137"/>
      <c r="AP20" s="536"/>
    </row>
    <row r="21" spans="1:42" ht="14.25" customHeight="1" x14ac:dyDescent="0.25">
      <c r="B21" s="323" t="s">
        <v>117</v>
      </c>
      <c r="C21" s="334" t="s">
        <v>14</v>
      </c>
      <c r="D21" s="116">
        <v>50</v>
      </c>
      <c r="E21" s="126">
        <f t="shared" si="0"/>
        <v>2.8050000000000002</v>
      </c>
      <c r="F21" s="299">
        <v>1</v>
      </c>
      <c r="G21" s="119">
        <f t="shared" si="1"/>
        <v>140.25</v>
      </c>
      <c r="H21" s="207">
        <f t="shared" si="2"/>
        <v>140.25</v>
      </c>
      <c r="I21" s="81">
        <f>VLOOKUP(B21,All_Ingredients!$A$1:$F$151,6,FALSE())</f>
        <v>1</v>
      </c>
      <c r="J21" s="119">
        <f>VLOOKUP(B21,All_Ingredients!$A$1:$J$151,10,FALSE())</f>
        <v>20</v>
      </c>
      <c r="K21" s="122">
        <f t="shared" si="3"/>
        <v>0.14025000000000001</v>
      </c>
      <c r="L21" s="122">
        <f t="shared" si="4"/>
        <v>2.8050000000000002</v>
      </c>
      <c r="M21" s="137"/>
      <c r="N21" s="131"/>
      <c r="O21" s="131"/>
      <c r="AJ21" s="349"/>
      <c r="AK21" s="332"/>
      <c r="AM21" s="135"/>
      <c r="AN21" s="535"/>
      <c r="AO21" s="137"/>
      <c r="AP21" s="536"/>
    </row>
    <row r="22" spans="1:42" ht="14.25" customHeight="1" x14ac:dyDescent="0.25">
      <c r="B22" s="323" t="s">
        <v>110</v>
      </c>
      <c r="C22" s="334" t="s">
        <v>14</v>
      </c>
      <c r="D22" s="116">
        <v>55</v>
      </c>
      <c r="E22" s="126">
        <f t="shared" si="0"/>
        <v>2.8050000000000002</v>
      </c>
      <c r="F22" s="299">
        <v>1</v>
      </c>
      <c r="G22" s="119">
        <f>D22*E22</f>
        <v>154.27500000000001</v>
      </c>
      <c r="H22" s="207">
        <f t="shared" si="2"/>
        <v>154.27500000000001</v>
      </c>
      <c r="I22" s="81">
        <f>VLOOKUP(B22,All_Ingredients!$A$1:$F$151,6,FALSE())</f>
        <v>1</v>
      </c>
      <c r="J22" s="119">
        <f>VLOOKUP(B22,All_Ingredients!$A$1:$J$151,10,FALSE())</f>
        <v>8</v>
      </c>
      <c r="K22" s="122">
        <f t="shared" si="3"/>
        <v>0.154275</v>
      </c>
      <c r="L22" s="122">
        <f t="shared" si="4"/>
        <v>1.2342</v>
      </c>
      <c r="M22" s="137"/>
      <c r="N22" s="131"/>
      <c r="O22" s="131"/>
    </row>
    <row r="23" spans="1:42" ht="12.75" customHeight="1" x14ac:dyDescent="0.25">
      <c r="B23" s="323" t="s">
        <v>108</v>
      </c>
      <c r="C23" s="334" t="s">
        <v>14</v>
      </c>
      <c r="D23" s="116">
        <v>55</v>
      </c>
      <c r="E23" s="126">
        <f t="shared" si="0"/>
        <v>2.8050000000000002</v>
      </c>
      <c r="F23" s="299">
        <v>1</v>
      </c>
      <c r="G23" s="119">
        <f>D23*E23</f>
        <v>154.27500000000001</v>
      </c>
      <c r="H23" s="207">
        <f t="shared" si="2"/>
        <v>154.27500000000001</v>
      </c>
      <c r="I23" s="81">
        <f>VLOOKUP(B23,All_Ingredients!$A$1:$F$151,6,FALSE())</f>
        <v>1</v>
      </c>
      <c r="J23" s="119">
        <f>VLOOKUP(B23,All_Ingredients!$A$1:$J$151,10,FALSE())</f>
        <v>15</v>
      </c>
      <c r="K23" s="122">
        <f t="shared" si="3"/>
        <v>0.154275</v>
      </c>
      <c r="L23" s="122">
        <f t="shared" si="4"/>
        <v>2.3141249999999998</v>
      </c>
    </row>
    <row r="24" spans="1:42" ht="12.75" customHeight="1" x14ac:dyDescent="0.25">
      <c r="B24" s="323" t="s">
        <v>223</v>
      </c>
      <c r="C24" s="334" t="s">
        <v>14</v>
      </c>
      <c r="D24" s="116">
        <v>30</v>
      </c>
      <c r="E24" s="126">
        <f t="shared" si="0"/>
        <v>2.8050000000000002</v>
      </c>
      <c r="F24" s="299">
        <v>1</v>
      </c>
      <c r="G24" s="119">
        <f>D24*E24</f>
        <v>84.15</v>
      </c>
      <c r="H24" s="207">
        <f t="shared" si="2"/>
        <v>84.15</v>
      </c>
      <c r="I24" s="81">
        <f>VLOOKUP(B24,All_Ingredients!$A$1:$F$151,6,FALSE())</f>
        <v>1</v>
      </c>
      <c r="J24" s="119">
        <f>VLOOKUP(B24,All_Ingredients!$A$1:$J$151,10,FALSE())</f>
        <v>5</v>
      </c>
      <c r="K24" s="122">
        <f t="shared" si="3"/>
        <v>8.4150000000000003E-2</v>
      </c>
      <c r="L24" s="122">
        <f t="shared" si="4"/>
        <v>0.42075000000000001</v>
      </c>
      <c r="Z24" s="1234"/>
    </row>
    <row r="25" spans="1:42" ht="12.75" customHeight="1" x14ac:dyDescent="0.3">
      <c r="R25" s="1430" t="s">
        <v>509</v>
      </c>
      <c r="S25" s="1430"/>
      <c r="T25"/>
      <c r="U25"/>
      <c r="V25"/>
      <c r="Z25" s="141" t="s">
        <v>853</v>
      </c>
      <c r="AA25" s="142">
        <v>187</v>
      </c>
      <c r="AB25" s="141" t="s">
        <v>261</v>
      </c>
      <c r="AC25" s="143">
        <f>AE30*AA25</f>
        <v>600.97523245354807</v>
      </c>
    </row>
    <row r="26" spans="1:42" ht="14" customHeight="1" x14ac:dyDescent="0.25">
      <c r="R26" s="621" t="s">
        <v>303</v>
      </c>
      <c r="S26" s="621"/>
    </row>
    <row r="27" spans="1:42" ht="14" customHeight="1" x14ac:dyDescent="0.3">
      <c r="J27" s="349"/>
      <c r="K27" s="303"/>
      <c r="L27" s="140"/>
      <c r="R27" s="145" t="s">
        <v>266</v>
      </c>
      <c r="S27" s="145" t="s">
        <v>510</v>
      </c>
      <c r="T27" s="145" t="s">
        <v>269</v>
      </c>
      <c r="U27" s="146" t="s">
        <v>839</v>
      </c>
      <c r="V27" s="146" t="s">
        <v>854</v>
      </c>
      <c r="W27" s="146" t="s">
        <v>849</v>
      </c>
      <c r="Z27" s="147" t="s">
        <v>270</v>
      </c>
      <c r="AA27" s="147" t="s">
        <v>839</v>
      </c>
      <c r="AB27" s="147" t="s">
        <v>271</v>
      </c>
      <c r="AC27" s="147" t="s">
        <v>852</v>
      </c>
      <c r="AD27" s="147" t="s">
        <v>849</v>
      </c>
      <c r="AE27" s="147" t="s">
        <v>274</v>
      </c>
    </row>
    <row r="28" spans="1:42" ht="14" customHeight="1" x14ac:dyDescent="0.3">
      <c r="J28" s="349"/>
      <c r="K28" s="303"/>
      <c r="L28" s="333"/>
      <c r="R28" s="145" t="s">
        <v>275</v>
      </c>
      <c r="S28" s="1303">
        <f>Z1</f>
        <v>182</v>
      </c>
      <c r="T28" s="1333"/>
      <c r="U28" s="1333">
        <f>SUM(H13:H24)</f>
        <v>7349.0999999999985</v>
      </c>
      <c r="V28" s="1333"/>
      <c r="W28" s="1333">
        <f>G7</f>
        <v>187</v>
      </c>
      <c r="Z28" s="1339"/>
      <c r="AA28" s="1340"/>
      <c r="AB28" s="152">
        <f>AA25*$S$40</f>
        <v>187</v>
      </c>
      <c r="AC28" s="1340"/>
      <c r="AD28" s="1340"/>
      <c r="AE28" s="154">
        <f>SUM(AB28:AD28)</f>
        <v>187</v>
      </c>
    </row>
    <row r="29" spans="1:42" ht="14" customHeight="1" x14ac:dyDescent="0.3">
      <c r="J29" s="349"/>
      <c r="K29" s="303"/>
      <c r="L29" s="333"/>
      <c r="R29" s="145" t="s">
        <v>277</v>
      </c>
      <c r="S29" s="1304">
        <f>AB1</f>
        <v>5</v>
      </c>
      <c r="T29" s="1334"/>
      <c r="U29" s="1334"/>
      <c r="V29" s="1334"/>
      <c r="W29" s="1334"/>
      <c r="Z29" s="1339"/>
      <c r="AA29" s="1340"/>
      <c r="AB29" s="156">
        <f>AB28/$AE$28</f>
        <v>1</v>
      </c>
      <c r="AC29" s="1340"/>
      <c r="AD29" s="1340"/>
      <c r="AE29" s="156">
        <f>AE28/$AE$28</f>
        <v>1</v>
      </c>
    </row>
    <row r="30" spans="1:42" ht="14" customHeight="1" thickBot="1" x14ac:dyDescent="0.35">
      <c r="D30" s="333"/>
      <c r="E30" s="136"/>
      <c r="F30" s="137"/>
      <c r="J30" s="349"/>
      <c r="K30" s="303"/>
      <c r="L30" s="333"/>
      <c r="R30" s="146" t="s">
        <v>269</v>
      </c>
      <c r="S30" s="340">
        <f>S28+S29</f>
        <v>187</v>
      </c>
      <c r="T30" s="1335"/>
      <c r="U30" s="1335"/>
      <c r="V30" s="1335"/>
      <c r="W30" s="1335"/>
      <c r="Z30" s="147" t="s">
        <v>278</v>
      </c>
      <c r="AA30" s="1172">
        <f>U33/$AF$1</f>
        <v>0.31377129654303793</v>
      </c>
      <c r="AB30" s="157">
        <f>S33/(AF1)</f>
        <v>0.9</v>
      </c>
      <c r="AC30" s="176">
        <f>V33/AF1</f>
        <v>0</v>
      </c>
      <c r="AD30" s="1172">
        <f>W33/$AF$1</f>
        <v>2</v>
      </c>
      <c r="AE30" s="1148">
        <f>AA30+AB30+AC30+AD30</f>
        <v>3.2137712965430381</v>
      </c>
    </row>
    <row r="31" spans="1:42" ht="14" customHeight="1" thickBot="1" x14ac:dyDescent="0.35">
      <c r="D31" s="333"/>
      <c r="E31" s="136"/>
      <c r="F31" s="137"/>
      <c r="J31" s="349"/>
      <c r="K31" s="303"/>
      <c r="L31" s="333"/>
      <c r="R31" s="341" t="s">
        <v>266</v>
      </c>
      <c r="S31" s="342"/>
      <c r="T31" s="1336"/>
      <c r="U31" s="1336"/>
      <c r="V31" s="1336"/>
      <c r="W31" s="1336"/>
    </row>
    <row r="32" spans="1:42" ht="14" customHeight="1" thickBot="1" x14ac:dyDescent="0.35">
      <c r="D32" s="333"/>
      <c r="E32" s="136"/>
      <c r="F32" s="137"/>
      <c r="J32" s="349"/>
      <c r="K32" s="303"/>
      <c r="L32" s="333"/>
      <c r="R32" s="178" t="s">
        <v>281</v>
      </c>
      <c r="S32" s="344"/>
      <c r="T32" s="1337"/>
      <c r="U32" s="1337"/>
      <c r="V32" s="1337"/>
      <c r="W32" s="1337"/>
    </row>
    <row r="33" spans="2:23" ht="14" customHeight="1" thickBot="1" x14ac:dyDescent="0.35">
      <c r="D33" s="100"/>
      <c r="E33" s="100"/>
      <c r="J33" s="349"/>
      <c r="K33" s="303"/>
      <c r="L33" s="333"/>
      <c r="R33" s="163" t="s">
        <v>261</v>
      </c>
      <c r="S33" s="1144">
        <f>$L$5+L6</f>
        <v>168.3</v>
      </c>
      <c r="T33" s="1341">
        <f>S33+U33+V33+W33</f>
        <v>600.97523245354807</v>
      </c>
      <c r="U33" s="1338">
        <f>SUM(L13:L24)</f>
        <v>58.675232453548091</v>
      </c>
      <c r="V33" s="1338">
        <v>0</v>
      </c>
      <c r="W33" s="1338">
        <f>L7</f>
        <v>374</v>
      </c>
    </row>
    <row r="34" spans="2:23" ht="14" customHeight="1" x14ac:dyDescent="0.3">
      <c r="D34" s="100"/>
      <c r="E34" s="100"/>
      <c r="J34" s="349"/>
      <c r="K34" s="303"/>
      <c r="L34" s="333"/>
      <c r="S34" s="529"/>
    </row>
    <row r="35" spans="2:23" ht="14" customHeight="1" x14ac:dyDescent="0.3">
      <c r="B35" s="1412" t="s">
        <v>875</v>
      </c>
      <c r="C35" s="1412"/>
      <c r="D35" s="1412"/>
      <c r="E35" s="1412"/>
      <c r="F35" s="1412"/>
      <c r="G35" s="889"/>
      <c r="H35" s="889"/>
      <c r="I35" s="889"/>
      <c r="J35" s="889"/>
      <c r="K35" s="889"/>
      <c r="L35" s="889"/>
      <c r="S35" s="529"/>
    </row>
    <row r="36" spans="2:23" ht="14" customHeight="1" x14ac:dyDescent="0.25">
      <c r="B36" s="860" t="s">
        <v>253</v>
      </c>
      <c r="C36" s="860" t="s">
        <v>329</v>
      </c>
      <c r="D36" s="862" t="s">
        <v>671</v>
      </c>
      <c r="E36" s="859" t="s">
        <v>672</v>
      </c>
      <c r="F36" s="862" t="s">
        <v>673</v>
      </c>
      <c r="G36" s="882"/>
      <c r="H36" s="862" t="s">
        <v>673</v>
      </c>
      <c r="I36" s="862" t="s">
        <v>258</v>
      </c>
      <c r="J36" s="862" t="s">
        <v>259</v>
      </c>
      <c r="K36" s="862" t="s">
        <v>260</v>
      </c>
      <c r="L36" s="862" t="s">
        <v>261</v>
      </c>
    </row>
    <row r="37" spans="2:23" ht="14" customHeight="1" x14ac:dyDescent="0.25">
      <c r="B37" s="1346" t="s">
        <v>746</v>
      </c>
      <c r="C37" s="856" t="s">
        <v>14</v>
      </c>
      <c r="D37" s="857">
        <v>0.2</v>
      </c>
      <c r="E37" s="855">
        <f>$AD$1</f>
        <v>182</v>
      </c>
      <c r="F37" s="855">
        <f>D37*E37</f>
        <v>36.4</v>
      </c>
      <c r="G37" s="881"/>
      <c r="H37" s="855">
        <f>F37</f>
        <v>36.4</v>
      </c>
      <c r="I37" s="855">
        <f>VLOOKUP(B37,All_Ingredients!$A$1:$F$151,6,FALSE())</f>
        <v>0.65</v>
      </c>
      <c r="J37" s="855">
        <f>VLOOKUP(B37,All_Ingredients!$A$1:$J$151,10,FALSE())</f>
        <v>45</v>
      </c>
      <c r="K37" s="855">
        <f>(H37/I37)/1000</f>
        <v>5.5999999999999994E-2</v>
      </c>
      <c r="L37" s="855">
        <f>K37*J37</f>
        <v>2.5199999999999996</v>
      </c>
    </row>
    <row r="38" spans="2:23" ht="14" customHeight="1" x14ac:dyDescent="0.3">
      <c r="J38" s="349"/>
      <c r="L38" s="364"/>
    </row>
    <row r="39" spans="2:23" ht="14" customHeight="1" x14ac:dyDescent="0.3">
      <c r="B39" s="100"/>
      <c r="J39" s="349"/>
      <c r="L39" s="364"/>
    </row>
    <row r="40" spans="2:23" ht="46.5" customHeight="1" x14ac:dyDescent="0.3">
      <c r="B40" s="100"/>
      <c r="C40" s="100"/>
      <c r="D40" s="346"/>
      <c r="E40" s="100"/>
      <c r="F40" s="100"/>
      <c r="G40" s="100"/>
      <c r="H40" s="100"/>
      <c r="I40" s="100"/>
      <c r="J40" s="349"/>
      <c r="L40" s="364"/>
      <c r="R40" s="165" t="s">
        <v>282</v>
      </c>
      <c r="S40" s="166">
        <v>1</v>
      </c>
      <c r="T40" s="165" t="s">
        <v>283</v>
      </c>
      <c r="U40" s="167">
        <v>0</v>
      </c>
      <c r="V40" s="168">
        <f>S40+U40</f>
        <v>1</v>
      </c>
    </row>
    <row r="41" spans="2:23" ht="17.75" customHeight="1" x14ac:dyDescent="0.25">
      <c r="B41" s="100"/>
      <c r="C41" s="100"/>
      <c r="D41" s="100"/>
      <c r="E41" s="100"/>
      <c r="F41" s="100"/>
      <c r="G41" s="100"/>
      <c r="H41" s="100"/>
      <c r="I41" s="100"/>
      <c r="J41" s="100"/>
      <c r="U41" s="169"/>
    </row>
    <row r="42" spans="2:23" ht="17.75" customHeight="1" x14ac:dyDescent="0.25">
      <c r="B42" s="1455"/>
      <c r="C42" s="1455"/>
      <c r="D42" s="1455"/>
      <c r="E42" s="1455"/>
      <c r="F42" s="1455"/>
      <c r="G42" s="1455"/>
      <c r="H42" s="1455"/>
      <c r="I42" s="1455"/>
      <c r="J42" s="1455"/>
    </row>
    <row r="43" spans="2:23" ht="12.75" customHeight="1" x14ac:dyDescent="0.3">
      <c r="B43" s="1428"/>
      <c r="C43" s="1428"/>
      <c r="D43" s="1428"/>
      <c r="E43" s="1428"/>
      <c r="F43" s="1428"/>
      <c r="G43" s="1428"/>
      <c r="H43" s="1428"/>
      <c r="I43" s="1428"/>
      <c r="J43" s="1428"/>
      <c r="Q43" s="170" t="s">
        <v>284</v>
      </c>
      <c r="R43" s="170" t="s">
        <v>285</v>
      </c>
      <c r="S43" s="170" t="s">
        <v>286</v>
      </c>
      <c r="T43" s="170" t="s">
        <v>287</v>
      </c>
      <c r="U43" s="170" t="s">
        <v>288</v>
      </c>
      <c r="V43" s="170" t="s">
        <v>289</v>
      </c>
      <c r="W43" s="170" t="s">
        <v>290</v>
      </c>
    </row>
    <row r="44" spans="2:23" ht="14" customHeight="1" x14ac:dyDescent="0.3">
      <c r="B44" s="347"/>
      <c r="C44" s="348"/>
      <c r="D44" s="347"/>
      <c r="E44" s="347"/>
      <c r="F44" s="347"/>
      <c r="G44" s="347"/>
      <c r="H44" s="347"/>
      <c r="I44" s="347"/>
      <c r="J44" s="347"/>
      <c r="Q44" s="172">
        <v>18841</v>
      </c>
      <c r="R44" s="173">
        <f>E52</f>
        <v>0</v>
      </c>
      <c r="S44" s="174">
        <v>0</v>
      </c>
      <c r="T44" s="174">
        <v>0</v>
      </c>
      <c r="U44" s="242">
        <f>R44*S44</f>
        <v>0</v>
      </c>
      <c r="V44" s="176">
        <f>R44*T44</f>
        <v>0</v>
      </c>
      <c r="W44" s="176">
        <f>Q44-U44</f>
        <v>18841</v>
      </c>
    </row>
    <row r="45" spans="2:23" ht="14" customHeight="1" x14ac:dyDescent="0.25">
      <c r="B45" s="349"/>
      <c r="C45" s="349"/>
      <c r="D45" s="333"/>
      <c r="E45" s="333"/>
      <c r="F45" s="136"/>
      <c r="G45" s="137"/>
      <c r="H45" s="138"/>
      <c r="I45" s="92"/>
      <c r="J45" s="139"/>
    </row>
    <row r="46" spans="2:23" ht="14.25" customHeight="1" x14ac:dyDescent="0.25">
      <c r="B46" s="349"/>
      <c r="C46" s="349"/>
      <c r="D46" s="333"/>
      <c r="E46" s="333"/>
      <c r="F46" s="136"/>
      <c r="G46" s="137"/>
      <c r="H46" s="138"/>
      <c r="I46" s="92"/>
      <c r="J46" s="139"/>
    </row>
    <row r="47" spans="2:23" ht="14.25" customHeight="1" x14ac:dyDescent="0.25">
      <c r="B47" s="349"/>
      <c r="C47" s="349"/>
      <c r="D47" s="333"/>
      <c r="E47" s="333"/>
      <c r="F47" s="136"/>
      <c r="G47" s="137"/>
      <c r="H47" s="138"/>
      <c r="I47" s="92"/>
      <c r="J47" s="139"/>
    </row>
    <row r="48" spans="2:23" ht="14.25" customHeight="1" x14ac:dyDescent="0.25">
      <c r="B48" s="349"/>
      <c r="C48" s="349"/>
      <c r="D48" s="333"/>
      <c r="E48" s="333"/>
      <c r="F48" s="136"/>
      <c r="G48" s="137"/>
      <c r="H48" s="138"/>
      <c r="I48" s="92"/>
      <c r="J48" s="139"/>
    </row>
    <row r="49" spans="2:10" ht="14.25" customHeight="1" x14ac:dyDescent="0.25">
      <c r="B49" s="349"/>
      <c r="C49" s="349"/>
      <c r="D49" s="333"/>
      <c r="E49" s="333"/>
      <c r="F49" s="136"/>
      <c r="G49" s="137"/>
      <c r="H49" s="138"/>
      <c r="I49" s="92"/>
      <c r="J49" s="139"/>
    </row>
    <row r="50" spans="2:10" ht="14.25" customHeight="1" x14ac:dyDescent="0.25">
      <c r="B50" s="349"/>
      <c r="C50" s="349"/>
      <c r="D50" s="333"/>
      <c r="E50" s="333"/>
      <c r="F50" s="136"/>
      <c r="G50" s="137"/>
      <c r="H50" s="138"/>
      <c r="I50" s="92"/>
      <c r="J50" s="139"/>
    </row>
    <row r="51" spans="2:10" ht="14.25" customHeight="1" x14ac:dyDescent="0.3">
      <c r="B51" s="179"/>
      <c r="C51" s="179"/>
      <c r="D51" s="179"/>
      <c r="E51" s="100"/>
      <c r="F51" s="100"/>
      <c r="G51" s="145" t="s">
        <v>292</v>
      </c>
      <c r="H51" s="145" t="s">
        <v>245</v>
      </c>
      <c r="I51" s="178" t="s">
        <v>293</v>
      </c>
      <c r="J51" s="178" t="s">
        <v>294</v>
      </c>
    </row>
    <row r="52" spans="2:10" ht="14.25" customHeight="1" x14ac:dyDescent="0.3">
      <c r="B52" s="179"/>
      <c r="C52" s="899"/>
      <c r="D52" s="480"/>
      <c r="E52" s="183"/>
      <c r="F52" s="100"/>
      <c r="G52" s="180" t="s">
        <v>295</v>
      </c>
      <c r="H52" s="277">
        <f>I52/$D$5</f>
        <v>314.01666666666665</v>
      </c>
      <c r="I52" s="181">
        <f>J52/$R$1</f>
        <v>37682</v>
      </c>
      <c r="J52" s="181">
        <f>$W$44</f>
        <v>18841</v>
      </c>
    </row>
    <row r="53" spans="2:10" ht="14.25" customHeight="1" x14ac:dyDescent="0.3">
      <c r="B53" s="11"/>
      <c r="C53" s="336"/>
      <c r="D53" s="481"/>
      <c r="E53" s="100"/>
      <c r="F53" s="100"/>
      <c r="G53" s="148" t="s">
        <v>274</v>
      </c>
      <c r="H53" s="647">
        <f>I53/$D$5</f>
        <v>187</v>
      </c>
      <c r="I53" s="176">
        <f>J53/$R$1</f>
        <v>22440</v>
      </c>
      <c r="J53" s="184">
        <f>$S$30*$T$1*0.8</f>
        <v>11220</v>
      </c>
    </row>
    <row r="54" spans="2:10" ht="14.25" customHeight="1" x14ac:dyDescent="0.3">
      <c r="B54" s="11"/>
      <c r="C54" s="336"/>
      <c r="D54" s="481"/>
      <c r="E54" s="100"/>
      <c r="F54" s="100"/>
      <c r="G54" s="148" t="s">
        <v>296</v>
      </c>
      <c r="H54" s="187">
        <f>MIN(H53,H52)</f>
        <v>187</v>
      </c>
      <c r="I54" s="176">
        <f>J54/$R$1</f>
        <v>22440</v>
      </c>
      <c r="J54" s="176">
        <f>MIN(J53,J52)</f>
        <v>11220</v>
      </c>
    </row>
    <row r="55" spans="2:10" ht="14.25" customHeight="1" x14ac:dyDescent="0.3">
      <c r="B55" s="11"/>
      <c r="C55" s="336"/>
      <c r="D55" s="481"/>
      <c r="E55" s="100"/>
      <c r="F55" s="100"/>
      <c r="G55" s="148" t="s">
        <v>297</v>
      </c>
      <c r="H55" s="187">
        <f>MIN(MAX(H53-H54),H52)</f>
        <v>0</v>
      </c>
      <c r="I55" s="176">
        <f>J55/$R$1</f>
        <v>0</v>
      </c>
      <c r="J55" s="176">
        <f>MIN(MAX(J53-J54),J52)</f>
        <v>0</v>
      </c>
    </row>
    <row r="56" spans="2:10" ht="14.25" customHeight="1" x14ac:dyDescent="0.3">
      <c r="B56" s="11"/>
      <c r="C56" s="336"/>
      <c r="D56" s="481"/>
      <c r="E56" s="100"/>
      <c r="F56" s="100"/>
      <c r="G56" s="145" t="s">
        <v>298</v>
      </c>
      <c r="H56" s="187">
        <f>MIN(MAX(H53-H54-H55),H52)</f>
        <v>0</v>
      </c>
      <c r="I56" s="176">
        <f>J56/$R$1</f>
        <v>0</v>
      </c>
      <c r="J56" s="176">
        <f>MIN(MAX(J53-J54-J55),J52)</f>
        <v>0</v>
      </c>
    </row>
    <row r="57" spans="2:10" ht="17.75" customHeight="1" x14ac:dyDescent="0.25"/>
    <row r="58" spans="2:10" ht="12.75" customHeight="1" x14ac:dyDescent="0.25">
      <c r="B58" s="1428"/>
      <c r="C58" s="1428"/>
      <c r="D58" s="1428"/>
      <c r="E58" s="1428"/>
      <c r="F58" s="1428"/>
      <c r="G58" s="1428"/>
      <c r="H58" s="1428"/>
      <c r="I58" s="1428"/>
      <c r="J58" s="1428"/>
    </row>
    <row r="59" spans="2:10" ht="14.25" customHeight="1" x14ac:dyDescent="0.25">
      <c r="B59" s="347"/>
      <c r="C59" s="348"/>
      <c r="D59" s="347"/>
      <c r="E59" s="347"/>
      <c r="F59" s="347"/>
      <c r="G59" s="347"/>
      <c r="H59" s="347"/>
      <c r="I59" s="347"/>
      <c r="J59" s="347"/>
    </row>
    <row r="60" spans="2:10" ht="14.25" customHeight="1" x14ac:dyDescent="0.25">
      <c r="B60" s="349"/>
      <c r="C60" s="349"/>
      <c r="D60" s="349"/>
      <c r="E60" s="333"/>
      <c r="F60" s="136"/>
      <c r="G60" s="137"/>
      <c r="H60" s="138"/>
      <c r="I60" s="92"/>
      <c r="J60" s="139"/>
    </row>
    <row r="61" spans="2:10" ht="14.25" customHeight="1" x14ac:dyDescent="0.25">
      <c r="B61" s="349"/>
      <c r="C61" s="349"/>
      <c r="D61" s="349"/>
      <c r="E61" s="333"/>
      <c r="F61" s="136"/>
      <c r="G61" s="137"/>
      <c r="H61" s="138"/>
      <c r="I61" s="92"/>
      <c r="J61" s="139"/>
    </row>
    <row r="62" spans="2:10" ht="14.25" customHeight="1" x14ac:dyDescent="0.25">
      <c r="B62" s="349"/>
      <c r="C62" s="349"/>
      <c r="D62" s="349"/>
      <c r="E62" s="333"/>
      <c r="F62" s="136"/>
      <c r="G62" s="137"/>
      <c r="H62" s="138"/>
      <c r="I62" s="92"/>
      <c r="J62" s="139"/>
    </row>
    <row r="63" spans="2:10" ht="18" customHeight="1" x14ac:dyDescent="0.25">
      <c r="B63" s="349"/>
      <c r="C63" s="349"/>
      <c r="D63" s="349"/>
      <c r="E63" s="333"/>
      <c r="F63" s="136"/>
      <c r="G63" s="137"/>
      <c r="H63" s="138"/>
      <c r="I63" s="92"/>
      <c r="J63" s="139"/>
    </row>
    <row r="64" spans="2:10" ht="23.75" customHeight="1" x14ac:dyDescent="0.3">
      <c r="B64" s="1428"/>
      <c r="C64" s="1422"/>
      <c r="D64" s="1422"/>
      <c r="E64" s="1422"/>
      <c r="F64" s="1422"/>
      <c r="G64" s="1422"/>
      <c r="H64" s="1422"/>
    </row>
    <row r="65" spans="1:14" ht="47.75" customHeight="1" x14ac:dyDescent="0.3">
      <c r="B65" s="1428"/>
      <c r="C65" s="1422"/>
      <c r="D65" s="1422"/>
      <c r="E65" s="1422"/>
      <c r="F65" s="1422"/>
      <c r="G65" s="1422"/>
      <c r="H65" s="1422"/>
      <c r="M65" s="131"/>
      <c r="N65" s="131"/>
    </row>
    <row r="66" spans="1:14" ht="14.25" customHeight="1" x14ac:dyDescent="0.25">
      <c r="A66" s="371"/>
      <c r="B66" s="347"/>
      <c r="C66" s="348"/>
      <c r="D66" s="347"/>
      <c r="E66" s="347"/>
      <c r="F66" s="347"/>
      <c r="G66" s="347"/>
      <c r="H66" s="347"/>
      <c r="I66" s="92"/>
      <c r="J66" s="137"/>
      <c r="K66" s="92"/>
      <c r="L66" s="137"/>
    </row>
    <row r="67" spans="1:14" ht="14.25" customHeight="1" x14ac:dyDescent="0.25">
      <c r="B67" s="349"/>
      <c r="C67" s="349"/>
      <c r="D67" s="349"/>
      <c r="E67" s="296"/>
      <c r="F67" s="136"/>
      <c r="G67" s="140"/>
      <c r="H67" s="138"/>
    </row>
    <row r="68" spans="1:14" ht="14.25" customHeight="1" x14ac:dyDescent="0.25">
      <c r="B68" s="349"/>
      <c r="C68" s="349"/>
      <c r="D68" s="349"/>
      <c r="E68" s="483"/>
      <c r="F68" s="136"/>
      <c r="G68" s="137"/>
      <c r="H68" s="138"/>
    </row>
    <row r="69" spans="1:14" ht="14.25" customHeight="1" x14ac:dyDescent="0.25">
      <c r="B69" s="349"/>
      <c r="C69" s="349"/>
      <c r="D69" s="349"/>
      <c r="E69" s="483"/>
      <c r="F69" s="136"/>
      <c r="G69" s="137"/>
      <c r="H69" s="138"/>
    </row>
    <row r="70" spans="1:14" ht="14.25" customHeight="1" x14ac:dyDescent="0.25">
      <c r="B70" s="349"/>
      <c r="C70" s="349"/>
      <c r="D70" s="349"/>
      <c r="E70" s="483"/>
      <c r="F70" s="136"/>
      <c r="G70" s="137"/>
      <c r="H70" s="138"/>
    </row>
    <row r="71" spans="1:14" ht="14.25" customHeight="1" x14ac:dyDescent="0.25">
      <c r="B71" s="349"/>
      <c r="C71" s="349"/>
      <c r="D71" s="349"/>
      <c r="E71" s="483"/>
      <c r="F71" s="136"/>
      <c r="G71" s="137"/>
      <c r="H71" s="138"/>
    </row>
    <row r="72" spans="1:14" ht="14.25" customHeight="1" x14ac:dyDescent="0.25">
      <c r="B72" s="349"/>
      <c r="C72" s="349"/>
      <c r="D72" s="349"/>
      <c r="E72" s="483"/>
      <c r="F72" s="136"/>
      <c r="G72" s="137"/>
      <c r="H72" s="138"/>
    </row>
    <row r="73" spans="1:14" ht="14.25" customHeight="1" x14ac:dyDescent="0.25">
      <c r="B73" s="349"/>
      <c r="C73" s="349"/>
      <c r="D73" s="349"/>
      <c r="E73" s="483"/>
      <c r="F73" s="136"/>
      <c r="G73" s="137"/>
      <c r="H73" s="138"/>
    </row>
    <row r="74" spans="1:14" ht="14.25" customHeight="1" x14ac:dyDescent="0.25">
      <c r="B74" s="349"/>
      <c r="C74" s="349"/>
      <c r="D74" s="349"/>
      <c r="E74" s="483"/>
      <c r="F74" s="136"/>
      <c r="G74" s="137"/>
      <c r="H74" s="138"/>
    </row>
    <row r="75" spans="1:14" ht="14.25" customHeight="1" x14ac:dyDescent="0.25">
      <c r="B75" s="349"/>
      <c r="C75" s="349"/>
      <c r="D75" s="349"/>
      <c r="E75" s="483"/>
      <c r="F75" s="136"/>
      <c r="G75" s="137"/>
      <c r="H75" s="138"/>
    </row>
    <row r="76" spans="1:14" ht="20.25" customHeight="1" x14ac:dyDescent="0.25">
      <c r="B76" s="349"/>
      <c r="C76" s="349"/>
      <c r="D76" s="349"/>
      <c r="E76" s="483"/>
      <c r="F76" s="136"/>
      <c r="G76" s="137"/>
      <c r="H76" s="138"/>
    </row>
    <row r="77" spans="1:14" ht="20" x14ac:dyDescent="0.4">
      <c r="B77" s="204"/>
      <c r="C77" s="484"/>
      <c r="D77" s="485"/>
      <c r="E77" s="486"/>
      <c r="F77" s="485"/>
      <c r="G77" s="487"/>
    </row>
    <row r="78" spans="1:14" ht="12.75" customHeight="1" x14ac:dyDescent="0.25"/>
    <row r="79" spans="1:14" ht="12.75" customHeight="1" x14ac:dyDescent="0.25">
      <c r="E79" s="100"/>
      <c r="F79" s="100"/>
    </row>
    <row r="80" spans="1:14" ht="17.75" customHeight="1" x14ac:dyDescent="0.25">
      <c r="E80" s="100"/>
      <c r="F80" s="100"/>
    </row>
    <row r="81" spans="1:8" ht="17.75" customHeight="1" x14ac:dyDescent="0.3">
      <c r="B81" s="1428"/>
      <c r="C81" s="1422"/>
      <c r="D81" s="1422"/>
      <c r="E81" s="1422"/>
      <c r="F81" s="1422"/>
      <c r="G81" s="1422"/>
      <c r="H81" s="1422"/>
    </row>
    <row r="82" spans="1:8" ht="25.5" customHeight="1" x14ac:dyDescent="0.3">
      <c r="B82" s="1428"/>
      <c r="C82" s="1422"/>
      <c r="D82" s="1422"/>
      <c r="E82" s="1422"/>
      <c r="F82" s="1422"/>
      <c r="G82" s="1422"/>
      <c r="H82" s="1422"/>
    </row>
    <row r="83" spans="1:8" ht="14.25" customHeight="1" x14ac:dyDescent="0.25">
      <c r="A83" s="371"/>
      <c r="B83" s="347"/>
      <c r="C83" s="348"/>
      <c r="D83" s="347"/>
      <c r="E83" s="347"/>
      <c r="F83" s="347"/>
      <c r="G83" s="347"/>
      <c r="H83" s="347"/>
    </row>
    <row r="84" spans="1:8" ht="14.25" customHeight="1" x14ac:dyDescent="0.25">
      <c r="B84" s="349"/>
      <c r="C84" s="349"/>
      <c r="D84" s="349"/>
      <c r="E84" s="296"/>
      <c r="F84" s="136"/>
      <c r="G84" s="140"/>
      <c r="H84" s="138"/>
    </row>
    <row r="85" spans="1:8" ht="14.25" customHeight="1" x14ac:dyDescent="0.25">
      <c r="B85" s="349"/>
      <c r="C85" s="349"/>
      <c r="D85" s="349"/>
      <c r="E85" s="483"/>
      <c r="F85" s="136"/>
      <c r="G85" s="137"/>
      <c r="H85" s="138"/>
    </row>
    <row r="86" spans="1:8" ht="14.25" customHeight="1" x14ac:dyDescent="0.25">
      <c r="B86" s="349"/>
      <c r="C86" s="349"/>
      <c r="D86" s="349"/>
      <c r="E86" s="483"/>
      <c r="F86" s="136"/>
      <c r="G86" s="137"/>
      <c r="H86" s="138"/>
    </row>
    <row r="87" spans="1:8" ht="14.25" customHeight="1" x14ac:dyDescent="0.25">
      <c r="B87" s="349"/>
      <c r="C87" s="349"/>
      <c r="D87" s="349"/>
      <c r="E87" s="483"/>
      <c r="F87" s="136"/>
      <c r="G87" s="137"/>
      <c r="H87" s="138"/>
    </row>
    <row r="88" spans="1:8" ht="14.25" customHeight="1" x14ac:dyDescent="0.25">
      <c r="B88" s="349"/>
      <c r="C88" s="349"/>
      <c r="D88" s="349"/>
      <c r="E88" s="483"/>
      <c r="F88" s="136"/>
      <c r="G88" s="137"/>
      <c r="H88" s="138"/>
    </row>
    <row r="89" spans="1:8" ht="14.25" customHeight="1" x14ac:dyDescent="0.25">
      <c r="B89" s="349"/>
      <c r="C89" s="349"/>
      <c r="D89" s="349"/>
      <c r="E89" s="483"/>
      <c r="F89" s="136"/>
      <c r="G89" s="137"/>
      <c r="H89" s="138"/>
    </row>
    <row r="90" spans="1:8" ht="14.25" customHeight="1" x14ac:dyDescent="0.25">
      <c r="B90" s="349"/>
      <c r="C90" s="349"/>
      <c r="D90" s="349"/>
      <c r="E90" s="483"/>
      <c r="F90" s="136"/>
      <c r="G90" s="137"/>
      <c r="H90" s="138"/>
    </row>
    <row r="91" spans="1:8" ht="14.25" customHeight="1" x14ac:dyDescent="0.25">
      <c r="B91" s="349"/>
      <c r="C91" s="349"/>
      <c r="D91" s="349"/>
      <c r="E91" s="483"/>
      <c r="F91" s="136"/>
      <c r="G91" s="137"/>
      <c r="H91" s="138"/>
    </row>
    <row r="92" spans="1:8" ht="14.25" customHeight="1" x14ac:dyDescent="0.25">
      <c r="B92" s="349"/>
      <c r="C92" s="349"/>
      <c r="D92" s="349"/>
      <c r="E92" s="483"/>
      <c r="F92" s="136"/>
      <c r="G92" s="137"/>
      <c r="H92" s="138"/>
    </row>
    <row r="93" spans="1:8" ht="20.25" customHeight="1" x14ac:dyDescent="0.25">
      <c r="B93" s="349"/>
      <c r="C93" s="349"/>
      <c r="D93" s="349"/>
      <c r="E93" s="483"/>
      <c r="F93" s="136"/>
      <c r="G93" s="137"/>
      <c r="H93" s="138"/>
    </row>
    <row r="94" spans="1:8" ht="12.75" customHeight="1" x14ac:dyDescent="0.4">
      <c r="B94" s="204"/>
      <c r="C94" s="484"/>
      <c r="D94" s="485"/>
      <c r="E94" s="486"/>
      <c r="F94" s="485"/>
      <c r="G94" s="487"/>
    </row>
    <row r="95" spans="1:8" ht="12.75" customHeight="1" x14ac:dyDescent="0.25">
      <c r="B95" s="100"/>
      <c r="E95" s="100"/>
      <c r="F95" s="100"/>
    </row>
    <row r="96" spans="1:8" ht="12.75" customHeight="1" x14ac:dyDescent="0.25">
      <c r="B96" s="100"/>
      <c r="E96" s="100"/>
      <c r="F96" s="100"/>
    </row>
    <row r="97" spans="2:6" ht="12.75" customHeight="1" x14ac:dyDescent="0.25">
      <c r="B97" s="100"/>
      <c r="E97" s="100"/>
      <c r="F97" s="100"/>
    </row>
    <row r="98" spans="2:6" ht="12.75" customHeight="1" x14ac:dyDescent="0.25">
      <c r="B98" s="100"/>
      <c r="E98" s="100"/>
      <c r="F98" s="100"/>
    </row>
    <row r="99" spans="2:6" ht="12.75" customHeight="1" x14ac:dyDescent="0.25">
      <c r="B99" s="100"/>
      <c r="E99" s="100"/>
      <c r="F99" s="100"/>
    </row>
    <row r="100" spans="2:6" ht="12.75" customHeight="1" x14ac:dyDescent="0.25">
      <c r="B100" s="100"/>
      <c r="E100" s="100"/>
      <c r="F100" s="100"/>
    </row>
    <row r="101" spans="2:6" ht="12.75" customHeight="1" x14ac:dyDescent="0.25">
      <c r="B101" s="100"/>
      <c r="E101" s="100"/>
      <c r="F101" s="100"/>
    </row>
    <row r="102" spans="2:6" ht="12.75" customHeight="1" x14ac:dyDescent="0.25">
      <c r="B102" s="100"/>
      <c r="E102" s="100"/>
      <c r="F102" s="100"/>
    </row>
    <row r="103" spans="2:6" ht="12.75" customHeight="1" x14ac:dyDescent="0.25">
      <c r="B103" s="100"/>
      <c r="E103" s="100"/>
      <c r="F103" s="100"/>
    </row>
    <row r="104" spans="2:6" ht="12.75" customHeight="1" x14ac:dyDescent="0.25">
      <c r="B104" s="100"/>
      <c r="E104" s="100"/>
      <c r="F104" s="100"/>
    </row>
    <row r="105" spans="2:6" ht="12.75" customHeight="1" x14ac:dyDescent="0.25">
      <c r="B105" s="100"/>
      <c r="E105" s="100"/>
      <c r="F105" s="100"/>
    </row>
    <row r="106" spans="2:6" ht="12.75" customHeight="1" x14ac:dyDescent="0.25">
      <c r="B106" s="100"/>
      <c r="E106" s="100"/>
      <c r="F106" s="100"/>
    </row>
    <row r="107" spans="2:6" ht="12.75" customHeight="1" x14ac:dyDescent="0.25">
      <c r="B107" s="100"/>
      <c r="E107" s="100"/>
      <c r="F107" s="100"/>
    </row>
    <row r="108" spans="2:6" ht="12.75" customHeight="1" x14ac:dyDescent="0.25">
      <c r="B108" s="100"/>
      <c r="E108" s="100"/>
      <c r="F108" s="100"/>
    </row>
    <row r="109" spans="2:6" ht="12.75" customHeight="1" x14ac:dyDescent="0.25">
      <c r="B109" s="100"/>
      <c r="E109" s="100"/>
      <c r="F109" s="100"/>
    </row>
    <row r="110" spans="2:6" ht="12.75" customHeight="1" x14ac:dyDescent="0.25">
      <c r="B110" s="100"/>
      <c r="E110" s="100"/>
      <c r="F110" s="100"/>
    </row>
    <row r="111" spans="2:6" ht="12.75" customHeight="1" x14ac:dyDescent="0.25">
      <c r="B111" s="100"/>
      <c r="E111" s="100"/>
      <c r="F111" s="100"/>
    </row>
    <row r="112" spans="2:6" ht="12.75" customHeight="1" x14ac:dyDescent="0.25">
      <c r="B112" s="100"/>
      <c r="E112" s="100"/>
      <c r="F112" s="100"/>
    </row>
    <row r="113" spans="2:6" ht="12.75" customHeight="1" x14ac:dyDescent="0.25">
      <c r="B113" s="100"/>
      <c r="E113" s="100"/>
      <c r="F113" s="100"/>
    </row>
    <row r="114" spans="2:6" ht="12.75" customHeight="1" x14ac:dyDescent="0.25">
      <c r="B114" s="100"/>
      <c r="E114" s="100"/>
      <c r="F114" s="100"/>
    </row>
    <row r="115" spans="2:6" ht="12.75" customHeight="1" x14ac:dyDescent="0.25">
      <c r="B115" s="100"/>
      <c r="E115" s="100"/>
      <c r="F115" s="100"/>
    </row>
    <row r="116" spans="2:6" ht="12.75" customHeight="1" x14ac:dyDescent="0.25">
      <c r="B116" s="100"/>
      <c r="E116" s="100"/>
      <c r="F116" s="100"/>
    </row>
    <row r="117" spans="2:6" ht="12.75" customHeight="1" x14ac:dyDescent="0.25">
      <c r="B117" s="100"/>
      <c r="E117" s="100"/>
      <c r="F117" s="100"/>
    </row>
    <row r="118" spans="2:6" ht="12.75" customHeight="1" x14ac:dyDescent="0.25">
      <c r="B118" s="100"/>
      <c r="E118" s="100"/>
      <c r="F118" s="100"/>
    </row>
    <row r="119" spans="2:6" ht="12.75" customHeight="1" x14ac:dyDescent="0.25">
      <c r="B119" s="100"/>
      <c r="E119" s="100"/>
      <c r="F119" s="100"/>
    </row>
    <row r="120" spans="2:6" ht="12.75" customHeight="1" x14ac:dyDescent="0.25">
      <c r="B120" s="100"/>
      <c r="E120" s="100"/>
      <c r="F120" s="100"/>
    </row>
    <row r="121" spans="2:6" ht="12.75" customHeight="1" x14ac:dyDescent="0.25">
      <c r="B121" s="100"/>
      <c r="E121" s="100"/>
      <c r="F121" s="100"/>
    </row>
    <row r="122" spans="2:6" ht="12.75" customHeight="1" x14ac:dyDescent="0.25">
      <c r="B122" s="100"/>
      <c r="E122" s="100"/>
      <c r="F122" s="100"/>
    </row>
    <row r="123" spans="2:6" ht="12.75" customHeight="1" x14ac:dyDescent="0.25">
      <c r="B123" s="100"/>
      <c r="E123" s="100"/>
      <c r="F123" s="100"/>
    </row>
    <row r="124" spans="2:6" ht="12.75" customHeight="1" x14ac:dyDescent="0.25">
      <c r="B124" s="100"/>
      <c r="E124" s="100"/>
      <c r="F124" s="100"/>
    </row>
    <row r="125" spans="2:6" ht="12.75" customHeight="1" x14ac:dyDescent="0.25">
      <c r="B125" s="100"/>
      <c r="E125" s="100"/>
      <c r="F125" s="100"/>
    </row>
    <row r="126" spans="2:6" ht="12.75" customHeight="1" x14ac:dyDescent="0.25">
      <c r="B126" s="100"/>
      <c r="E126" s="100"/>
      <c r="F126" s="100"/>
    </row>
    <row r="127" spans="2:6" ht="12.75" customHeight="1" x14ac:dyDescent="0.25">
      <c r="B127" s="100"/>
      <c r="E127" s="100"/>
      <c r="F127" s="100"/>
    </row>
    <row r="128" spans="2:6" ht="12.75" customHeight="1" x14ac:dyDescent="0.25">
      <c r="B128" s="100"/>
      <c r="E128" s="100"/>
      <c r="F128" s="100"/>
    </row>
    <row r="129" spans="2:6" ht="12.75" customHeight="1" x14ac:dyDescent="0.25">
      <c r="B129" s="100"/>
      <c r="E129" s="100"/>
      <c r="F129" s="100"/>
    </row>
    <row r="130" spans="2:6" ht="12.75" customHeight="1" x14ac:dyDescent="0.25">
      <c r="B130" s="100"/>
      <c r="E130" s="100"/>
      <c r="F130" s="100"/>
    </row>
    <row r="131" spans="2:6" ht="12.75" customHeight="1" x14ac:dyDescent="0.25">
      <c r="B131" s="100"/>
      <c r="E131" s="100"/>
      <c r="F131" s="100"/>
    </row>
    <row r="132" spans="2:6" ht="12.75" customHeight="1" x14ac:dyDescent="0.25">
      <c r="B132" s="100"/>
      <c r="E132" s="100"/>
      <c r="F132" s="100"/>
    </row>
    <row r="133" spans="2:6" ht="12.75" customHeight="1" x14ac:dyDescent="0.25">
      <c r="B133" s="100"/>
      <c r="E133" s="100"/>
      <c r="F133" s="100"/>
    </row>
    <row r="134" spans="2:6" ht="12.75" customHeight="1" x14ac:dyDescent="0.25">
      <c r="B134" s="100"/>
      <c r="E134" s="100"/>
      <c r="F134" s="100"/>
    </row>
    <row r="135" spans="2:6" ht="12.75" customHeight="1" x14ac:dyDescent="0.25">
      <c r="B135" s="100"/>
      <c r="E135" s="100"/>
      <c r="F135" s="100"/>
    </row>
    <row r="136" spans="2:6" ht="12.75" customHeight="1" x14ac:dyDescent="0.25">
      <c r="B136" s="100"/>
      <c r="E136" s="100"/>
      <c r="F136" s="100"/>
    </row>
    <row r="137" spans="2:6" ht="12.75" customHeight="1" x14ac:dyDescent="0.25">
      <c r="B137" s="100"/>
      <c r="E137" s="100"/>
      <c r="F137" s="100"/>
    </row>
    <row r="138" spans="2:6" ht="12.75" customHeight="1" x14ac:dyDescent="0.25">
      <c r="B138" s="100"/>
      <c r="E138" s="100"/>
      <c r="F138" s="100"/>
    </row>
    <row r="139" spans="2:6" ht="12.75" customHeight="1" x14ac:dyDescent="0.25">
      <c r="B139" s="100"/>
      <c r="E139" s="100"/>
      <c r="F139" s="100"/>
    </row>
    <row r="140" spans="2:6" ht="12.75" customHeight="1" x14ac:dyDescent="0.25">
      <c r="B140" s="100"/>
      <c r="E140" s="100"/>
      <c r="F140" s="100"/>
    </row>
    <row r="141" spans="2:6" ht="12.75" customHeight="1" x14ac:dyDescent="0.25">
      <c r="B141" s="100"/>
      <c r="E141" s="100"/>
      <c r="F141" s="100"/>
    </row>
    <row r="142" spans="2:6" ht="12.75" customHeight="1" x14ac:dyDescent="0.25">
      <c r="B142" s="100"/>
      <c r="E142" s="100"/>
      <c r="F142" s="100"/>
    </row>
    <row r="143" spans="2:6" ht="12.75" customHeight="1" x14ac:dyDescent="0.25">
      <c r="B143" s="100"/>
      <c r="E143" s="100"/>
      <c r="F143" s="100"/>
    </row>
    <row r="144" spans="2:6" ht="12.75" customHeight="1" x14ac:dyDescent="0.25">
      <c r="B144" s="100"/>
      <c r="E144" s="100"/>
      <c r="F144" s="100"/>
    </row>
    <row r="145" spans="2:6" ht="12.75" customHeight="1" x14ac:dyDescent="0.25">
      <c r="B145" s="100"/>
      <c r="E145" s="100"/>
      <c r="F145" s="100"/>
    </row>
    <row r="146" spans="2:6" ht="12.75" customHeight="1" x14ac:dyDescent="0.25">
      <c r="B146" s="100"/>
      <c r="E146" s="100"/>
      <c r="F146" s="100"/>
    </row>
    <row r="147" spans="2:6" ht="12.75" customHeight="1" x14ac:dyDescent="0.25">
      <c r="B147" s="100"/>
      <c r="E147" s="100"/>
      <c r="F147" s="100"/>
    </row>
    <row r="148" spans="2:6" ht="12.75" customHeight="1" x14ac:dyDescent="0.25">
      <c r="B148" s="100"/>
      <c r="E148" s="100"/>
      <c r="F148" s="100"/>
    </row>
    <row r="149" spans="2:6" ht="12.75" customHeight="1" x14ac:dyDescent="0.25">
      <c r="B149" s="100"/>
      <c r="E149" s="100"/>
      <c r="F149" s="100"/>
    </row>
    <row r="150" spans="2:6" ht="12.75" customHeight="1" x14ac:dyDescent="0.25">
      <c r="B150" s="100"/>
      <c r="E150" s="100"/>
      <c r="F150" s="100"/>
    </row>
    <row r="151" spans="2:6" ht="12.75" customHeight="1" x14ac:dyDescent="0.25">
      <c r="B151" s="100"/>
      <c r="E151" s="100"/>
      <c r="F151" s="100"/>
    </row>
    <row r="152" spans="2:6" ht="12.75" customHeight="1" x14ac:dyDescent="0.25">
      <c r="B152" s="100"/>
      <c r="E152" s="100"/>
      <c r="F152" s="100"/>
    </row>
    <row r="153" spans="2:6" ht="12.75" customHeight="1" x14ac:dyDescent="0.25">
      <c r="B153" s="100"/>
      <c r="E153" s="100"/>
      <c r="F153" s="100"/>
    </row>
    <row r="154" spans="2:6" ht="12.75" customHeight="1" x14ac:dyDescent="0.25">
      <c r="B154" s="100"/>
      <c r="E154" s="100"/>
      <c r="F154" s="100"/>
    </row>
    <row r="155" spans="2:6" ht="12.75" customHeight="1" x14ac:dyDescent="0.25">
      <c r="B155" s="100"/>
      <c r="E155" s="100"/>
      <c r="F155" s="100"/>
    </row>
    <row r="156" spans="2:6" ht="12.75" customHeight="1" x14ac:dyDescent="0.25">
      <c r="B156" s="100"/>
      <c r="E156" s="100"/>
      <c r="F156" s="100"/>
    </row>
    <row r="157" spans="2:6" ht="12.75" customHeight="1" x14ac:dyDescent="0.25">
      <c r="B157" s="100"/>
      <c r="E157" s="100"/>
      <c r="F157" s="100"/>
    </row>
    <row r="158" spans="2:6" ht="12.75" customHeight="1" x14ac:dyDescent="0.25">
      <c r="B158" s="100"/>
      <c r="E158" s="100"/>
      <c r="F158" s="100"/>
    </row>
    <row r="159" spans="2:6" ht="12.75" customHeight="1" x14ac:dyDescent="0.25">
      <c r="B159" s="100"/>
      <c r="E159" s="100"/>
      <c r="F159" s="100"/>
    </row>
    <row r="160" spans="2:6" ht="12.75" customHeight="1" x14ac:dyDescent="0.25">
      <c r="B160" s="100"/>
      <c r="E160" s="100"/>
      <c r="F160" s="100"/>
    </row>
    <row r="161" spans="2:6" ht="12.75" customHeight="1" x14ac:dyDescent="0.25">
      <c r="B161" s="100"/>
      <c r="E161" s="100"/>
      <c r="F161" s="100"/>
    </row>
    <row r="162" spans="2:6" ht="12.75" customHeight="1" x14ac:dyDescent="0.25">
      <c r="B162" s="100"/>
      <c r="E162" s="100"/>
      <c r="F162" s="100"/>
    </row>
    <row r="163" spans="2:6" ht="12.75" customHeight="1" x14ac:dyDescent="0.25">
      <c r="B163" s="100"/>
      <c r="E163" s="100"/>
      <c r="F163" s="100"/>
    </row>
    <row r="164" spans="2:6" ht="12.75" customHeight="1" x14ac:dyDescent="0.25">
      <c r="B164" s="100"/>
      <c r="E164" s="100"/>
      <c r="F164" s="100"/>
    </row>
    <row r="165" spans="2:6" ht="12.75" customHeight="1" x14ac:dyDescent="0.25">
      <c r="B165" s="100"/>
      <c r="E165" s="100"/>
      <c r="F165" s="100"/>
    </row>
    <row r="166" spans="2:6" ht="12.75" customHeight="1" x14ac:dyDescent="0.25">
      <c r="B166" s="100"/>
      <c r="E166" s="100"/>
      <c r="F166" s="100"/>
    </row>
    <row r="167" spans="2:6" ht="12.75" customHeight="1" x14ac:dyDescent="0.25">
      <c r="B167" s="100"/>
      <c r="E167" s="100"/>
      <c r="F167" s="100"/>
    </row>
    <row r="168" spans="2:6" ht="12.75" customHeight="1" x14ac:dyDescent="0.25">
      <c r="B168" s="100"/>
      <c r="E168" s="100"/>
      <c r="F168" s="100"/>
    </row>
    <row r="169" spans="2:6" ht="12.75" customHeight="1" x14ac:dyDescent="0.25">
      <c r="B169" s="100"/>
      <c r="E169" s="100"/>
      <c r="F169" s="100"/>
    </row>
    <row r="170" spans="2:6" ht="12.75" customHeight="1" x14ac:dyDescent="0.25">
      <c r="B170" s="100"/>
      <c r="E170" s="100"/>
      <c r="F170" s="100"/>
    </row>
    <row r="171" spans="2:6" ht="12.75" customHeight="1" x14ac:dyDescent="0.25">
      <c r="B171" s="100"/>
      <c r="E171" s="100"/>
      <c r="F171" s="100"/>
    </row>
    <row r="172" spans="2:6" ht="12.75" customHeight="1" x14ac:dyDescent="0.25">
      <c r="B172" s="100"/>
      <c r="E172" s="100"/>
      <c r="F172" s="100"/>
    </row>
    <row r="173" spans="2:6" ht="12.75" customHeight="1" x14ac:dyDescent="0.25">
      <c r="B173" s="100"/>
      <c r="E173" s="100"/>
      <c r="F173" s="100"/>
    </row>
    <row r="174" spans="2:6" ht="12.75" customHeight="1" x14ac:dyDescent="0.25">
      <c r="B174" s="100"/>
      <c r="E174" s="100"/>
      <c r="F174" s="100"/>
    </row>
    <row r="175" spans="2:6" ht="12.75" customHeight="1" x14ac:dyDescent="0.25">
      <c r="B175" s="100"/>
      <c r="E175" s="100"/>
      <c r="F175" s="100"/>
    </row>
    <row r="176" spans="2:6" ht="12.75" customHeight="1" x14ac:dyDescent="0.25">
      <c r="B176" s="100"/>
      <c r="E176" s="100"/>
      <c r="F176" s="100"/>
    </row>
    <row r="177" spans="2:6" ht="12.75" customHeight="1" x14ac:dyDescent="0.25">
      <c r="B177" s="100"/>
      <c r="E177" s="100"/>
      <c r="F177" s="100"/>
    </row>
    <row r="178" spans="2:6" ht="12.75" customHeight="1" x14ac:dyDescent="0.25">
      <c r="B178" s="100"/>
      <c r="E178" s="100"/>
      <c r="F178" s="100"/>
    </row>
    <row r="179" spans="2:6" ht="12.75" customHeight="1" x14ac:dyDescent="0.25">
      <c r="B179" s="100"/>
      <c r="E179" s="100"/>
      <c r="F179" s="100"/>
    </row>
    <row r="180" spans="2:6" ht="12.75" customHeight="1" x14ac:dyDescent="0.25">
      <c r="B180" s="100"/>
      <c r="E180" s="100"/>
      <c r="F180" s="100"/>
    </row>
    <row r="181" spans="2:6" ht="12.75" customHeight="1" x14ac:dyDescent="0.25">
      <c r="B181" s="100"/>
      <c r="E181" s="100"/>
      <c r="F181" s="100"/>
    </row>
    <row r="182" spans="2:6" ht="12.75" customHeight="1" x14ac:dyDescent="0.25">
      <c r="B182" s="100"/>
      <c r="E182" s="100"/>
      <c r="F182" s="100"/>
    </row>
    <row r="183" spans="2:6" ht="12.75" customHeight="1" x14ac:dyDescent="0.25">
      <c r="B183" s="100"/>
      <c r="E183" s="100"/>
      <c r="F183" s="100"/>
    </row>
    <row r="184" spans="2:6" ht="12.75" customHeight="1" x14ac:dyDescent="0.25">
      <c r="B184" s="100"/>
      <c r="E184" s="100"/>
      <c r="F184" s="100"/>
    </row>
    <row r="185" spans="2:6" ht="12.75" customHeight="1" x14ac:dyDescent="0.25">
      <c r="B185" s="100"/>
      <c r="E185" s="100"/>
      <c r="F185" s="100"/>
    </row>
    <row r="186" spans="2:6" ht="12.75" customHeight="1" x14ac:dyDescent="0.25">
      <c r="B186" s="100"/>
      <c r="E186" s="100"/>
      <c r="F186" s="100"/>
    </row>
    <row r="187" spans="2:6" ht="12.75" customHeight="1" x14ac:dyDescent="0.25">
      <c r="B187" s="100"/>
      <c r="E187" s="100"/>
      <c r="F187" s="100"/>
    </row>
    <row r="188" spans="2:6" ht="12.75" customHeight="1" x14ac:dyDescent="0.25">
      <c r="B188" s="100"/>
      <c r="E188" s="100"/>
      <c r="F188" s="100"/>
    </row>
    <row r="189" spans="2:6" ht="12.75" customHeight="1" x14ac:dyDescent="0.25">
      <c r="B189" s="100"/>
      <c r="E189" s="100"/>
      <c r="F189" s="100"/>
    </row>
    <row r="190" spans="2:6" ht="12.75" customHeight="1" x14ac:dyDescent="0.25">
      <c r="B190" s="100"/>
      <c r="E190" s="100"/>
      <c r="F190" s="100"/>
    </row>
    <row r="191" spans="2:6" ht="12.75" customHeight="1" x14ac:dyDescent="0.25">
      <c r="B191" s="100"/>
      <c r="E191" s="100"/>
      <c r="F191" s="100"/>
    </row>
    <row r="192" spans="2:6" ht="12.75" customHeight="1" x14ac:dyDescent="0.25">
      <c r="B192" s="100"/>
      <c r="E192" s="100"/>
      <c r="F192" s="100"/>
    </row>
    <row r="193" spans="2:6" ht="12.75" customHeight="1" x14ac:dyDescent="0.25">
      <c r="B193" s="100"/>
      <c r="E193" s="100"/>
      <c r="F193" s="100"/>
    </row>
    <row r="194" spans="2:6" ht="12.75" customHeight="1" x14ac:dyDescent="0.25">
      <c r="B194" s="100"/>
      <c r="E194" s="100"/>
      <c r="F194" s="100"/>
    </row>
    <row r="195" spans="2:6" ht="12.75" customHeight="1" x14ac:dyDescent="0.25">
      <c r="B195" s="100"/>
      <c r="E195" s="100"/>
      <c r="F195" s="100"/>
    </row>
    <row r="196" spans="2:6" ht="12.75" customHeight="1" x14ac:dyDescent="0.25">
      <c r="B196" s="100"/>
      <c r="E196" s="100"/>
      <c r="F196" s="100"/>
    </row>
    <row r="197" spans="2:6" ht="12.75" customHeight="1" x14ac:dyDescent="0.25">
      <c r="B197" s="100"/>
      <c r="E197" s="100"/>
      <c r="F197" s="100"/>
    </row>
    <row r="198" spans="2:6" ht="12.75" customHeight="1" x14ac:dyDescent="0.25">
      <c r="B198" s="100"/>
      <c r="E198" s="100"/>
      <c r="F198" s="100"/>
    </row>
    <row r="199" spans="2:6" ht="12.75" customHeight="1" x14ac:dyDescent="0.25">
      <c r="B199" s="100"/>
      <c r="E199" s="100"/>
      <c r="F199" s="100"/>
    </row>
    <row r="200" spans="2:6" ht="12.75" customHeight="1" x14ac:dyDescent="0.25">
      <c r="B200" s="100"/>
      <c r="E200" s="100"/>
      <c r="F200" s="100"/>
    </row>
    <row r="201" spans="2:6" ht="12.75" customHeight="1" x14ac:dyDescent="0.25">
      <c r="B201" s="100"/>
      <c r="E201" s="100"/>
      <c r="F201" s="100"/>
    </row>
    <row r="202" spans="2:6" ht="12.75" customHeight="1" x14ac:dyDescent="0.25">
      <c r="B202" s="100"/>
      <c r="E202" s="100"/>
      <c r="F202" s="100"/>
    </row>
    <row r="203" spans="2:6" ht="12.75" customHeight="1" x14ac:dyDescent="0.25">
      <c r="B203" s="100"/>
      <c r="E203" s="100"/>
      <c r="F203" s="100"/>
    </row>
    <row r="204" spans="2:6" ht="12.75" customHeight="1" x14ac:dyDescent="0.25">
      <c r="B204" s="100"/>
      <c r="E204" s="100"/>
      <c r="F204" s="100"/>
    </row>
    <row r="205" spans="2:6" ht="12.75" customHeight="1" x14ac:dyDescent="0.25">
      <c r="B205" s="100"/>
      <c r="E205" s="100"/>
      <c r="F205" s="100"/>
    </row>
    <row r="206" spans="2:6" ht="12.75" customHeight="1" x14ac:dyDescent="0.25">
      <c r="B206" s="100"/>
      <c r="E206" s="100"/>
      <c r="F206" s="100"/>
    </row>
    <row r="207" spans="2:6" ht="12.75" customHeight="1" x14ac:dyDescent="0.25">
      <c r="B207" s="100"/>
      <c r="E207" s="100"/>
      <c r="F207" s="100"/>
    </row>
    <row r="208" spans="2:6" ht="12.75" customHeight="1" x14ac:dyDescent="0.25">
      <c r="B208" s="100"/>
      <c r="E208" s="100"/>
      <c r="F208" s="100"/>
    </row>
    <row r="209" spans="2:6" ht="12.75" customHeight="1" x14ac:dyDescent="0.25">
      <c r="B209" s="100"/>
      <c r="E209" s="100"/>
      <c r="F209" s="100"/>
    </row>
    <row r="210" spans="2:6" ht="12.75" customHeight="1" x14ac:dyDescent="0.25">
      <c r="B210" s="100"/>
      <c r="E210" s="100"/>
      <c r="F210" s="100"/>
    </row>
    <row r="211" spans="2:6" ht="12.75" customHeight="1" x14ac:dyDescent="0.25">
      <c r="B211" s="100"/>
      <c r="E211" s="100"/>
      <c r="F211" s="100"/>
    </row>
    <row r="212" spans="2:6" ht="12.75" customHeight="1" x14ac:dyDescent="0.25">
      <c r="B212" s="100"/>
      <c r="E212" s="100"/>
      <c r="F212" s="100"/>
    </row>
    <row r="213" spans="2:6" ht="12.75" customHeight="1" x14ac:dyDescent="0.25">
      <c r="B213" s="100"/>
      <c r="E213" s="100"/>
      <c r="F213" s="100"/>
    </row>
    <row r="214" spans="2:6" ht="12.75" customHeight="1" x14ac:dyDescent="0.25">
      <c r="B214" s="100"/>
      <c r="E214" s="100"/>
      <c r="F214" s="100"/>
    </row>
    <row r="215" spans="2:6" ht="12.75" customHeight="1" x14ac:dyDescent="0.25">
      <c r="B215" s="100"/>
      <c r="E215" s="100"/>
      <c r="F215" s="100"/>
    </row>
    <row r="216" spans="2:6" ht="12.75" customHeight="1" x14ac:dyDescent="0.25">
      <c r="B216" s="100"/>
      <c r="E216" s="100"/>
      <c r="F216" s="100"/>
    </row>
    <row r="217" spans="2:6" ht="12.75" customHeight="1" x14ac:dyDescent="0.25">
      <c r="B217" s="100"/>
      <c r="E217" s="100"/>
      <c r="F217" s="100"/>
    </row>
    <row r="218" spans="2:6" ht="12.75" customHeight="1" x14ac:dyDescent="0.25">
      <c r="B218" s="100"/>
      <c r="E218" s="100"/>
      <c r="F218" s="100"/>
    </row>
    <row r="219" spans="2:6" ht="12.75" customHeight="1" x14ac:dyDescent="0.25">
      <c r="B219" s="100"/>
      <c r="E219" s="100"/>
      <c r="F219" s="100"/>
    </row>
    <row r="220" spans="2:6" ht="12.75" customHeight="1" x14ac:dyDescent="0.25">
      <c r="B220" s="100"/>
      <c r="E220" s="100"/>
      <c r="F220" s="100"/>
    </row>
    <row r="221" spans="2:6" ht="12.75" customHeight="1" x14ac:dyDescent="0.25">
      <c r="B221" s="100"/>
      <c r="E221" s="100"/>
      <c r="F221" s="100"/>
    </row>
    <row r="222" spans="2:6" ht="12.75" customHeight="1" x14ac:dyDescent="0.25">
      <c r="B222" s="100"/>
      <c r="E222" s="100"/>
      <c r="F222" s="100"/>
    </row>
    <row r="223" spans="2:6" ht="12.75" customHeight="1" x14ac:dyDescent="0.25">
      <c r="B223" s="100"/>
      <c r="E223" s="100"/>
      <c r="F223" s="100"/>
    </row>
    <row r="224" spans="2:6" ht="12.75" customHeight="1" x14ac:dyDescent="0.25">
      <c r="B224" s="100"/>
      <c r="E224" s="100"/>
      <c r="F224" s="100"/>
    </row>
    <row r="225" spans="2:6" ht="12.75" customHeight="1" x14ac:dyDescent="0.25">
      <c r="B225" s="100"/>
      <c r="E225" s="100"/>
      <c r="F225" s="100"/>
    </row>
    <row r="226" spans="2:6" ht="12.75" customHeight="1" x14ac:dyDescent="0.25">
      <c r="B226" s="100"/>
      <c r="E226" s="100"/>
      <c r="F226" s="100"/>
    </row>
    <row r="227" spans="2:6" ht="12.75" customHeight="1" x14ac:dyDescent="0.25">
      <c r="B227" s="100"/>
      <c r="E227" s="100"/>
      <c r="F227" s="100"/>
    </row>
    <row r="228" spans="2:6" ht="12.75" customHeight="1" x14ac:dyDescent="0.25">
      <c r="B228" s="100"/>
      <c r="E228" s="100"/>
      <c r="F228" s="100"/>
    </row>
    <row r="229" spans="2:6" ht="12.75" customHeight="1" x14ac:dyDescent="0.25">
      <c r="B229" s="100"/>
      <c r="E229" s="100"/>
      <c r="F229" s="100"/>
    </row>
    <row r="230" spans="2:6" ht="12.75" customHeight="1" x14ac:dyDescent="0.25">
      <c r="B230" s="100"/>
      <c r="E230" s="100"/>
      <c r="F230" s="100"/>
    </row>
    <row r="231" spans="2:6" ht="12.75" customHeight="1" x14ac:dyDescent="0.25">
      <c r="B231" s="100"/>
      <c r="E231" s="100"/>
      <c r="F231" s="100"/>
    </row>
    <row r="232" spans="2:6" ht="12.75" customHeight="1" x14ac:dyDescent="0.25">
      <c r="B232" s="100"/>
      <c r="E232" s="100"/>
      <c r="F232" s="100"/>
    </row>
    <row r="233" spans="2:6" ht="12.75" customHeight="1" x14ac:dyDescent="0.25">
      <c r="B233" s="100"/>
      <c r="E233" s="100"/>
      <c r="F233" s="100"/>
    </row>
    <row r="234" spans="2:6" ht="12.75" customHeight="1" x14ac:dyDescent="0.25">
      <c r="B234" s="100"/>
      <c r="E234" s="100"/>
      <c r="F234" s="100"/>
    </row>
    <row r="235" spans="2:6" ht="12.75" customHeight="1" x14ac:dyDescent="0.25">
      <c r="B235" s="100"/>
      <c r="E235" s="100"/>
      <c r="F235" s="100"/>
    </row>
    <row r="236" spans="2:6" ht="12.75" customHeight="1" x14ac:dyDescent="0.25">
      <c r="B236" s="100"/>
      <c r="E236" s="100"/>
      <c r="F236" s="100"/>
    </row>
    <row r="237" spans="2:6" ht="12.75" customHeight="1" x14ac:dyDescent="0.25">
      <c r="B237" s="100"/>
      <c r="E237" s="100"/>
      <c r="F237" s="100"/>
    </row>
    <row r="238" spans="2:6" ht="12.75" customHeight="1" x14ac:dyDescent="0.25">
      <c r="B238" s="100"/>
      <c r="E238" s="100"/>
      <c r="F238" s="100"/>
    </row>
    <row r="239" spans="2:6" ht="12.75" customHeight="1" x14ac:dyDescent="0.25">
      <c r="B239" s="100"/>
      <c r="E239" s="100"/>
      <c r="F239" s="100"/>
    </row>
    <row r="240" spans="2:6" ht="12.75" customHeight="1" x14ac:dyDescent="0.25">
      <c r="B240" s="100"/>
      <c r="E240" s="100"/>
      <c r="F240" s="100"/>
    </row>
    <row r="241" spans="2:6" ht="12.75" customHeight="1" x14ac:dyDescent="0.25">
      <c r="B241" s="100"/>
      <c r="E241" s="100"/>
      <c r="F241" s="100"/>
    </row>
    <row r="242" spans="2:6" ht="12.75" customHeight="1" x14ac:dyDescent="0.25">
      <c r="B242" s="100"/>
      <c r="E242" s="100"/>
      <c r="F242" s="100"/>
    </row>
    <row r="243" spans="2:6" ht="12.75" customHeight="1" x14ac:dyDescent="0.25">
      <c r="B243" s="100"/>
      <c r="E243" s="100"/>
      <c r="F243" s="100"/>
    </row>
    <row r="244" spans="2:6" ht="12.75" customHeight="1" x14ac:dyDescent="0.25">
      <c r="B244" s="100"/>
      <c r="E244" s="100"/>
      <c r="F244" s="100"/>
    </row>
    <row r="245" spans="2:6" ht="12.75" customHeight="1" x14ac:dyDescent="0.25">
      <c r="B245" s="100"/>
      <c r="E245" s="100"/>
      <c r="F245" s="100"/>
    </row>
    <row r="246" spans="2:6" ht="12.75" customHeight="1" x14ac:dyDescent="0.25">
      <c r="B246" s="100"/>
      <c r="E246" s="100"/>
      <c r="F246" s="100"/>
    </row>
    <row r="247" spans="2:6" ht="12.75" customHeight="1" x14ac:dyDescent="0.25">
      <c r="B247" s="100"/>
      <c r="E247" s="100"/>
      <c r="F247" s="100"/>
    </row>
    <row r="248" spans="2:6" ht="12.75" customHeight="1" x14ac:dyDescent="0.25">
      <c r="B248" s="100"/>
      <c r="E248" s="100"/>
      <c r="F248" s="100"/>
    </row>
    <row r="249" spans="2:6" ht="12.75" customHeight="1" x14ac:dyDescent="0.25">
      <c r="B249" s="100"/>
      <c r="E249" s="100"/>
      <c r="F249" s="100"/>
    </row>
    <row r="250" spans="2:6" ht="12.75" customHeight="1" x14ac:dyDescent="0.25">
      <c r="B250" s="100"/>
      <c r="E250" s="100"/>
      <c r="F250" s="100"/>
    </row>
    <row r="251" spans="2:6" ht="12.75" customHeight="1" x14ac:dyDescent="0.25">
      <c r="B251" s="100"/>
      <c r="E251" s="100"/>
      <c r="F251" s="100"/>
    </row>
    <row r="252" spans="2:6" ht="12.75" customHeight="1" x14ac:dyDescent="0.25">
      <c r="B252" s="100"/>
      <c r="E252" s="100"/>
      <c r="F252" s="100"/>
    </row>
    <row r="253" spans="2:6" ht="12.75" customHeight="1" x14ac:dyDescent="0.25">
      <c r="B253" s="100"/>
      <c r="E253" s="100"/>
      <c r="F253" s="100"/>
    </row>
    <row r="254" spans="2:6" ht="12.75" customHeight="1" x14ac:dyDescent="0.25">
      <c r="B254" s="100"/>
      <c r="E254" s="100"/>
      <c r="F254" s="100"/>
    </row>
    <row r="255" spans="2:6" ht="12.75" customHeight="1" x14ac:dyDescent="0.25">
      <c r="B255" s="100"/>
      <c r="E255" s="100"/>
      <c r="F255" s="100"/>
    </row>
    <row r="256" spans="2:6" ht="12.75" customHeight="1" x14ac:dyDescent="0.25">
      <c r="B256" s="100"/>
      <c r="E256" s="100"/>
      <c r="F256" s="100"/>
    </row>
    <row r="257" spans="2:6" ht="12.75" customHeight="1" x14ac:dyDescent="0.25">
      <c r="B257" s="100"/>
      <c r="E257" s="100"/>
      <c r="F257" s="100"/>
    </row>
    <row r="258" spans="2:6" ht="12.75" customHeight="1" x14ac:dyDescent="0.25">
      <c r="B258" s="100"/>
      <c r="E258" s="100"/>
      <c r="F258" s="100"/>
    </row>
    <row r="259" spans="2:6" ht="12.75" customHeight="1" x14ac:dyDescent="0.25">
      <c r="B259" s="100"/>
      <c r="E259" s="100"/>
      <c r="F259" s="100"/>
    </row>
    <row r="260" spans="2:6" ht="12.75" customHeight="1" x14ac:dyDescent="0.25">
      <c r="B260" s="100"/>
      <c r="E260" s="100"/>
      <c r="F260" s="100"/>
    </row>
    <row r="261" spans="2:6" ht="12.75" customHeight="1" x14ac:dyDescent="0.25">
      <c r="B261" s="100"/>
      <c r="E261" s="100"/>
      <c r="F261" s="100"/>
    </row>
    <row r="262" spans="2:6" ht="12.75" customHeight="1" x14ac:dyDescent="0.25">
      <c r="B262" s="100"/>
      <c r="E262" s="100"/>
      <c r="F262" s="100"/>
    </row>
    <row r="263" spans="2:6" ht="12.75" customHeight="1" x14ac:dyDescent="0.25">
      <c r="B263" s="100"/>
      <c r="E263" s="100"/>
      <c r="F263" s="100"/>
    </row>
    <row r="264" spans="2:6" ht="12.75" customHeight="1" x14ac:dyDescent="0.25">
      <c r="B264" s="100"/>
      <c r="E264" s="100"/>
      <c r="F264" s="100"/>
    </row>
    <row r="265" spans="2:6" ht="12.75" customHeight="1" x14ac:dyDescent="0.25">
      <c r="B265" s="100"/>
      <c r="E265" s="100"/>
      <c r="F265" s="100"/>
    </row>
    <row r="266" spans="2:6" ht="12.75" customHeight="1" x14ac:dyDescent="0.25">
      <c r="B266" s="100"/>
      <c r="E266" s="100"/>
      <c r="F266" s="100"/>
    </row>
    <row r="267" spans="2:6" ht="12.75" customHeight="1" x14ac:dyDescent="0.25">
      <c r="B267" s="100"/>
      <c r="E267" s="100"/>
      <c r="F267" s="100"/>
    </row>
    <row r="268" spans="2:6" ht="12.75" customHeight="1" x14ac:dyDescent="0.25">
      <c r="B268" s="100"/>
      <c r="E268" s="100"/>
      <c r="F268" s="100"/>
    </row>
    <row r="269" spans="2:6" ht="12.75" customHeight="1" x14ac:dyDescent="0.25">
      <c r="B269" s="100"/>
      <c r="E269" s="100"/>
      <c r="F269" s="100"/>
    </row>
    <row r="270" spans="2:6" ht="12.75" customHeight="1" x14ac:dyDescent="0.25">
      <c r="B270" s="100"/>
      <c r="E270" s="100"/>
      <c r="F270" s="100"/>
    </row>
    <row r="271" spans="2:6" ht="12.75" customHeight="1" x14ac:dyDescent="0.25">
      <c r="B271" s="100"/>
      <c r="E271" s="100"/>
      <c r="F271" s="100"/>
    </row>
    <row r="272" spans="2:6" ht="12.75" customHeight="1" x14ac:dyDescent="0.25">
      <c r="B272" s="100"/>
      <c r="E272" s="100"/>
      <c r="F272" s="100"/>
    </row>
    <row r="273" spans="2:6" ht="12.75" customHeight="1" x14ac:dyDescent="0.25">
      <c r="B273" s="100"/>
      <c r="E273" s="100"/>
      <c r="F273" s="100"/>
    </row>
    <row r="274" spans="2:6" ht="12.75" customHeight="1" x14ac:dyDescent="0.25">
      <c r="B274" s="100"/>
      <c r="E274" s="100"/>
      <c r="F274" s="100"/>
    </row>
    <row r="275" spans="2:6" ht="12.75" customHeight="1" x14ac:dyDescent="0.25">
      <c r="B275" s="100"/>
      <c r="E275" s="100"/>
      <c r="F275" s="100"/>
    </row>
    <row r="276" spans="2:6" ht="12.75" customHeight="1" x14ac:dyDescent="0.25">
      <c r="B276" s="100"/>
      <c r="E276" s="100"/>
      <c r="F276" s="100"/>
    </row>
    <row r="277" spans="2:6" ht="12.75" customHeight="1" x14ac:dyDescent="0.25">
      <c r="B277" s="100"/>
      <c r="E277" s="100"/>
      <c r="F277" s="100"/>
    </row>
    <row r="278" spans="2:6" ht="12.75" customHeight="1" x14ac:dyDescent="0.25">
      <c r="B278" s="100"/>
      <c r="E278" s="100"/>
      <c r="F278" s="100"/>
    </row>
    <row r="279" spans="2:6" ht="12.75" customHeight="1" x14ac:dyDescent="0.25">
      <c r="B279" s="100"/>
      <c r="E279" s="100"/>
      <c r="F279" s="100"/>
    </row>
    <row r="280" spans="2:6" ht="12.75" customHeight="1" x14ac:dyDescent="0.25">
      <c r="B280" s="100"/>
      <c r="E280" s="100"/>
      <c r="F280" s="100"/>
    </row>
    <row r="281" spans="2:6" ht="12.75" customHeight="1" x14ac:dyDescent="0.25">
      <c r="B281" s="100"/>
      <c r="E281" s="100"/>
      <c r="F281" s="100"/>
    </row>
    <row r="282" spans="2:6" ht="12.75" customHeight="1" x14ac:dyDescent="0.25">
      <c r="B282" s="100"/>
      <c r="E282" s="100"/>
      <c r="F282" s="100"/>
    </row>
    <row r="283" spans="2:6" ht="12.75" customHeight="1" x14ac:dyDescent="0.25">
      <c r="B283" s="100"/>
      <c r="E283" s="100"/>
      <c r="F283" s="100"/>
    </row>
    <row r="284" spans="2:6" ht="12.75" customHeight="1" x14ac:dyDescent="0.25">
      <c r="B284" s="100"/>
      <c r="E284" s="100"/>
      <c r="F284" s="100"/>
    </row>
    <row r="285" spans="2:6" ht="12.75" customHeight="1" x14ac:dyDescent="0.25">
      <c r="B285" s="100"/>
      <c r="E285" s="100"/>
      <c r="F285" s="100"/>
    </row>
    <row r="286" spans="2:6" ht="12.75" customHeight="1" x14ac:dyDescent="0.25">
      <c r="B286" s="100"/>
      <c r="E286" s="100"/>
      <c r="F286" s="100"/>
    </row>
    <row r="287" spans="2:6" ht="12.75" customHeight="1" x14ac:dyDescent="0.25">
      <c r="B287" s="100"/>
      <c r="E287" s="100"/>
      <c r="F287" s="100"/>
    </row>
    <row r="288" spans="2:6" ht="12.75" customHeight="1" x14ac:dyDescent="0.25">
      <c r="B288" s="100"/>
      <c r="E288" s="100"/>
      <c r="F288" s="100"/>
    </row>
    <row r="289" spans="2:6" ht="12.75" customHeight="1" x14ac:dyDescent="0.25">
      <c r="B289" s="100"/>
      <c r="E289" s="100"/>
      <c r="F289" s="100"/>
    </row>
    <row r="290" spans="2:6" ht="12.75" customHeight="1" x14ac:dyDescent="0.25">
      <c r="B290" s="100"/>
      <c r="E290" s="100"/>
      <c r="F290" s="100"/>
    </row>
    <row r="291" spans="2:6" ht="12.75" customHeight="1" x14ac:dyDescent="0.25">
      <c r="B291" s="100"/>
      <c r="E291" s="100"/>
      <c r="F291" s="100"/>
    </row>
    <row r="292" spans="2:6" ht="12.75" customHeight="1" x14ac:dyDescent="0.25">
      <c r="B292" s="100"/>
      <c r="E292" s="100"/>
      <c r="F292" s="100"/>
    </row>
    <row r="293" spans="2:6" ht="12.75" customHeight="1" x14ac:dyDescent="0.25">
      <c r="B293" s="100"/>
      <c r="E293" s="100"/>
      <c r="F293" s="100"/>
    </row>
    <row r="294" spans="2:6" ht="12.75" customHeight="1" x14ac:dyDescent="0.25">
      <c r="B294" s="100"/>
      <c r="E294" s="100"/>
      <c r="F294" s="100"/>
    </row>
    <row r="295" spans="2:6" ht="12.75" customHeight="1" x14ac:dyDescent="0.25">
      <c r="B295" s="100"/>
      <c r="E295" s="100"/>
      <c r="F295" s="100"/>
    </row>
    <row r="296" spans="2:6" ht="12.75" customHeight="1" x14ac:dyDescent="0.25">
      <c r="B296" s="100"/>
      <c r="E296" s="100"/>
      <c r="F296" s="100"/>
    </row>
    <row r="297" spans="2:6" ht="12.75" customHeight="1" x14ac:dyDescent="0.25">
      <c r="B297" s="100"/>
      <c r="E297" s="100"/>
      <c r="F297" s="100"/>
    </row>
    <row r="298" spans="2:6" ht="12.75" customHeight="1" x14ac:dyDescent="0.25">
      <c r="B298" s="100"/>
      <c r="E298" s="100"/>
      <c r="F298" s="100"/>
    </row>
    <row r="299" spans="2:6" ht="12.75" customHeight="1" x14ac:dyDescent="0.25">
      <c r="B299" s="100"/>
      <c r="E299" s="100"/>
      <c r="F299" s="100"/>
    </row>
    <row r="300" spans="2:6" ht="12.75" customHeight="1" x14ac:dyDescent="0.25">
      <c r="B300" s="100"/>
      <c r="E300" s="100"/>
      <c r="F300" s="100"/>
    </row>
    <row r="301" spans="2:6" ht="12.75" customHeight="1" x14ac:dyDescent="0.25">
      <c r="B301" s="100"/>
      <c r="E301" s="100"/>
      <c r="F301" s="100"/>
    </row>
    <row r="302" spans="2:6" ht="12.75" customHeight="1" x14ac:dyDescent="0.25">
      <c r="B302" s="100"/>
      <c r="E302" s="100"/>
      <c r="F302" s="100"/>
    </row>
    <row r="303" spans="2:6" ht="12.75" customHeight="1" x14ac:dyDescent="0.25">
      <c r="B303" s="100"/>
      <c r="E303" s="100"/>
      <c r="F303" s="100"/>
    </row>
    <row r="304" spans="2:6" ht="12.75" customHeight="1" x14ac:dyDescent="0.25">
      <c r="B304" s="100"/>
      <c r="E304" s="100"/>
      <c r="F304" s="100"/>
    </row>
    <row r="305" spans="2:6" ht="12.75" customHeight="1" x14ac:dyDescent="0.25">
      <c r="B305" s="100"/>
      <c r="E305" s="100"/>
      <c r="F305" s="100"/>
    </row>
    <row r="306" spans="2:6" ht="12.75" customHeight="1" x14ac:dyDescent="0.25">
      <c r="B306" s="100"/>
      <c r="E306" s="100"/>
      <c r="F306" s="100"/>
    </row>
    <row r="307" spans="2:6" ht="12.75" customHeight="1" x14ac:dyDescent="0.25">
      <c r="B307" s="100"/>
      <c r="E307" s="100"/>
      <c r="F307" s="100"/>
    </row>
    <row r="308" spans="2:6" ht="12.75" customHeight="1" x14ac:dyDescent="0.25">
      <c r="B308" s="100"/>
      <c r="E308" s="100"/>
      <c r="F308" s="100"/>
    </row>
    <row r="309" spans="2:6" ht="12.75" customHeight="1" x14ac:dyDescent="0.25">
      <c r="B309" s="100"/>
      <c r="E309" s="100"/>
      <c r="F309" s="100"/>
    </row>
    <row r="310" spans="2:6" ht="12.75" customHeight="1" x14ac:dyDescent="0.25">
      <c r="B310" s="100"/>
      <c r="E310" s="100"/>
      <c r="F310" s="100"/>
    </row>
    <row r="311" spans="2:6" ht="12.75" customHeight="1" x14ac:dyDescent="0.25">
      <c r="B311" s="100"/>
      <c r="E311" s="100"/>
      <c r="F311" s="100"/>
    </row>
    <row r="312" spans="2:6" ht="12.75" customHeight="1" x14ac:dyDescent="0.25">
      <c r="B312" s="100"/>
      <c r="E312" s="100"/>
      <c r="F312" s="100"/>
    </row>
    <row r="313" spans="2:6" ht="12.75" customHeight="1" x14ac:dyDescent="0.25">
      <c r="B313" s="100"/>
      <c r="E313" s="100"/>
      <c r="F313" s="100"/>
    </row>
    <row r="314" spans="2:6" ht="12.75" customHeight="1" x14ac:dyDescent="0.25">
      <c r="B314" s="100"/>
      <c r="E314" s="100"/>
      <c r="F314" s="100"/>
    </row>
    <row r="315" spans="2:6" ht="12.75" customHeight="1" x14ac:dyDescent="0.25">
      <c r="B315" s="100"/>
      <c r="E315" s="100"/>
      <c r="F315" s="100"/>
    </row>
    <row r="316" spans="2:6" ht="12.75" customHeight="1" x14ac:dyDescent="0.25">
      <c r="B316" s="100"/>
      <c r="E316" s="100"/>
      <c r="F316" s="100"/>
    </row>
    <row r="317" spans="2:6" ht="12.75" customHeight="1" x14ac:dyDescent="0.25">
      <c r="B317" s="100"/>
      <c r="E317" s="100"/>
      <c r="F317" s="100"/>
    </row>
    <row r="318" spans="2:6" ht="12.75" customHeight="1" x14ac:dyDescent="0.25">
      <c r="B318" s="100"/>
      <c r="E318" s="100"/>
      <c r="F318" s="100"/>
    </row>
    <row r="319" spans="2:6" ht="12.75" customHeight="1" x14ac:dyDescent="0.25">
      <c r="B319" s="100"/>
      <c r="E319" s="100"/>
      <c r="F319" s="100"/>
    </row>
    <row r="320" spans="2:6" ht="12.75" customHeight="1" x14ac:dyDescent="0.25">
      <c r="B320" s="100"/>
      <c r="E320" s="100"/>
      <c r="F320" s="100"/>
    </row>
    <row r="321" spans="2:6" ht="12.75" customHeight="1" x14ac:dyDescent="0.25">
      <c r="B321" s="100"/>
      <c r="E321" s="100"/>
      <c r="F321" s="100"/>
    </row>
    <row r="322" spans="2:6" ht="12.75" customHeight="1" x14ac:dyDescent="0.25">
      <c r="B322" s="100"/>
      <c r="E322" s="100"/>
      <c r="F322" s="100"/>
    </row>
    <row r="323" spans="2:6" ht="12.75" customHeight="1" x14ac:dyDescent="0.25">
      <c r="B323" s="100"/>
      <c r="E323" s="100"/>
      <c r="F323" s="100"/>
    </row>
    <row r="324" spans="2:6" ht="12.75" customHeight="1" x14ac:dyDescent="0.25">
      <c r="B324" s="100"/>
      <c r="E324" s="100"/>
      <c r="F324" s="100"/>
    </row>
    <row r="325" spans="2:6" ht="12.75" customHeight="1" x14ac:dyDescent="0.25">
      <c r="B325" s="100"/>
      <c r="E325" s="100"/>
      <c r="F325" s="100"/>
    </row>
    <row r="326" spans="2:6" ht="12.75" customHeight="1" x14ac:dyDescent="0.25">
      <c r="B326" s="100"/>
      <c r="E326" s="100"/>
      <c r="F326" s="100"/>
    </row>
    <row r="327" spans="2:6" ht="12.75" customHeight="1" x14ac:dyDescent="0.25">
      <c r="B327" s="100"/>
      <c r="E327" s="100"/>
      <c r="F327" s="100"/>
    </row>
    <row r="328" spans="2:6" ht="12.75" customHeight="1" x14ac:dyDescent="0.25">
      <c r="B328" s="100"/>
      <c r="E328" s="100"/>
      <c r="F328" s="100"/>
    </row>
    <row r="329" spans="2:6" ht="12.75" customHeight="1" x14ac:dyDescent="0.25">
      <c r="B329" s="100"/>
      <c r="E329" s="100"/>
      <c r="F329" s="100"/>
    </row>
    <row r="330" spans="2:6" ht="12.75" customHeight="1" x14ac:dyDescent="0.25">
      <c r="B330" s="100"/>
      <c r="E330" s="100"/>
      <c r="F330" s="100"/>
    </row>
    <row r="331" spans="2:6" ht="12.75" customHeight="1" x14ac:dyDescent="0.25">
      <c r="B331" s="100"/>
      <c r="E331" s="100"/>
      <c r="F331" s="100"/>
    </row>
    <row r="332" spans="2:6" ht="12.75" customHeight="1" x14ac:dyDescent="0.25">
      <c r="B332" s="100"/>
      <c r="E332" s="100"/>
      <c r="F332" s="100"/>
    </row>
    <row r="333" spans="2:6" ht="12.75" customHeight="1" x14ac:dyDescent="0.25">
      <c r="B333" s="100"/>
      <c r="E333" s="100"/>
      <c r="F333" s="100"/>
    </row>
    <row r="334" spans="2:6" ht="12.75" customHeight="1" x14ac:dyDescent="0.25">
      <c r="B334" s="100"/>
      <c r="E334" s="100"/>
      <c r="F334" s="100"/>
    </row>
    <row r="335" spans="2:6" ht="12.75" customHeight="1" x14ac:dyDescent="0.25">
      <c r="B335" s="100"/>
      <c r="E335" s="100"/>
      <c r="F335" s="100"/>
    </row>
    <row r="336" spans="2:6" ht="12.75" customHeight="1" x14ac:dyDescent="0.25">
      <c r="B336" s="100"/>
      <c r="E336" s="100"/>
      <c r="F336" s="100"/>
    </row>
    <row r="337" spans="2:6" ht="12.75" customHeight="1" x14ac:dyDescent="0.25">
      <c r="B337" s="100"/>
      <c r="E337" s="100"/>
      <c r="F337" s="100"/>
    </row>
    <row r="338" spans="2:6" ht="12.75" customHeight="1" x14ac:dyDescent="0.25">
      <c r="B338" s="100"/>
      <c r="E338" s="100"/>
      <c r="F338" s="100"/>
    </row>
    <row r="339" spans="2:6" ht="12.75" customHeight="1" x14ac:dyDescent="0.25">
      <c r="B339" s="100"/>
      <c r="E339" s="100"/>
      <c r="F339" s="100"/>
    </row>
    <row r="340" spans="2:6" ht="12.75" customHeight="1" x14ac:dyDescent="0.25">
      <c r="B340" s="100"/>
      <c r="E340" s="100"/>
      <c r="F340" s="100"/>
    </row>
    <row r="341" spans="2:6" ht="12.75" customHeight="1" x14ac:dyDescent="0.25">
      <c r="B341" s="100"/>
      <c r="E341" s="100"/>
      <c r="F341" s="100"/>
    </row>
    <row r="342" spans="2:6" ht="12.75" customHeight="1" x14ac:dyDescent="0.25">
      <c r="B342" s="100"/>
      <c r="E342" s="100"/>
      <c r="F342" s="100"/>
    </row>
    <row r="343" spans="2:6" ht="12.75" customHeight="1" x14ac:dyDescent="0.25">
      <c r="B343" s="100"/>
      <c r="E343" s="100"/>
      <c r="F343" s="100"/>
    </row>
    <row r="344" spans="2:6" ht="12.75" customHeight="1" x14ac:dyDescent="0.25">
      <c r="B344" s="100"/>
      <c r="E344" s="100"/>
      <c r="F344" s="100"/>
    </row>
    <row r="345" spans="2:6" ht="12.75" customHeight="1" x14ac:dyDescent="0.25">
      <c r="B345" s="100"/>
      <c r="E345" s="100"/>
      <c r="F345" s="100"/>
    </row>
    <row r="346" spans="2:6" ht="12.75" customHeight="1" x14ac:dyDescent="0.25">
      <c r="B346" s="100"/>
      <c r="E346" s="100"/>
      <c r="F346" s="100"/>
    </row>
    <row r="347" spans="2:6" ht="12.75" customHeight="1" x14ac:dyDescent="0.25">
      <c r="B347" s="100"/>
      <c r="E347" s="100"/>
      <c r="F347" s="100"/>
    </row>
    <row r="348" spans="2:6" ht="12.75" customHeight="1" x14ac:dyDescent="0.25">
      <c r="B348" s="100"/>
      <c r="E348" s="100"/>
      <c r="F348" s="100"/>
    </row>
    <row r="349" spans="2:6" ht="12.75" customHeight="1" x14ac:dyDescent="0.25">
      <c r="B349" s="100"/>
      <c r="E349" s="100"/>
      <c r="F349" s="100"/>
    </row>
    <row r="350" spans="2:6" ht="12.75" customHeight="1" x14ac:dyDescent="0.25">
      <c r="B350" s="100"/>
      <c r="E350" s="100"/>
      <c r="F350" s="100"/>
    </row>
    <row r="351" spans="2:6" ht="12.75" customHeight="1" x14ac:dyDescent="0.25">
      <c r="B351" s="100"/>
      <c r="E351" s="100"/>
      <c r="F351" s="100"/>
    </row>
    <row r="352" spans="2:6" ht="12.75" customHeight="1" x14ac:dyDescent="0.25">
      <c r="B352" s="100"/>
      <c r="E352" s="100"/>
      <c r="F352" s="100"/>
    </row>
    <row r="353" spans="2:6" ht="12.75" customHeight="1" x14ac:dyDescent="0.25">
      <c r="B353" s="100"/>
      <c r="E353" s="100"/>
      <c r="F353" s="100"/>
    </row>
    <row r="354" spans="2:6" ht="12.75" customHeight="1" x14ac:dyDescent="0.25">
      <c r="B354" s="100"/>
      <c r="E354" s="100"/>
      <c r="F354" s="100"/>
    </row>
    <row r="355" spans="2:6" ht="12.75" customHeight="1" x14ac:dyDescent="0.25">
      <c r="B355" s="100"/>
      <c r="E355" s="100"/>
      <c r="F355" s="100"/>
    </row>
    <row r="356" spans="2:6" ht="12.75" customHeight="1" x14ac:dyDescent="0.25">
      <c r="B356" s="100"/>
      <c r="E356" s="100"/>
      <c r="F356" s="100"/>
    </row>
    <row r="357" spans="2:6" ht="12.75" customHeight="1" x14ac:dyDescent="0.25">
      <c r="B357" s="100"/>
      <c r="E357" s="100"/>
      <c r="F357" s="100"/>
    </row>
    <row r="358" spans="2:6" ht="12.75" customHeight="1" x14ac:dyDescent="0.25">
      <c r="B358" s="100"/>
      <c r="E358" s="100"/>
      <c r="F358" s="100"/>
    </row>
    <row r="359" spans="2:6" ht="12.75" customHeight="1" x14ac:dyDescent="0.25">
      <c r="B359" s="100"/>
      <c r="E359" s="100"/>
      <c r="F359" s="100"/>
    </row>
    <row r="360" spans="2:6" ht="12.75" customHeight="1" x14ac:dyDescent="0.25">
      <c r="B360" s="100"/>
      <c r="E360" s="100"/>
      <c r="F360" s="100"/>
    </row>
    <row r="361" spans="2:6" ht="12.75" customHeight="1" x14ac:dyDescent="0.25">
      <c r="B361" s="100"/>
      <c r="E361" s="100"/>
      <c r="F361" s="100"/>
    </row>
    <row r="362" spans="2:6" ht="12.75" customHeight="1" x14ac:dyDescent="0.25">
      <c r="B362" s="100"/>
      <c r="E362" s="100"/>
      <c r="F362" s="100"/>
    </row>
    <row r="363" spans="2:6" ht="12.75" customHeight="1" x14ac:dyDescent="0.25">
      <c r="B363" s="100"/>
      <c r="E363" s="100"/>
      <c r="F363" s="100"/>
    </row>
    <row r="364" spans="2:6" ht="12.75" customHeight="1" x14ac:dyDescent="0.25">
      <c r="B364" s="100"/>
      <c r="E364" s="100"/>
      <c r="F364" s="100"/>
    </row>
    <row r="365" spans="2:6" ht="12.75" customHeight="1" x14ac:dyDescent="0.25">
      <c r="B365" s="100"/>
      <c r="E365" s="100"/>
      <c r="F365" s="100"/>
    </row>
    <row r="366" spans="2:6" ht="12.75" customHeight="1" x14ac:dyDescent="0.25">
      <c r="B366" s="100"/>
      <c r="E366" s="100"/>
      <c r="F366" s="100"/>
    </row>
    <row r="367" spans="2:6" ht="12.75" customHeight="1" x14ac:dyDescent="0.25">
      <c r="B367" s="100"/>
      <c r="E367" s="100"/>
      <c r="F367" s="100"/>
    </row>
    <row r="368" spans="2:6" ht="12.75" customHeight="1" x14ac:dyDescent="0.25">
      <c r="B368" s="100"/>
      <c r="E368" s="100"/>
      <c r="F368" s="100"/>
    </row>
    <row r="369" spans="2:6" ht="12.75" customHeight="1" x14ac:dyDescent="0.25">
      <c r="B369" s="100"/>
      <c r="E369" s="100"/>
      <c r="F369" s="100"/>
    </row>
    <row r="370" spans="2:6" ht="12.75" customHeight="1" x14ac:dyDescent="0.25">
      <c r="B370" s="100"/>
      <c r="E370" s="100"/>
      <c r="F370" s="100"/>
    </row>
    <row r="371" spans="2:6" ht="12.75" customHeight="1" x14ac:dyDescent="0.25">
      <c r="B371" s="100"/>
      <c r="E371" s="100"/>
      <c r="F371" s="100"/>
    </row>
    <row r="372" spans="2:6" ht="12.75" customHeight="1" x14ac:dyDescent="0.25">
      <c r="B372" s="100"/>
      <c r="E372" s="100"/>
      <c r="F372" s="100"/>
    </row>
    <row r="373" spans="2:6" ht="12.75" customHeight="1" x14ac:dyDescent="0.25">
      <c r="B373" s="100"/>
      <c r="E373" s="100"/>
      <c r="F373" s="100"/>
    </row>
    <row r="374" spans="2:6" ht="12.75" customHeight="1" x14ac:dyDescent="0.25">
      <c r="B374" s="100"/>
      <c r="E374" s="100"/>
      <c r="F374" s="100"/>
    </row>
    <row r="375" spans="2:6" ht="12.75" customHeight="1" x14ac:dyDescent="0.25">
      <c r="B375" s="100"/>
      <c r="E375" s="100"/>
      <c r="F375" s="100"/>
    </row>
    <row r="376" spans="2:6" ht="12.75" customHeight="1" x14ac:dyDescent="0.25">
      <c r="B376" s="100"/>
      <c r="E376" s="100"/>
      <c r="F376" s="100"/>
    </row>
    <row r="377" spans="2:6" ht="12.75" customHeight="1" x14ac:dyDescent="0.25">
      <c r="B377" s="100"/>
      <c r="E377" s="100"/>
      <c r="F377" s="100"/>
    </row>
    <row r="378" spans="2:6" ht="12.75" customHeight="1" x14ac:dyDescent="0.25">
      <c r="B378" s="100"/>
      <c r="E378" s="100"/>
      <c r="F378" s="100"/>
    </row>
    <row r="379" spans="2:6" ht="12.75" customHeight="1" x14ac:dyDescent="0.25">
      <c r="B379" s="100"/>
      <c r="E379" s="100"/>
      <c r="F379" s="100"/>
    </row>
    <row r="380" spans="2:6" ht="12.75" customHeight="1" x14ac:dyDescent="0.25">
      <c r="B380" s="100"/>
      <c r="E380" s="100"/>
      <c r="F380" s="100"/>
    </row>
    <row r="381" spans="2:6" ht="12.75" customHeight="1" x14ac:dyDescent="0.25">
      <c r="B381" s="100"/>
      <c r="E381" s="100"/>
      <c r="F381" s="100"/>
    </row>
    <row r="382" spans="2:6" ht="12.75" customHeight="1" x14ac:dyDescent="0.25">
      <c r="B382" s="100"/>
      <c r="E382" s="100"/>
      <c r="F382" s="100"/>
    </row>
    <row r="383" spans="2:6" ht="12.75" customHeight="1" x14ac:dyDescent="0.25">
      <c r="B383" s="100"/>
      <c r="E383" s="100"/>
      <c r="F383" s="100"/>
    </row>
    <row r="384" spans="2:6" ht="12.75" customHeight="1" x14ac:dyDescent="0.25">
      <c r="B384" s="100"/>
      <c r="E384" s="100"/>
      <c r="F384" s="100"/>
    </row>
    <row r="385" spans="2:6" ht="12.75" customHeight="1" x14ac:dyDescent="0.25">
      <c r="B385" s="100"/>
      <c r="E385" s="100"/>
      <c r="F385" s="100"/>
    </row>
    <row r="386" spans="2:6" ht="12.75" customHeight="1" x14ac:dyDescent="0.25">
      <c r="B386" s="100"/>
      <c r="E386" s="100"/>
      <c r="F386" s="100"/>
    </row>
    <row r="387" spans="2:6" ht="12.75" customHeight="1" x14ac:dyDescent="0.25">
      <c r="B387" s="100"/>
      <c r="E387" s="100"/>
      <c r="F387" s="100"/>
    </row>
    <row r="388" spans="2:6" ht="12.75" customHeight="1" x14ac:dyDescent="0.25">
      <c r="B388" s="100"/>
      <c r="E388" s="100"/>
      <c r="F388" s="100"/>
    </row>
    <row r="389" spans="2:6" ht="12.75" customHeight="1" x14ac:dyDescent="0.25">
      <c r="B389" s="100"/>
      <c r="E389" s="100"/>
      <c r="F389" s="100"/>
    </row>
    <row r="390" spans="2:6" ht="12.75" customHeight="1" x14ac:dyDescent="0.25">
      <c r="B390" s="100"/>
      <c r="E390" s="100"/>
      <c r="F390" s="100"/>
    </row>
    <row r="391" spans="2:6" ht="12.75" customHeight="1" x14ac:dyDescent="0.25">
      <c r="B391" s="100"/>
      <c r="E391" s="100"/>
      <c r="F391" s="100"/>
    </row>
    <row r="392" spans="2:6" ht="12.75" customHeight="1" x14ac:dyDescent="0.25">
      <c r="B392" s="100"/>
      <c r="E392" s="100"/>
      <c r="F392" s="100"/>
    </row>
    <row r="393" spans="2:6" ht="12.75" customHeight="1" x14ac:dyDescent="0.25">
      <c r="B393" s="100"/>
      <c r="E393" s="100"/>
      <c r="F393" s="100"/>
    </row>
    <row r="394" spans="2:6" ht="12.75" customHeight="1" x14ac:dyDescent="0.25">
      <c r="B394" s="100"/>
      <c r="E394" s="100"/>
      <c r="F394" s="100"/>
    </row>
    <row r="395" spans="2:6" ht="12.75" customHeight="1" x14ac:dyDescent="0.25">
      <c r="B395" s="100"/>
      <c r="E395" s="100"/>
      <c r="F395" s="100"/>
    </row>
    <row r="396" spans="2:6" ht="12.75" customHeight="1" x14ac:dyDescent="0.25">
      <c r="B396" s="100"/>
      <c r="E396" s="100"/>
      <c r="F396" s="100"/>
    </row>
    <row r="397" spans="2:6" ht="12.75" customHeight="1" x14ac:dyDescent="0.25">
      <c r="B397" s="100"/>
      <c r="E397" s="100"/>
      <c r="F397" s="100"/>
    </row>
    <row r="398" spans="2:6" ht="12.75" customHeight="1" x14ac:dyDescent="0.25">
      <c r="B398" s="100"/>
      <c r="E398" s="100"/>
      <c r="F398" s="100"/>
    </row>
    <row r="399" spans="2:6" ht="12.75" customHeight="1" x14ac:dyDescent="0.25">
      <c r="B399" s="100"/>
      <c r="E399" s="100"/>
      <c r="F399" s="100"/>
    </row>
    <row r="400" spans="2:6" ht="12.75" customHeight="1" x14ac:dyDescent="0.25">
      <c r="B400" s="100"/>
      <c r="E400" s="100"/>
      <c r="F400" s="100"/>
    </row>
    <row r="401" spans="2:6" ht="12.75" customHeight="1" x14ac:dyDescent="0.25">
      <c r="B401" s="100"/>
      <c r="E401" s="100"/>
      <c r="F401" s="100"/>
    </row>
    <row r="402" spans="2:6" ht="12.75" customHeight="1" x14ac:dyDescent="0.25">
      <c r="B402" s="100"/>
      <c r="E402" s="100"/>
      <c r="F402" s="100"/>
    </row>
    <row r="403" spans="2:6" ht="12.75" customHeight="1" x14ac:dyDescent="0.25">
      <c r="B403" s="100"/>
      <c r="E403" s="100"/>
      <c r="F403" s="100"/>
    </row>
    <row r="404" spans="2:6" ht="12.75" customHeight="1" x14ac:dyDescent="0.25">
      <c r="B404" s="100"/>
      <c r="E404" s="100"/>
      <c r="F404" s="100"/>
    </row>
    <row r="405" spans="2:6" ht="12.75" customHeight="1" x14ac:dyDescent="0.25">
      <c r="B405" s="100"/>
      <c r="E405" s="100"/>
      <c r="F405" s="100"/>
    </row>
    <row r="406" spans="2:6" ht="12.75" customHeight="1" x14ac:dyDescent="0.25">
      <c r="B406" s="100"/>
      <c r="E406" s="100"/>
      <c r="F406" s="100"/>
    </row>
    <row r="407" spans="2:6" ht="12.75" customHeight="1" x14ac:dyDescent="0.25">
      <c r="B407" s="100"/>
      <c r="E407" s="100"/>
      <c r="F407" s="100"/>
    </row>
    <row r="408" spans="2:6" ht="12.75" customHeight="1" x14ac:dyDescent="0.25">
      <c r="B408" s="100"/>
      <c r="E408" s="100"/>
      <c r="F408" s="100"/>
    </row>
    <row r="409" spans="2:6" ht="12.75" customHeight="1" x14ac:dyDescent="0.25">
      <c r="B409" s="100"/>
      <c r="E409" s="100"/>
      <c r="F409" s="100"/>
    </row>
    <row r="410" spans="2:6" ht="12.75" customHeight="1" x14ac:dyDescent="0.25">
      <c r="B410" s="100"/>
      <c r="E410" s="100"/>
      <c r="F410" s="100"/>
    </row>
    <row r="411" spans="2:6" ht="12.75" customHeight="1" x14ac:dyDescent="0.25">
      <c r="B411" s="100"/>
      <c r="E411" s="100"/>
      <c r="F411" s="100"/>
    </row>
    <row r="412" spans="2:6" ht="12.75" customHeight="1" x14ac:dyDescent="0.25">
      <c r="B412" s="100"/>
      <c r="E412" s="100"/>
      <c r="F412" s="100"/>
    </row>
    <row r="413" spans="2:6" ht="12.75" customHeight="1" x14ac:dyDescent="0.25">
      <c r="B413" s="100"/>
      <c r="E413" s="100"/>
      <c r="F413" s="100"/>
    </row>
    <row r="414" spans="2:6" ht="12.75" customHeight="1" x14ac:dyDescent="0.25">
      <c r="B414" s="100"/>
      <c r="E414" s="100"/>
      <c r="F414" s="100"/>
    </row>
    <row r="415" spans="2:6" ht="12.75" customHeight="1" x14ac:dyDescent="0.25">
      <c r="B415" s="100"/>
      <c r="E415" s="100"/>
      <c r="F415" s="100"/>
    </row>
    <row r="416" spans="2:6" ht="12.75" customHeight="1" x14ac:dyDescent="0.25">
      <c r="B416" s="100"/>
      <c r="E416" s="100"/>
      <c r="F416" s="100"/>
    </row>
    <row r="417" spans="2:6" ht="12.75" customHeight="1" x14ac:dyDescent="0.25">
      <c r="B417" s="100"/>
      <c r="E417" s="100"/>
      <c r="F417" s="100"/>
    </row>
    <row r="418" spans="2:6" ht="12.75" customHeight="1" x14ac:dyDescent="0.25">
      <c r="B418" s="100"/>
      <c r="E418" s="100"/>
      <c r="F418" s="100"/>
    </row>
    <row r="419" spans="2:6" ht="12.75" customHeight="1" x14ac:dyDescent="0.25">
      <c r="B419" s="100"/>
      <c r="E419" s="100"/>
      <c r="F419" s="100"/>
    </row>
    <row r="420" spans="2:6" ht="12.75" customHeight="1" x14ac:dyDescent="0.25">
      <c r="B420" s="100"/>
      <c r="E420" s="100"/>
      <c r="F420" s="100"/>
    </row>
    <row r="421" spans="2:6" ht="12.75" customHeight="1" x14ac:dyDescent="0.25">
      <c r="B421" s="100"/>
      <c r="E421" s="100"/>
      <c r="F421" s="100"/>
    </row>
    <row r="422" spans="2:6" ht="12.75" customHeight="1" x14ac:dyDescent="0.25">
      <c r="B422" s="100"/>
      <c r="E422" s="100"/>
      <c r="F422" s="100"/>
    </row>
    <row r="423" spans="2:6" ht="12.75" customHeight="1" x14ac:dyDescent="0.25">
      <c r="B423" s="100"/>
      <c r="E423" s="100"/>
      <c r="F423" s="100"/>
    </row>
    <row r="424" spans="2:6" ht="12.75" customHeight="1" x14ac:dyDescent="0.25">
      <c r="B424" s="100"/>
      <c r="E424" s="100"/>
      <c r="F424" s="100"/>
    </row>
    <row r="425" spans="2:6" ht="12.75" customHeight="1" x14ac:dyDescent="0.25">
      <c r="B425" s="100"/>
      <c r="E425" s="100"/>
      <c r="F425" s="100"/>
    </row>
    <row r="426" spans="2:6" ht="12.75" customHeight="1" x14ac:dyDescent="0.25">
      <c r="B426" s="100"/>
      <c r="E426" s="100"/>
      <c r="F426" s="100"/>
    </row>
    <row r="427" spans="2:6" ht="12.75" customHeight="1" x14ac:dyDescent="0.25">
      <c r="B427" s="100"/>
      <c r="E427" s="100"/>
      <c r="F427" s="100"/>
    </row>
    <row r="428" spans="2:6" ht="12.75" customHeight="1" x14ac:dyDescent="0.25">
      <c r="B428" s="100"/>
      <c r="E428" s="100"/>
      <c r="F428" s="100"/>
    </row>
    <row r="429" spans="2:6" ht="12.75" customHeight="1" x14ac:dyDescent="0.25">
      <c r="B429" s="100"/>
      <c r="E429" s="100"/>
      <c r="F429" s="100"/>
    </row>
    <row r="430" spans="2:6" ht="12.75" customHeight="1" x14ac:dyDescent="0.25">
      <c r="B430" s="100"/>
      <c r="E430" s="100"/>
      <c r="F430" s="100"/>
    </row>
    <row r="431" spans="2:6" ht="12.75" customHeight="1" x14ac:dyDescent="0.25">
      <c r="B431" s="100"/>
      <c r="E431" s="100"/>
      <c r="F431" s="100"/>
    </row>
    <row r="432" spans="2:6" ht="12.75" customHeight="1" x14ac:dyDescent="0.25">
      <c r="B432" s="100"/>
      <c r="E432" s="100"/>
      <c r="F432" s="100"/>
    </row>
    <row r="433" spans="2:6" ht="12.75" customHeight="1" x14ac:dyDescent="0.25">
      <c r="B433" s="100"/>
      <c r="E433" s="100"/>
      <c r="F433" s="100"/>
    </row>
    <row r="434" spans="2:6" ht="12.75" customHeight="1" x14ac:dyDescent="0.25">
      <c r="B434" s="100"/>
      <c r="E434" s="100"/>
      <c r="F434" s="100"/>
    </row>
    <row r="435" spans="2:6" ht="12.75" customHeight="1" x14ac:dyDescent="0.25">
      <c r="B435" s="100"/>
      <c r="E435" s="100"/>
      <c r="F435" s="100"/>
    </row>
    <row r="436" spans="2:6" ht="12.75" customHeight="1" x14ac:dyDescent="0.25">
      <c r="B436" s="100"/>
      <c r="E436" s="100"/>
      <c r="F436" s="100"/>
    </row>
    <row r="437" spans="2:6" ht="12.75" customHeight="1" x14ac:dyDescent="0.25">
      <c r="B437" s="100"/>
      <c r="E437" s="100"/>
      <c r="F437" s="100"/>
    </row>
    <row r="438" spans="2:6" ht="12.75" customHeight="1" x14ac:dyDescent="0.25">
      <c r="B438" s="100"/>
      <c r="E438" s="100"/>
      <c r="F438" s="100"/>
    </row>
    <row r="439" spans="2:6" ht="12.75" customHeight="1" x14ac:dyDescent="0.25">
      <c r="B439" s="100"/>
      <c r="E439" s="100"/>
      <c r="F439" s="100"/>
    </row>
    <row r="440" spans="2:6" ht="12.75" customHeight="1" x14ac:dyDescent="0.25">
      <c r="B440" s="100"/>
      <c r="E440" s="100"/>
      <c r="F440" s="100"/>
    </row>
    <row r="441" spans="2:6" ht="12.75" customHeight="1" x14ac:dyDescent="0.25">
      <c r="B441" s="100"/>
      <c r="E441" s="100"/>
      <c r="F441" s="100"/>
    </row>
    <row r="442" spans="2:6" ht="12.75" customHeight="1" x14ac:dyDescent="0.25">
      <c r="B442" s="100"/>
      <c r="E442" s="100"/>
      <c r="F442" s="100"/>
    </row>
    <row r="443" spans="2:6" ht="12.75" customHeight="1" x14ac:dyDescent="0.25">
      <c r="B443" s="100"/>
      <c r="E443" s="100"/>
      <c r="F443" s="100"/>
    </row>
    <row r="444" spans="2:6" ht="12.75" customHeight="1" x14ac:dyDescent="0.25">
      <c r="B444" s="100"/>
      <c r="E444" s="100"/>
      <c r="F444" s="100"/>
    </row>
    <row r="445" spans="2:6" ht="12.75" customHeight="1" x14ac:dyDescent="0.25">
      <c r="B445" s="100"/>
      <c r="E445" s="100"/>
      <c r="F445" s="100"/>
    </row>
    <row r="446" spans="2:6" ht="12.75" customHeight="1" x14ac:dyDescent="0.25">
      <c r="B446" s="100"/>
      <c r="E446" s="100"/>
      <c r="F446" s="100"/>
    </row>
    <row r="447" spans="2:6" ht="12.75" customHeight="1" x14ac:dyDescent="0.25">
      <c r="B447" s="100"/>
      <c r="E447" s="100"/>
      <c r="F447" s="100"/>
    </row>
    <row r="448" spans="2:6" ht="12.75" customHeight="1" x14ac:dyDescent="0.25">
      <c r="B448" s="100"/>
      <c r="E448" s="100"/>
      <c r="F448" s="100"/>
    </row>
    <row r="449" spans="2:6" ht="12.75" customHeight="1" x14ac:dyDescent="0.25">
      <c r="B449" s="100"/>
      <c r="E449" s="100"/>
      <c r="F449" s="100"/>
    </row>
    <row r="450" spans="2:6" ht="12.75" customHeight="1" x14ac:dyDescent="0.25">
      <c r="B450" s="100"/>
      <c r="E450" s="100"/>
      <c r="F450" s="100"/>
    </row>
    <row r="451" spans="2:6" ht="12.75" customHeight="1" x14ac:dyDescent="0.25">
      <c r="B451" s="100"/>
      <c r="E451" s="100"/>
      <c r="F451" s="100"/>
    </row>
    <row r="452" spans="2:6" ht="12.75" customHeight="1" x14ac:dyDescent="0.25">
      <c r="B452" s="100"/>
      <c r="E452" s="100"/>
      <c r="F452" s="100"/>
    </row>
    <row r="453" spans="2:6" ht="12.75" customHeight="1" x14ac:dyDescent="0.25">
      <c r="B453" s="100"/>
      <c r="E453" s="100"/>
      <c r="F453" s="100"/>
    </row>
    <row r="454" spans="2:6" ht="12.75" customHeight="1" x14ac:dyDescent="0.25">
      <c r="B454" s="100"/>
      <c r="E454" s="100"/>
      <c r="F454" s="100"/>
    </row>
    <row r="455" spans="2:6" ht="12.75" customHeight="1" x14ac:dyDescent="0.25">
      <c r="B455" s="100"/>
      <c r="E455" s="100"/>
      <c r="F455" s="100"/>
    </row>
    <row r="456" spans="2:6" ht="12.75" customHeight="1" x14ac:dyDescent="0.25">
      <c r="B456" s="100"/>
      <c r="E456" s="100"/>
      <c r="F456" s="100"/>
    </row>
    <row r="457" spans="2:6" ht="12.75" customHeight="1" x14ac:dyDescent="0.25">
      <c r="B457" s="100"/>
      <c r="E457" s="100"/>
      <c r="F457" s="100"/>
    </row>
    <row r="458" spans="2:6" ht="12.75" customHeight="1" x14ac:dyDescent="0.25">
      <c r="B458" s="100"/>
      <c r="E458" s="100"/>
      <c r="F458" s="100"/>
    </row>
    <row r="459" spans="2:6" ht="12.75" customHeight="1" x14ac:dyDescent="0.25">
      <c r="B459" s="100"/>
      <c r="E459" s="100"/>
      <c r="F459" s="100"/>
    </row>
    <row r="460" spans="2:6" ht="12.75" customHeight="1" x14ac:dyDescent="0.25">
      <c r="B460" s="100"/>
      <c r="E460" s="100"/>
      <c r="F460" s="100"/>
    </row>
    <row r="461" spans="2:6" ht="12.75" customHeight="1" x14ac:dyDescent="0.25">
      <c r="B461" s="100"/>
      <c r="E461" s="100"/>
      <c r="F461" s="100"/>
    </row>
    <row r="462" spans="2:6" ht="12.75" customHeight="1" x14ac:dyDescent="0.25">
      <c r="B462" s="100"/>
      <c r="E462" s="100"/>
      <c r="F462" s="100"/>
    </row>
    <row r="463" spans="2:6" ht="12.75" customHeight="1" x14ac:dyDescent="0.25">
      <c r="B463" s="100"/>
      <c r="E463" s="100"/>
      <c r="F463" s="100"/>
    </row>
    <row r="464" spans="2:6" ht="12.75" customHeight="1" x14ac:dyDescent="0.25">
      <c r="B464" s="100"/>
      <c r="E464" s="100"/>
      <c r="F464" s="100"/>
    </row>
    <row r="465" spans="2:6" ht="12.75" customHeight="1" x14ac:dyDescent="0.25">
      <c r="B465" s="100"/>
      <c r="E465" s="100"/>
      <c r="F465" s="100"/>
    </row>
    <row r="466" spans="2:6" ht="12.75" customHeight="1" x14ac:dyDescent="0.25">
      <c r="B466" s="100"/>
      <c r="E466" s="100"/>
      <c r="F466" s="100"/>
    </row>
    <row r="467" spans="2:6" ht="12.75" customHeight="1" x14ac:dyDescent="0.25">
      <c r="B467" s="100"/>
      <c r="E467" s="100"/>
      <c r="F467" s="100"/>
    </row>
    <row r="468" spans="2:6" ht="12.75" customHeight="1" x14ac:dyDescent="0.25">
      <c r="B468" s="100"/>
      <c r="E468" s="100"/>
      <c r="F468" s="100"/>
    </row>
    <row r="469" spans="2:6" ht="12.75" customHeight="1" x14ac:dyDescent="0.25">
      <c r="B469" s="100"/>
      <c r="E469" s="100"/>
      <c r="F469" s="100"/>
    </row>
    <row r="470" spans="2:6" ht="12.75" customHeight="1" x14ac:dyDescent="0.25">
      <c r="B470" s="100"/>
      <c r="E470" s="100"/>
      <c r="F470" s="100"/>
    </row>
    <row r="471" spans="2:6" ht="12.75" customHeight="1" x14ac:dyDescent="0.25">
      <c r="B471" s="100"/>
      <c r="E471" s="100"/>
      <c r="F471" s="100"/>
    </row>
    <row r="472" spans="2:6" ht="12.75" customHeight="1" x14ac:dyDescent="0.25">
      <c r="B472" s="100"/>
      <c r="E472" s="100"/>
      <c r="F472" s="100"/>
    </row>
    <row r="473" spans="2:6" ht="12.75" customHeight="1" x14ac:dyDescent="0.25">
      <c r="B473" s="100"/>
      <c r="E473" s="100"/>
      <c r="F473" s="100"/>
    </row>
    <row r="474" spans="2:6" ht="12.75" customHeight="1" x14ac:dyDescent="0.25">
      <c r="B474" s="100"/>
      <c r="E474" s="100"/>
      <c r="F474" s="100"/>
    </row>
    <row r="475" spans="2:6" ht="12.75" customHeight="1" x14ac:dyDescent="0.25">
      <c r="B475" s="100"/>
      <c r="E475" s="100"/>
      <c r="F475" s="100"/>
    </row>
    <row r="476" spans="2:6" ht="12.75" customHeight="1" x14ac:dyDescent="0.25">
      <c r="B476" s="100"/>
      <c r="E476" s="100"/>
      <c r="F476" s="100"/>
    </row>
    <row r="477" spans="2:6" ht="12.75" customHeight="1" x14ac:dyDescent="0.25">
      <c r="B477" s="100"/>
      <c r="E477" s="100"/>
      <c r="F477" s="100"/>
    </row>
    <row r="478" spans="2:6" ht="12.75" customHeight="1" x14ac:dyDescent="0.25">
      <c r="B478" s="100"/>
      <c r="E478" s="100"/>
      <c r="F478" s="100"/>
    </row>
    <row r="479" spans="2:6" ht="12.75" customHeight="1" x14ac:dyDescent="0.25">
      <c r="B479" s="100"/>
      <c r="E479" s="100"/>
      <c r="F479" s="100"/>
    </row>
    <row r="480" spans="2:6" ht="12.75" customHeight="1" x14ac:dyDescent="0.25">
      <c r="B480" s="100"/>
      <c r="E480" s="100"/>
      <c r="F480" s="100"/>
    </row>
    <row r="481" spans="2:6" ht="12.75" customHeight="1" x14ac:dyDescent="0.25">
      <c r="B481" s="100"/>
      <c r="E481" s="100"/>
      <c r="F481" s="100"/>
    </row>
    <row r="482" spans="2:6" ht="12.75" customHeight="1" x14ac:dyDescent="0.25">
      <c r="B482" s="100"/>
      <c r="E482" s="100"/>
      <c r="F482" s="100"/>
    </row>
    <row r="483" spans="2:6" ht="12.75" customHeight="1" x14ac:dyDescent="0.25">
      <c r="B483" s="100"/>
      <c r="E483" s="100"/>
      <c r="F483" s="100"/>
    </row>
    <row r="484" spans="2:6" ht="12.75" customHeight="1" x14ac:dyDescent="0.25">
      <c r="B484" s="100"/>
      <c r="E484" s="100"/>
      <c r="F484" s="100"/>
    </row>
    <row r="485" spans="2:6" ht="12.75" customHeight="1" x14ac:dyDescent="0.25">
      <c r="B485" s="100"/>
      <c r="E485" s="100"/>
      <c r="F485" s="100"/>
    </row>
    <row r="486" spans="2:6" ht="12.75" customHeight="1" x14ac:dyDescent="0.25">
      <c r="B486" s="100"/>
      <c r="E486" s="100"/>
      <c r="F486" s="100"/>
    </row>
    <row r="487" spans="2:6" ht="12.75" customHeight="1" x14ac:dyDescent="0.25">
      <c r="B487" s="100"/>
      <c r="E487" s="100"/>
      <c r="F487" s="100"/>
    </row>
    <row r="488" spans="2:6" ht="12.75" customHeight="1" x14ac:dyDescent="0.25">
      <c r="B488" s="100"/>
      <c r="E488" s="100"/>
      <c r="F488" s="100"/>
    </row>
    <row r="489" spans="2:6" ht="12.75" customHeight="1" x14ac:dyDescent="0.25">
      <c r="B489" s="100"/>
      <c r="E489" s="100"/>
      <c r="F489" s="100"/>
    </row>
    <row r="490" spans="2:6" ht="12.75" customHeight="1" x14ac:dyDescent="0.25">
      <c r="B490" s="100"/>
      <c r="E490" s="100"/>
      <c r="F490" s="100"/>
    </row>
    <row r="491" spans="2:6" ht="12.75" customHeight="1" x14ac:dyDescent="0.25">
      <c r="B491" s="100"/>
      <c r="E491" s="100"/>
      <c r="F491" s="100"/>
    </row>
    <row r="492" spans="2:6" ht="12.75" customHeight="1" x14ac:dyDescent="0.25">
      <c r="B492" s="100"/>
      <c r="E492" s="100"/>
      <c r="F492" s="100"/>
    </row>
    <row r="493" spans="2:6" ht="12.75" customHeight="1" x14ac:dyDescent="0.25">
      <c r="B493" s="100"/>
      <c r="E493" s="100"/>
      <c r="F493" s="100"/>
    </row>
    <row r="494" spans="2:6" ht="12.75" customHeight="1" x14ac:dyDescent="0.25">
      <c r="B494" s="100"/>
      <c r="E494" s="100"/>
      <c r="F494" s="100"/>
    </row>
    <row r="495" spans="2:6" ht="12.75" customHeight="1" x14ac:dyDescent="0.25">
      <c r="B495" s="100"/>
      <c r="E495" s="100"/>
      <c r="F495" s="100"/>
    </row>
    <row r="496" spans="2:6" ht="12.75" customHeight="1" x14ac:dyDescent="0.25">
      <c r="B496" s="100"/>
      <c r="E496" s="100"/>
      <c r="F496" s="100"/>
    </row>
    <row r="497" spans="2:6" ht="12.75" customHeight="1" x14ac:dyDescent="0.25">
      <c r="B497" s="100"/>
      <c r="E497" s="100"/>
      <c r="F497" s="100"/>
    </row>
    <row r="498" spans="2:6" ht="12.75" customHeight="1" x14ac:dyDescent="0.25">
      <c r="B498" s="100"/>
      <c r="E498" s="100"/>
      <c r="F498" s="100"/>
    </row>
    <row r="499" spans="2:6" ht="12.75" customHeight="1" x14ac:dyDescent="0.25">
      <c r="B499" s="100"/>
      <c r="E499" s="100"/>
      <c r="F499" s="100"/>
    </row>
    <row r="500" spans="2:6" ht="12.75" customHeight="1" x14ac:dyDescent="0.25">
      <c r="B500" s="100"/>
      <c r="E500" s="100"/>
      <c r="F500" s="100"/>
    </row>
    <row r="501" spans="2:6" ht="12.75" customHeight="1" x14ac:dyDescent="0.25">
      <c r="B501" s="100"/>
      <c r="E501" s="100"/>
      <c r="F501" s="100"/>
    </row>
    <row r="502" spans="2:6" ht="12.75" customHeight="1" x14ac:dyDescent="0.25">
      <c r="B502" s="100"/>
      <c r="E502" s="100"/>
      <c r="F502" s="100"/>
    </row>
    <row r="503" spans="2:6" ht="12.75" customHeight="1" x14ac:dyDescent="0.25">
      <c r="B503" s="100"/>
      <c r="E503" s="100"/>
      <c r="F503" s="100"/>
    </row>
    <row r="504" spans="2:6" ht="12.75" customHeight="1" x14ac:dyDescent="0.25">
      <c r="B504" s="100"/>
      <c r="E504" s="100"/>
      <c r="F504" s="100"/>
    </row>
    <row r="505" spans="2:6" ht="12.75" customHeight="1" x14ac:dyDescent="0.25">
      <c r="B505" s="100"/>
      <c r="E505" s="100"/>
      <c r="F505" s="100"/>
    </row>
    <row r="506" spans="2:6" ht="12.75" customHeight="1" x14ac:dyDescent="0.25">
      <c r="B506" s="100"/>
      <c r="E506" s="100"/>
      <c r="F506" s="100"/>
    </row>
    <row r="507" spans="2:6" ht="12.75" customHeight="1" x14ac:dyDescent="0.25">
      <c r="B507" s="100"/>
      <c r="E507" s="100"/>
      <c r="F507" s="100"/>
    </row>
    <row r="508" spans="2:6" ht="12.75" customHeight="1" x14ac:dyDescent="0.25">
      <c r="B508" s="100"/>
      <c r="E508" s="100"/>
      <c r="F508" s="100"/>
    </row>
    <row r="509" spans="2:6" ht="12.75" customHeight="1" x14ac:dyDescent="0.25">
      <c r="B509" s="100"/>
      <c r="E509" s="100"/>
      <c r="F509" s="100"/>
    </row>
    <row r="510" spans="2:6" ht="12.75" customHeight="1" x14ac:dyDescent="0.25">
      <c r="B510" s="100"/>
      <c r="E510" s="100"/>
      <c r="F510" s="100"/>
    </row>
    <row r="511" spans="2:6" ht="12.75" customHeight="1" x14ac:dyDescent="0.25">
      <c r="B511" s="100"/>
      <c r="E511" s="100"/>
      <c r="F511" s="100"/>
    </row>
    <row r="512" spans="2:6" ht="12.75" customHeight="1" x14ac:dyDescent="0.25">
      <c r="B512" s="100"/>
      <c r="E512" s="100"/>
      <c r="F512" s="100"/>
    </row>
    <row r="513" spans="2:6" ht="12.75" customHeight="1" x14ac:dyDescent="0.25">
      <c r="B513" s="100"/>
      <c r="E513" s="100"/>
      <c r="F513" s="100"/>
    </row>
    <row r="514" spans="2:6" ht="12.75" customHeight="1" x14ac:dyDescent="0.25">
      <c r="B514" s="100"/>
      <c r="E514" s="100"/>
      <c r="F514" s="100"/>
    </row>
    <row r="515" spans="2:6" ht="12.75" customHeight="1" x14ac:dyDescent="0.25">
      <c r="B515" s="100"/>
      <c r="E515" s="100"/>
      <c r="F515" s="100"/>
    </row>
    <row r="516" spans="2:6" ht="12.75" customHeight="1" x14ac:dyDescent="0.25">
      <c r="B516" s="100"/>
      <c r="E516" s="100"/>
      <c r="F516" s="100"/>
    </row>
    <row r="517" spans="2:6" ht="12.75" customHeight="1" x14ac:dyDescent="0.25">
      <c r="B517" s="100"/>
      <c r="E517" s="100"/>
      <c r="F517" s="100"/>
    </row>
    <row r="518" spans="2:6" ht="12.75" customHeight="1" x14ac:dyDescent="0.25">
      <c r="B518" s="100"/>
      <c r="E518" s="100"/>
      <c r="F518" s="100"/>
    </row>
    <row r="519" spans="2:6" ht="12.75" customHeight="1" x14ac:dyDescent="0.25">
      <c r="B519" s="100"/>
      <c r="E519" s="100"/>
      <c r="F519" s="100"/>
    </row>
    <row r="520" spans="2:6" ht="12.75" customHeight="1" x14ac:dyDescent="0.25">
      <c r="B520" s="100"/>
      <c r="E520" s="100"/>
      <c r="F520" s="100"/>
    </row>
    <row r="521" spans="2:6" ht="12.75" customHeight="1" x14ac:dyDescent="0.25">
      <c r="B521" s="100"/>
      <c r="E521" s="100"/>
      <c r="F521" s="100"/>
    </row>
    <row r="522" spans="2:6" ht="12.75" customHeight="1" x14ac:dyDescent="0.25">
      <c r="B522" s="100"/>
      <c r="E522" s="100"/>
      <c r="F522" s="100"/>
    </row>
    <row r="523" spans="2:6" ht="12.75" customHeight="1" x14ac:dyDescent="0.25">
      <c r="B523" s="100"/>
      <c r="E523" s="100"/>
      <c r="F523" s="100"/>
    </row>
    <row r="524" spans="2:6" ht="12.75" customHeight="1" x14ac:dyDescent="0.25">
      <c r="B524" s="100"/>
      <c r="E524" s="100"/>
      <c r="F524" s="100"/>
    </row>
    <row r="525" spans="2:6" ht="12.75" customHeight="1" x14ac:dyDescent="0.25">
      <c r="B525" s="100"/>
      <c r="E525" s="100"/>
      <c r="F525" s="100"/>
    </row>
    <row r="526" spans="2:6" ht="12.75" customHeight="1" x14ac:dyDescent="0.25">
      <c r="B526" s="100"/>
      <c r="E526" s="100"/>
      <c r="F526" s="100"/>
    </row>
    <row r="527" spans="2:6" ht="12.75" customHeight="1" x14ac:dyDescent="0.25">
      <c r="B527" s="100"/>
      <c r="E527" s="100"/>
      <c r="F527" s="100"/>
    </row>
    <row r="528" spans="2:6" ht="12.75" customHeight="1" x14ac:dyDescent="0.25">
      <c r="B528" s="100"/>
      <c r="E528" s="100"/>
      <c r="F528" s="100"/>
    </row>
    <row r="529" spans="2:6" ht="12.75" customHeight="1" x14ac:dyDescent="0.25">
      <c r="B529" s="100"/>
      <c r="E529" s="100"/>
      <c r="F529" s="100"/>
    </row>
    <row r="530" spans="2:6" ht="12.75" customHeight="1" x14ac:dyDescent="0.25">
      <c r="B530" s="100"/>
      <c r="E530" s="100"/>
      <c r="F530" s="100"/>
    </row>
    <row r="531" spans="2:6" ht="12.75" customHeight="1" x14ac:dyDescent="0.25">
      <c r="B531" s="100"/>
      <c r="E531" s="100"/>
      <c r="F531" s="100"/>
    </row>
    <row r="532" spans="2:6" ht="12.75" customHeight="1" x14ac:dyDescent="0.25">
      <c r="B532" s="100"/>
      <c r="E532" s="100"/>
      <c r="F532" s="100"/>
    </row>
    <row r="533" spans="2:6" ht="12.75" customHeight="1" x14ac:dyDescent="0.25">
      <c r="B533" s="100"/>
      <c r="E533" s="100"/>
      <c r="F533" s="100"/>
    </row>
    <row r="534" spans="2:6" ht="12.75" customHeight="1" x14ac:dyDescent="0.25">
      <c r="B534" s="100"/>
      <c r="E534" s="100"/>
      <c r="F534" s="100"/>
    </row>
    <row r="535" spans="2:6" ht="12.75" customHeight="1" x14ac:dyDescent="0.25">
      <c r="B535" s="100"/>
      <c r="E535" s="100"/>
      <c r="F535" s="100"/>
    </row>
    <row r="536" spans="2:6" ht="12.75" customHeight="1" x14ac:dyDescent="0.25">
      <c r="B536" s="100"/>
      <c r="E536" s="100"/>
      <c r="F536" s="100"/>
    </row>
    <row r="537" spans="2:6" ht="12.75" customHeight="1" x14ac:dyDescent="0.25">
      <c r="B537" s="100"/>
      <c r="E537" s="100"/>
      <c r="F537" s="100"/>
    </row>
    <row r="538" spans="2:6" ht="12.75" customHeight="1" x14ac:dyDescent="0.25">
      <c r="B538" s="100"/>
      <c r="E538" s="100"/>
      <c r="F538" s="100"/>
    </row>
    <row r="539" spans="2:6" ht="12.75" customHeight="1" x14ac:dyDescent="0.25">
      <c r="B539" s="100"/>
      <c r="E539" s="100"/>
      <c r="F539" s="100"/>
    </row>
    <row r="540" spans="2:6" ht="12.75" customHeight="1" x14ac:dyDescent="0.25">
      <c r="B540" s="100"/>
      <c r="E540" s="100"/>
      <c r="F540" s="100"/>
    </row>
    <row r="541" spans="2:6" ht="12.75" customHeight="1" x14ac:dyDescent="0.25">
      <c r="B541" s="100"/>
      <c r="E541" s="100"/>
      <c r="F541" s="100"/>
    </row>
    <row r="542" spans="2:6" ht="12.75" customHeight="1" x14ac:dyDescent="0.25">
      <c r="B542" s="100"/>
      <c r="E542" s="100"/>
      <c r="F542" s="100"/>
    </row>
    <row r="543" spans="2:6" ht="12.75" customHeight="1" x14ac:dyDescent="0.25">
      <c r="B543" s="100"/>
      <c r="E543" s="100"/>
      <c r="F543" s="100"/>
    </row>
    <row r="544" spans="2:6" ht="12.75" customHeight="1" x14ac:dyDescent="0.25">
      <c r="B544" s="100"/>
      <c r="E544" s="100"/>
      <c r="F544" s="100"/>
    </row>
    <row r="545" spans="2:6" ht="12.75" customHeight="1" x14ac:dyDescent="0.25">
      <c r="B545" s="100"/>
      <c r="E545" s="100"/>
      <c r="F545" s="100"/>
    </row>
    <row r="546" spans="2:6" ht="12.75" customHeight="1" x14ac:dyDescent="0.25">
      <c r="B546" s="100"/>
      <c r="E546" s="100"/>
      <c r="F546" s="100"/>
    </row>
    <row r="547" spans="2:6" ht="12.75" customHeight="1" x14ac:dyDescent="0.25">
      <c r="B547" s="100"/>
      <c r="E547" s="100"/>
      <c r="F547" s="100"/>
    </row>
    <row r="548" spans="2:6" ht="12.75" customHeight="1" x14ac:dyDescent="0.25">
      <c r="B548" s="100"/>
      <c r="E548" s="100"/>
      <c r="F548" s="100"/>
    </row>
    <row r="549" spans="2:6" ht="12.75" customHeight="1" x14ac:dyDescent="0.25">
      <c r="B549" s="100"/>
      <c r="E549" s="100"/>
      <c r="F549" s="100"/>
    </row>
    <row r="550" spans="2:6" ht="12.75" customHeight="1" x14ac:dyDescent="0.25">
      <c r="B550" s="100"/>
      <c r="E550" s="100"/>
      <c r="F550" s="100"/>
    </row>
    <row r="551" spans="2:6" ht="12.75" customHeight="1" x14ac:dyDescent="0.25">
      <c r="B551" s="100"/>
      <c r="E551" s="100"/>
      <c r="F551" s="100"/>
    </row>
    <row r="552" spans="2:6" ht="12.75" customHeight="1" x14ac:dyDescent="0.25">
      <c r="B552" s="100"/>
      <c r="E552" s="100"/>
      <c r="F552" s="100"/>
    </row>
    <row r="553" spans="2:6" ht="12.75" customHeight="1" x14ac:dyDescent="0.25">
      <c r="B553" s="100"/>
      <c r="E553" s="100"/>
      <c r="F553" s="100"/>
    </row>
    <row r="554" spans="2:6" ht="12.75" customHeight="1" x14ac:dyDescent="0.25">
      <c r="B554" s="100"/>
      <c r="E554" s="100"/>
      <c r="F554" s="100"/>
    </row>
    <row r="555" spans="2:6" ht="12.75" customHeight="1" x14ac:dyDescent="0.25">
      <c r="B555" s="100"/>
      <c r="E555" s="100"/>
      <c r="F555" s="100"/>
    </row>
    <row r="556" spans="2:6" ht="12.75" customHeight="1" x14ac:dyDescent="0.25">
      <c r="B556" s="100"/>
      <c r="E556" s="100"/>
      <c r="F556" s="100"/>
    </row>
    <row r="557" spans="2:6" ht="12.75" customHeight="1" x14ac:dyDescent="0.25">
      <c r="B557" s="100"/>
      <c r="E557" s="100"/>
      <c r="F557" s="100"/>
    </row>
    <row r="558" spans="2:6" ht="12.75" customHeight="1" x14ac:dyDescent="0.25">
      <c r="B558" s="100"/>
      <c r="E558" s="100"/>
      <c r="F558" s="100"/>
    </row>
    <row r="559" spans="2:6" ht="12.75" customHeight="1" x14ac:dyDescent="0.25">
      <c r="B559" s="100"/>
      <c r="E559" s="100"/>
      <c r="F559" s="100"/>
    </row>
    <row r="560" spans="2:6" ht="12.75" customHeight="1" x14ac:dyDescent="0.25">
      <c r="B560" s="100"/>
      <c r="E560" s="100"/>
      <c r="F560" s="100"/>
    </row>
    <row r="561" spans="2:6" ht="12.75" customHeight="1" x14ac:dyDescent="0.25">
      <c r="B561" s="100"/>
      <c r="E561" s="100"/>
      <c r="F561" s="100"/>
    </row>
    <row r="562" spans="2:6" ht="12.75" customHeight="1" x14ac:dyDescent="0.25">
      <c r="B562" s="100"/>
      <c r="E562" s="100"/>
      <c r="F562" s="100"/>
    </row>
    <row r="563" spans="2:6" ht="12.75" customHeight="1" x14ac:dyDescent="0.25">
      <c r="B563" s="100"/>
      <c r="E563" s="100"/>
      <c r="F563" s="100"/>
    </row>
    <row r="564" spans="2:6" ht="12.75" customHeight="1" x14ac:dyDescent="0.25">
      <c r="B564" s="100"/>
      <c r="E564" s="100"/>
      <c r="F564" s="100"/>
    </row>
    <row r="565" spans="2:6" ht="12.75" customHeight="1" x14ac:dyDescent="0.25">
      <c r="B565" s="100"/>
      <c r="E565" s="100"/>
      <c r="F565" s="100"/>
    </row>
    <row r="566" spans="2:6" ht="12.75" customHeight="1" x14ac:dyDescent="0.25">
      <c r="B566" s="100"/>
      <c r="E566" s="100"/>
      <c r="F566" s="100"/>
    </row>
    <row r="567" spans="2:6" ht="12.75" customHeight="1" x14ac:dyDescent="0.25">
      <c r="B567" s="100"/>
      <c r="E567" s="100"/>
      <c r="F567" s="100"/>
    </row>
    <row r="568" spans="2:6" ht="12.75" customHeight="1" x14ac:dyDescent="0.25">
      <c r="B568" s="100"/>
      <c r="E568" s="100"/>
      <c r="F568" s="100"/>
    </row>
    <row r="569" spans="2:6" ht="12.75" customHeight="1" x14ac:dyDescent="0.25">
      <c r="B569" s="100"/>
      <c r="E569" s="100"/>
      <c r="F569" s="100"/>
    </row>
    <row r="570" spans="2:6" ht="12.75" customHeight="1" x14ac:dyDescent="0.25">
      <c r="B570" s="100"/>
      <c r="E570" s="100"/>
      <c r="F570" s="100"/>
    </row>
    <row r="571" spans="2:6" ht="12.75" customHeight="1" x14ac:dyDescent="0.25">
      <c r="B571" s="100"/>
      <c r="E571" s="100"/>
      <c r="F571" s="100"/>
    </row>
    <row r="572" spans="2:6" ht="12.75" customHeight="1" x14ac:dyDescent="0.25">
      <c r="B572" s="100"/>
      <c r="E572" s="100"/>
      <c r="F572" s="100"/>
    </row>
    <row r="573" spans="2:6" ht="12.75" customHeight="1" x14ac:dyDescent="0.25">
      <c r="B573" s="100"/>
      <c r="E573" s="100"/>
      <c r="F573" s="100"/>
    </row>
    <row r="574" spans="2:6" ht="12.75" customHeight="1" x14ac:dyDescent="0.25">
      <c r="B574" s="100"/>
      <c r="E574" s="100"/>
      <c r="F574" s="100"/>
    </row>
    <row r="575" spans="2:6" ht="12.75" customHeight="1" x14ac:dyDescent="0.25">
      <c r="B575" s="100"/>
      <c r="E575" s="100"/>
      <c r="F575" s="100"/>
    </row>
    <row r="576" spans="2:6" ht="12.75" customHeight="1" x14ac:dyDescent="0.25">
      <c r="B576" s="100"/>
      <c r="E576" s="100"/>
      <c r="F576" s="100"/>
    </row>
    <row r="577" spans="2:6" ht="12.75" customHeight="1" x14ac:dyDescent="0.25">
      <c r="B577" s="100"/>
      <c r="E577" s="100"/>
      <c r="F577" s="100"/>
    </row>
    <row r="578" spans="2:6" ht="12.75" customHeight="1" x14ac:dyDescent="0.25">
      <c r="B578" s="100"/>
      <c r="E578" s="100"/>
      <c r="F578" s="100"/>
    </row>
    <row r="579" spans="2:6" ht="12.75" customHeight="1" x14ac:dyDescent="0.25">
      <c r="B579" s="100"/>
      <c r="E579" s="100"/>
      <c r="F579" s="100"/>
    </row>
    <row r="580" spans="2:6" ht="12.75" customHeight="1" x14ac:dyDescent="0.25">
      <c r="B580" s="100"/>
      <c r="E580" s="100"/>
      <c r="F580" s="100"/>
    </row>
    <row r="581" spans="2:6" ht="12.75" customHeight="1" x14ac:dyDescent="0.25">
      <c r="B581" s="100"/>
      <c r="E581" s="100"/>
      <c r="F581" s="100"/>
    </row>
    <row r="582" spans="2:6" ht="12.75" customHeight="1" x14ac:dyDescent="0.25">
      <c r="B582" s="100"/>
      <c r="E582" s="100"/>
      <c r="F582" s="100"/>
    </row>
    <row r="583" spans="2:6" ht="12.75" customHeight="1" x14ac:dyDescent="0.25">
      <c r="B583" s="100"/>
      <c r="E583" s="100"/>
      <c r="F583" s="100"/>
    </row>
    <row r="584" spans="2:6" ht="12.75" customHeight="1" x14ac:dyDescent="0.25">
      <c r="B584" s="100"/>
      <c r="E584" s="100"/>
      <c r="F584" s="100"/>
    </row>
    <row r="585" spans="2:6" ht="12.75" customHeight="1" x14ac:dyDescent="0.25">
      <c r="B585" s="100"/>
      <c r="E585" s="100"/>
      <c r="F585" s="100"/>
    </row>
    <row r="586" spans="2:6" ht="12.75" customHeight="1" x14ac:dyDescent="0.25">
      <c r="B586" s="100"/>
      <c r="E586" s="100"/>
      <c r="F586" s="100"/>
    </row>
    <row r="587" spans="2:6" ht="12.75" customHeight="1" x14ac:dyDescent="0.25">
      <c r="B587" s="100"/>
      <c r="E587" s="100"/>
      <c r="F587" s="100"/>
    </row>
    <row r="588" spans="2:6" ht="12.75" customHeight="1" x14ac:dyDescent="0.25">
      <c r="B588" s="100"/>
      <c r="E588" s="100"/>
      <c r="F588" s="100"/>
    </row>
    <row r="589" spans="2:6" ht="12.75" customHeight="1" x14ac:dyDescent="0.25">
      <c r="B589" s="100"/>
      <c r="E589" s="100"/>
      <c r="F589" s="100"/>
    </row>
    <row r="590" spans="2:6" ht="12.75" customHeight="1" x14ac:dyDescent="0.25">
      <c r="B590" s="100"/>
      <c r="E590" s="100"/>
      <c r="F590" s="100"/>
    </row>
    <row r="591" spans="2:6" ht="12.75" customHeight="1" x14ac:dyDescent="0.25">
      <c r="B591" s="100"/>
      <c r="E591" s="100"/>
      <c r="F591" s="100"/>
    </row>
    <row r="592" spans="2:6" ht="12.75" customHeight="1" x14ac:dyDescent="0.25">
      <c r="B592" s="100"/>
      <c r="E592" s="100"/>
      <c r="F592" s="100"/>
    </row>
    <row r="593" spans="2:6" ht="12.75" customHeight="1" x14ac:dyDescent="0.25">
      <c r="B593" s="100"/>
      <c r="E593" s="100"/>
      <c r="F593" s="100"/>
    </row>
    <row r="594" spans="2:6" ht="12.75" customHeight="1" x14ac:dyDescent="0.25">
      <c r="B594" s="100"/>
      <c r="E594" s="100"/>
      <c r="F594" s="100"/>
    </row>
    <row r="595" spans="2:6" ht="12.75" customHeight="1" x14ac:dyDescent="0.25">
      <c r="B595" s="100"/>
      <c r="E595" s="100"/>
      <c r="F595" s="100"/>
    </row>
    <row r="596" spans="2:6" ht="12.75" customHeight="1" x14ac:dyDescent="0.25">
      <c r="B596" s="100"/>
      <c r="E596" s="100"/>
      <c r="F596" s="100"/>
    </row>
    <row r="597" spans="2:6" ht="12.75" customHeight="1" x14ac:dyDescent="0.25">
      <c r="B597" s="100"/>
      <c r="E597" s="100"/>
      <c r="F597" s="100"/>
    </row>
    <row r="598" spans="2:6" ht="12.75" customHeight="1" x14ac:dyDescent="0.25">
      <c r="B598" s="100"/>
      <c r="E598" s="100"/>
      <c r="F598" s="100"/>
    </row>
    <row r="599" spans="2:6" ht="12.75" customHeight="1" x14ac:dyDescent="0.25">
      <c r="B599" s="100"/>
      <c r="E599" s="100"/>
      <c r="F599" s="100"/>
    </row>
    <row r="600" spans="2:6" ht="12.75" customHeight="1" x14ac:dyDescent="0.25">
      <c r="B600" s="100"/>
      <c r="E600" s="100"/>
      <c r="F600" s="100"/>
    </row>
    <row r="601" spans="2:6" ht="12.75" customHeight="1" x14ac:dyDescent="0.25">
      <c r="B601" s="100"/>
      <c r="E601" s="100"/>
      <c r="F601" s="100"/>
    </row>
    <row r="602" spans="2:6" ht="12.75" customHeight="1" x14ac:dyDescent="0.25">
      <c r="B602" s="100"/>
      <c r="E602" s="100"/>
      <c r="F602" s="100"/>
    </row>
    <row r="603" spans="2:6" ht="12.75" customHeight="1" x14ac:dyDescent="0.25">
      <c r="B603" s="100"/>
      <c r="E603" s="100"/>
      <c r="F603" s="100"/>
    </row>
    <row r="604" spans="2:6" ht="12.75" customHeight="1" x14ac:dyDescent="0.25">
      <c r="B604" s="100"/>
      <c r="E604" s="100"/>
      <c r="F604" s="100"/>
    </row>
    <row r="605" spans="2:6" ht="12.75" customHeight="1" x14ac:dyDescent="0.25">
      <c r="B605" s="100"/>
      <c r="E605" s="100"/>
      <c r="F605" s="100"/>
    </row>
    <row r="606" spans="2:6" ht="12.75" customHeight="1" x14ac:dyDescent="0.25">
      <c r="B606" s="100"/>
      <c r="E606" s="100"/>
      <c r="F606" s="100"/>
    </row>
    <row r="607" spans="2:6" ht="12.75" customHeight="1" x14ac:dyDescent="0.25">
      <c r="B607" s="100"/>
      <c r="E607" s="100"/>
      <c r="F607" s="100"/>
    </row>
    <row r="608" spans="2:6" ht="12.75" customHeight="1" x14ac:dyDescent="0.25">
      <c r="B608" s="100"/>
      <c r="E608" s="100"/>
      <c r="F608" s="100"/>
    </row>
    <row r="609" spans="2:6" ht="12.75" customHeight="1" x14ac:dyDescent="0.25">
      <c r="B609" s="100"/>
      <c r="E609" s="100"/>
      <c r="F609" s="100"/>
    </row>
    <row r="610" spans="2:6" ht="12.75" customHeight="1" x14ac:dyDescent="0.25">
      <c r="B610" s="100"/>
      <c r="E610" s="100"/>
      <c r="F610" s="100"/>
    </row>
    <row r="611" spans="2:6" ht="12.75" customHeight="1" x14ac:dyDescent="0.25">
      <c r="B611" s="100"/>
      <c r="E611" s="100"/>
      <c r="F611" s="100"/>
    </row>
    <row r="612" spans="2:6" ht="12.75" customHeight="1" x14ac:dyDescent="0.25">
      <c r="B612" s="100"/>
      <c r="E612" s="100"/>
      <c r="F612" s="100"/>
    </row>
    <row r="613" spans="2:6" ht="12.75" customHeight="1" x14ac:dyDescent="0.25">
      <c r="B613" s="100"/>
      <c r="E613" s="100"/>
      <c r="F613" s="100"/>
    </row>
    <row r="614" spans="2:6" ht="12.75" customHeight="1" x14ac:dyDescent="0.25">
      <c r="B614" s="100"/>
      <c r="E614" s="100"/>
      <c r="F614" s="100"/>
    </row>
    <row r="615" spans="2:6" ht="12.75" customHeight="1" x14ac:dyDescent="0.25">
      <c r="B615" s="100"/>
      <c r="E615" s="100"/>
      <c r="F615" s="100"/>
    </row>
    <row r="616" spans="2:6" ht="12.75" customHeight="1" x14ac:dyDescent="0.25">
      <c r="B616" s="100"/>
      <c r="E616" s="100"/>
      <c r="F616" s="100"/>
    </row>
    <row r="617" spans="2:6" ht="12.75" customHeight="1" x14ac:dyDescent="0.25">
      <c r="B617" s="100"/>
      <c r="E617" s="100"/>
      <c r="F617" s="100"/>
    </row>
    <row r="618" spans="2:6" ht="12.75" customHeight="1" x14ac:dyDescent="0.25">
      <c r="B618" s="100"/>
      <c r="E618" s="100"/>
      <c r="F618" s="100"/>
    </row>
    <row r="619" spans="2:6" ht="12.75" customHeight="1" x14ac:dyDescent="0.25">
      <c r="B619" s="100"/>
      <c r="E619" s="100"/>
      <c r="F619" s="100"/>
    </row>
    <row r="620" spans="2:6" ht="12.75" customHeight="1" x14ac:dyDescent="0.25">
      <c r="B620" s="100"/>
      <c r="E620" s="100"/>
      <c r="F620" s="100"/>
    </row>
    <row r="621" spans="2:6" ht="12.75" customHeight="1" x14ac:dyDescent="0.25">
      <c r="B621" s="100"/>
      <c r="E621" s="100"/>
      <c r="F621" s="100"/>
    </row>
    <row r="622" spans="2:6" ht="12.75" customHeight="1" x14ac:dyDescent="0.25">
      <c r="B622" s="100"/>
      <c r="E622" s="100"/>
      <c r="F622" s="100"/>
    </row>
    <row r="623" spans="2:6" ht="12.75" customHeight="1" x14ac:dyDescent="0.25">
      <c r="B623" s="100"/>
      <c r="E623" s="100"/>
      <c r="F623" s="100"/>
    </row>
    <row r="624" spans="2:6" ht="12.75" customHeight="1" x14ac:dyDescent="0.25">
      <c r="B624" s="100"/>
      <c r="E624" s="100"/>
      <c r="F624" s="100"/>
    </row>
    <row r="625" spans="2:6" ht="12.75" customHeight="1" x14ac:dyDescent="0.25">
      <c r="B625" s="100"/>
      <c r="E625" s="100"/>
      <c r="F625" s="100"/>
    </row>
    <row r="626" spans="2:6" ht="12.75" customHeight="1" x14ac:dyDescent="0.25">
      <c r="B626" s="100"/>
      <c r="E626" s="100"/>
      <c r="F626" s="100"/>
    </row>
    <row r="627" spans="2:6" ht="12.75" customHeight="1" x14ac:dyDescent="0.25">
      <c r="B627" s="100"/>
      <c r="E627" s="100"/>
      <c r="F627" s="100"/>
    </row>
    <row r="628" spans="2:6" ht="12.75" customHeight="1" x14ac:dyDescent="0.25">
      <c r="B628" s="100"/>
      <c r="E628" s="100"/>
      <c r="F628" s="100"/>
    </row>
    <row r="629" spans="2:6" ht="12.75" customHeight="1" x14ac:dyDescent="0.25">
      <c r="B629" s="100"/>
      <c r="E629" s="100"/>
      <c r="F629" s="100"/>
    </row>
    <row r="630" spans="2:6" ht="12.75" customHeight="1" x14ac:dyDescent="0.25">
      <c r="B630" s="100"/>
      <c r="E630" s="100"/>
      <c r="F630" s="100"/>
    </row>
    <row r="631" spans="2:6" ht="12.75" customHeight="1" x14ac:dyDescent="0.25">
      <c r="B631" s="100"/>
      <c r="E631" s="100"/>
      <c r="F631" s="100"/>
    </row>
    <row r="632" spans="2:6" ht="12.75" customHeight="1" x14ac:dyDescent="0.25">
      <c r="B632" s="100"/>
      <c r="E632" s="100"/>
      <c r="F632" s="100"/>
    </row>
    <row r="633" spans="2:6" ht="12.75" customHeight="1" x14ac:dyDescent="0.25">
      <c r="B633" s="100"/>
      <c r="E633" s="100"/>
      <c r="F633" s="100"/>
    </row>
    <row r="634" spans="2:6" ht="12.75" customHeight="1" x14ac:dyDescent="0.25">
      <c r="B634" s="100"/>
      <c r="E634" s="100"/>
      <c r="F634" s="100"/>
    </row>
    <row r="635" spans="2:6" ht="12.75" customHeight="1" x14ac:dyDescent="0.25">
      <c r="B635" s="100"/>
      <c r="E635" s="100"/>
      <c r="F635" s="100"/>
    </row>
    <row r="636" spans="2:6" ht="12.75" customHeight="1" x14ac:dyDescent="0.25">
      <c r="B636" s="100"/>
      <c r="E636" s="100"/>
      <c r="F636" s="100"/>
    </row>
    <row r="637" spans="2:6" ht="12.75" customHeight="1" x14ac:dyDescent="0.25">
      <c r="B637" s="100"/>
      <c r="E637" s="100"/>
      <c r="F637" s="100"/>
    </row>
    <row r="638" spans="2:6" ht="12.75" customHeight="1" x14ac:dyDescent="0.25">
      <c r="B638" s="100"/>
      <c r="E638" s="100"/>
      <c r="F638" s="100"/>
    </row>
    <row r="639" spans="2:6" ht="12.75" customHeight="1" x14ac:dyDescent="0.25">
      <c r="B639" s="100"/>
      <c r="E639" s="100"/>
      <c r="F639" s="100"/>
    </row>
    <row r="640" spans="2:6" ht="12.75" customHeight="1" x14ac:dyDescent="0.25">
      <c r="B640" s="100"/>
      <c r="E640" s="100"/>
      <c r="F640" s="100"/>
    </row>
    <row r="641" spans="2:6" ht="12.75" customHeight="1" x14ac:dyDescent="0.25">
      <c r="B641" s="100"/>
      <c r="E641" s="100"/>
      <c r="F641" s="100"/>
    </row>
    <row r="642" spans="2:6" ht="12.75" customHeight="1" x14ac:dyDescent="0.25">
      <c r="B642" s="100"/>
      <c r="E642" s="100"/>
      <c r="F642" s="100"/>
    </row>
    <row r="643" spans="2:6" ht="12.75" customHeight="1" x14ac:dyDescent="0.25">
      <c r="B643" s="100"/>
      <c r="E643" s="100"/>
      <c r="F643" s="100"/>
    </row>
    <row r="644" spans="2:6" ht="12.75" customHeight="1" x14ac:dyDescent="0.25">
      <c r="B644" s="100"/>
      <c r="E644" s="100"/>
      <c r="F644" s="100"/>
    </row>
    <row r="645" spans="2:6" ht="12.75" customHeight="1" x14ac:dyDescent="0.25">
      <c r="B645" s="100"/>
      <c r="E645" s="100"/>
      <c r="F645" s="100"/>
    </row>
    <row r="646" spans="2:6" ht="12.75" customHeight="1" x14ac:dyDescent="0.25">
      <c r="B646" s="100"/>
      <c r="E646" s="100"/>
      <c r="F646" s="100"/>
    </row>
    <row r="647" spans="2:6" ht="12.75" customHeight="1" x14ac:dyDescent="0.25">
      <c r="B647" s="100"/>
      <c r="E647" s="100"/>
      <c r="F647" s="100"/>
    </row>
    <row r="648" spans="2:6" ht="12.75" customHeight="1" x14ac:dyDescent="0.25">
      <c r="B648" s="100"/>
      <c r="E648" s="100"/>
      <c r="F648" s="100"/>
    </row>
    <row r="649" spans="2:6" ht="12.75" customHeight="1" x14ac:dyDescent="0.25">
      <c r="B649" s="100"/>
      <c r="E649" s="100"/>
      <c r="F649" s="100"/>
    </row>
    <row r="650" spans="2:6" ht="12.75" customHeight="1" x14ac:dyDescent="0.25">
      <c r="B650" s="100"/>
      <c r="E650" s="100"/>
      <c r="F650" s="100"/>
    </row>
    <row r="651" spans="2:6" ht="12.75" customHeight="1" x14ac:dyDescent="0.25">
      <c r="B651" s="100"/>
      <c r="E651" s="100"/>
      <c r="F651" s="100"/>
    </row>
    <row r="652" spans="2:6" ht="12.75" customHeight="1" x14ac:dyDescent="0.25">
      <c r="B652" s="100"/>
      <c r="E652" s="100"/>
      <c r="F652" s="100"/>
    </row>
    <row r="653" spans="2:6" ht="12.75" customHeight="1" x14ac:dyDescent="0.25">
      <c r="B653" s="100"/>
      <c r="E653" s="100"/>
      <c r="F653" s="100"/>
    </row>
    <row r="654" spans="2:6" ht="12.75" customHeight="1" x14ac:dyDescent="0.25">
      <c r="B654" s="100"/>
      <c r="E654" s="100"/>
      <c r="F654" s="100"/>
    </row>
    <row r="655" spans="2:6" ht="12.75" customHeight="1" x14ac:dyDescent="0.25">
      <c r="B655" s="100"/>
      <c r="E655" s="100"/>
      <c r="F655" s="100"/>
    </row>
    <row r="656" spans="2:6" ht="12.75" customHeight="1" x14ac:dyDescent="0.25">
      <c r="B656" s="100"/>
      <c r="E656" s="100"/>
      <c r="F656" s="100"/>
    </row>
    <row r="657" spans="2:6" ht="12.75" customHeight="1" x14ac:dyDescent="0.25">
      <c r="B657" s="100"/>
      <c r="E657" s="100"/>
      <c r="F657" s="100"/>
    </row>
    <row r="658" spans="2:6" ht="12.75" customHeight="1" x14ac:dyDescent="0.25">
      <c r="B658" s="100"/>
      <c r="E658" s="100"/>
      <c r="F658" s="100"/>
    </row>
    <row r="659" spans="2:6" ht="12.75" customHeight="1" x14ac:dyDescent="0.25">
      <c r="B659" s="100"/>
      <c r="E659" s="100"/>
      <c r="F659" s="100"/>
    </row>
    <row r="660" spans="2:6" ht="12.75" customHeight="1" x14ac:dyDescent="0.25">
      <c r="B660" s="100"/>
      <c r="E660" s="100"/>
      <c r="F660" s="100"/>
    </row>
    <row r="661" spans="2:6" ht="12.75" customHeight="1" x14ac:dyDescent="0.25">
      <c r="B661" s="100"/>
      <c r="E661" s="100"/>
      <c r="F661" s="100"/>
    </row>
    <row r="662" spans="2:6" ht="12.75" customHeight="1" x14ac:dyDescent="0.25">
      <c r="B662" s="100"/>
      <c r="E662" s="100"/>
      <c r="F662" s="100"/>
    </row>
    <row r="663" spans="2:6" ht="12.75" customHeight="1" x14ac:dyDescent="0.25">
      <c r="B663" s="100"/>
      <c r="E663" s="100"/>
      <c r="F663" s="100"/>
    </row>
    <row r="664" spans="2:6" ht="12.75" customHeight="1" x14ac:dyDescent="0.25">
      <c r="B664" s="100"/>
      <c r="E664" s="100"/>
      <c r="F664" s="100"/>
    </row>
    <row r="665" spans="2:6" ht="12.75" customHeight="1" x14ac:dyDescent="0.25">
      <c r="B665" s="100"/>
      <c r="E665" s="100"/>
      <c r="F665" s="100"/>
    </row>
    <row r="666" spans="2:6" ht="12.75" customHeight="1" x14ac:dyDescent="0.25">
      <c r="B666" s="100"/>
      <c r="E666" s="100"/>
      <c r="F666" s="100"/>
    </row>
    <row r="667" spans="2:6" ht="12.75" customHeight="1" x14ac:dyDescent="0.25">
      <c r="B667" s="100"/>
      <c r="E667" s="100"/>
      <c r="F667" s="100"/>
    </row>
    <row r="668" spans="2:6" ht="12.75" customHeight="1" x14ac:dyDescent="0.25">
      <c r="B668" s="100"/>
      <c r="E668" s="100"/>
      <c r="F668" s="100"/>
    </row>
    <row r="669" spans="2:6" ht="12.75" customHeight="1" x14ac:dyDescent="0.25">
      <c r="B669" s="100"/>
      <c r="E669" s="100"/>
      <c r="F669" s="100"/>
    </row>
    <row r="670" spans="2:6" ht="12.75" customHeight="1" x14ac:dyDescent="0.25">
      <c r="B670" s="100"/>
      <c r="E670" s="100"/>
      <c r="F670" s="100"/>
    </row>
    <row r="671" spans="2:6" ht="12.75" customHeight="1" x14ac:dyDescent="0.25">
      <c r="B671" s="100"/>
      <c r="E671" s="100"/>
      <c r="F671" s="100"/>
    </row>
    <row r="672" spans="2:6" ht="12.75" customHeight="1" x14ac:dyDescent="0.25">
      <c r="B672" s="100"/>
      <c r="E672" s="100"/>
      <c r="F672" s="100"/>
    </row>
    <row r="673" spans="2:6" ht="12.75" customHeight="1" x14ac:dyDescent="0.25">
      <c r="B673" s="100"/>
      <c r="E673" s="100"/>
      <c r="F673" s="100"/>
    </row>
    <row r="674" spans="2:6" ht="12.75" customHeight="1" x14ac:dyDescent="0.25">
      <c r="B674" s="100"/>
      <c r="E674" s="100"/>
      <c r="F674" s="100"/>
    </row>
    <row r="675" spans="2:6" ht="12.75" customHeight="1" x14ac:dyDescent="0.25">
      <c r="B675" s="100"/>
      <c r="E675" s="100"/>
      <c r="F675" s="100"/>
    </row>
    <row r="676" spans="2:6" ht="12.75" customHeight="1" x14ac:dyDescent="0.25">
      <c r="B676" s="100"/>
      <c r="E676" s="100"/>
      <c r="F676" s="100"/>
    </row>
    <row r="677" spans="2:6" ht="12.75" customHeight="1" x14ac:dyDescent="0.25">
      <c r="B677" s="100"/>
      <c r="E677" s="100"/>
      <c r="F677" s="100"/>
    </row>
    <row r="678" spans="2:6" ht="12.75" customHeight="1" x14ac:dyDescent="0.25">
      <c r="B678" s="100"/>
      <c r="E678" s="100"/>
      <c r="F678" s="100"/>
    </row>
    <row r="679" spans="2:6" ht="12.75" customHeight="1" x14ac:dyDescent="0.25">
      <c r="B679" s="100"/>
      <c r="E679" s="100"/>
      <c r="F679" s="100"/>
    </row>
    <row r="680" spans="2:6" ht="12.75" customHeight="1" x14ac:dyDescent="0.25">
      <c r="B680" s="100"/>
      <c r="E680" s="100"/>
      <c r="F680" s="100"/>
    </row>
    <row r="681" spans="2:6" ht="12.75" customHeight="1" x14ac:dyDescent="0.25">
      <c r="B681" s="100"/>
      <c r="E681" s="100"/>
      <c r="F681" s="100"/>
    </row>
    <row r="682" spans="2:6" ht="12.75" customHeight="1" x14ac:dyDescent="0.25">
      <c r="B682" s="100"/>
      <c r="E682" s="100"/>
      <c r="F682" s="100"/>
    </row>
    <row r="683" spans="2:6" ht="12.75" customHeight="1" x14ac:dyDescent="0.25">
      <c r="B683" s="100"/>
      <c r="E683" s="100"/>
      <c r="F683" s="100"/>
    </row>
    <row r="684" spans="2:6" ht="12.75" customHeight="1" x14ac:dyDescent="0.25">
      <c r="B684" s="100"/>
      <c r="E684" s="100"/>
      <c r="F684" s="100"/>
    </row>
    <row r="685" spans="2:6" ht="12.75" customHeight="1" x14ac:dyDescent="0.25">
      <c r="B685" s="100"/>
      <c r="E685" s="100"/>
      <c r="F685" s="100"/>
    </row>
    <row r="686" spans="2:6" ht="12.75" customHeight="1" x14ac:dyDescent="0.25">
      <c r="B686" s="100"/>
      <c r="E686" s="100"/>
      <c r="F686" s="100"/>
    </row>
    <row r="687" spans="2:6" ht="12.75" customHeight="1" x14ac:dyDescent="0.25">
      <c r="B687" s="100"/>
      <c r="E687" s="100"/>
      <c r="F687" s="100"/>
    </row>
    <row r="688" spans="2:6" ht="12.75" customHeight="1" x14ac:dyDescent="0.25">
      <c r="B688" s="100"/>
      <c r="E688" s="100"/>
      <c r="F688" s="100"/>
    </row>
    <row r="689" spans="2:6" ht="12.75" customHeight="1" x14ac:dyDescent="0.25">
      <c r="B689" s="100"/>
      <c r="E689" s="100"/>
      <c r="F689" s="100"/>
    </row>
    <row r="690" spans="2:6" ht="12.75" customHeight="1" x14ac:dyDescent="0.25">
      <c r="B690" s="100"/>
      <c r="E690" s="100"/>
      <c r="F690" s="100"/>
    </row>
    <row r="691" spans="2:6" ht="12.75" customHeight="1" x14ac:dyDescent="0.25">
      <c r="B691" s="100"/>
      <c r="E691" s="100"/>
      <c r="F691" s="100"/>
    </row>
    <row r="692" spans="2:6" ht="12.75" customHeight="1" x14ac:dyDescent="0.25">
      <c r="B692" s="100"/>
      <c r="E692" s="100"/>
      <c r="F692" s="100"/>
    </row>
    <row r="693" spans="2:6" ht="12.75" customHeight="1" x14ac:dyDescent="0.25">
      <c r="B693" s="100"/>
      <c r="E693" s="100"/>
      <c r="F693" s="100"/>
    </row>
    <row r="694" spans="2:6" ht="12.75" customHeight="1" x14ac:dyDescent="0.25">
      <c r="B694" s="100"/>
      <c r="E694" s="100"/>
      <c r="F694" s="100"/>
    </row>
    <row r="695" spans="2:6" ht="12.75" customHeight="1" x14ac:dyDescent="0.25">
      <c r="B695" s="100"/>
      <c r="E695" s="100"/>
      <c r="F695" s="100"/>
    </row>
    <row r="696" spans="2:6" ht="12.75" customHeight="1" x14ac:dyDescent="0.25">
      <c r="B696" s="100"/>
      <c r="E696" s="100"/>
      <c r="F696" s="100"/>
    </row>
    <row r="697" spans="2:6" ht="12.75" customHeight="1" x14ac:dyDescent="0.25">
      <c r="B697" s="100"/>
      <c r="E697" s="100"/>
      <c r="F697" s="100"/>
    </row>
    <row r="698" spans="2:6" ht="12.75" customHeight="1" x14ac:dyDescent="0.25">
      <c r="B698" s="100"/>
      <c r="E698" s="100"/>
      <c r="F698" s="100"/>
    </row>
    <row r="699" spans="2:6" ht="12.75" customHeight="1" x14ac:dyDescent="0.25">
      <c r="B699" s="100"/>
      <c r="E699" s="100"/>
      <c r="F699" s="100"/>
    </row>
    <row r="700" spans="2:6" ht="12.75" customHeight="1" x14ac:dyDescent="0.25">
      <c r="B700" s="100"/>
      <c r="E700" s="100"/>
      <c r="F700" s="100"/>
    </row>
    <row r="701" spans="2:6" ht="12.75" customHeight="1" x14ac:dyDescent="0.25">
      <c r="B701" s="100"/>
      <c r="E701" s="100"/>
      <c r="F701" s="100"/>
    </row>
    <row r="702" spans="2:6" ht="12.75" customHeight="1" x14ac:dyDescent="0.25">
      <c r="B702" s="100"/>
      <c r="E702" s="100"/>
      <c r="F702" s="100"/>
    </row>
    <row r="703" spans="2:6" ht="12.75" customHeight="1" x14ac:dyDescent="0.25">
      <c r="B703" s="100"/>
      <c r="E703" s="100"/>
      <c r="F703" s="100"/>
    </row>
    <row r="704" spans="2:6" ht="12.75" customHeight="1" x14ac:dyDescent="0.25">
      <c r="B704" s="100"/>
      <c r="E704" s="100"/>
      <c r="F704" s="100"/>
    </row>
    <row r="705" spans="2:6" ht="12.75" customHeight="1" x14ac:dyDescent="0.25">
      <c r="B705" s="100"/>
      <c r="E705" s="100"/>
      <c r="F705" s="100"/>
    </row>
    <row r="706" spans="2:6" ht="12.75" customHeight="1" x14ac:dyDescent="0.25">
      <c r="B706" s="100"/>
      <c r="E706" s="100"/>
      <c r="F706" s="100"/>
    </row>
    <row r="707" spans="2:6" ht="12.75" customHeight="1" x14ac:dyDescent="0.25">
      <c r="B707" s="100"/>
      <c r="E707" s="100"/>
      <c r="F707" s="100"/>
    </row>
    <row r="708" spans="2:6" ht="12.75" customHeight="1" x14ac:dyDescent="0.25">
      <c r="B708" s="100"/>
      <c r="E708" s="100"/>
      <c r="F708" s="100"/>
    </row>
    <row r="709" spans="2:6" ht="12.75" customHeight="1" x14ac:dyDescent="0.25">
      <c r="B709" s="100"/>
      <c r="E709" s="100"/>
      <c r="F709" s="100"/>
    </row>
    <row r="710" spans="2:6" ht="12.75" customHeight="1" x14ac:dyDescent="0.25">
      <c r="B710" s="100"/>
      <c r="E710" s="100"/>
      <c r="F710" s="100"/>
    </row>
    <row r="711" spans="2:6" ht="12.75" customHeight="1" x14ac:dyDescent="0.25">
      <c r="B711" s="100"/>
      <c r="E711" s="100"/>
      <c r="F711" s="100"/>
    </row>
    <row r="712" spans="2:6" ht="12.75" customHeight="1" x14ac:dyDescent="0.25">
      <c r="B712" s="100"/>
      <c r="E712" s="100"/>
      <c r="F712" s="100"/>
    </row>
    <row r="713" spans="2:6" ht="12.75" customHeight="1" x14ac:dyDescent="0.25">
      <c r="B713" s="100"/>
      <c r="E713" s="100"/>
      <c r="F713" s="100"/>
    </row>
    <row r="714" spans="2:6" ht="12.75" customHeight="1" x14ac:dyDescent="0.25">
      <c r="B714" s="100"/>
      <c r="E714" s="100"/>
      <c r="F714" s="100"/>
    </row>
    <row r="715" spans="2:6" ht="12.75" customHeight="1" x14ac:dyDescent="0.25">
      <c r="B715" s="100"/>
      <c r="E715" s="100"/>
      <c r="F715" s="100"/>
    </row>
    <row r="716" spans="2:6" ht="12.75" customHeight="1" x14ac:dyDescent="0.25">
      <c r="B716" s="100"/>
      <c r="E716" s="100"/>
      <c r="F716" s="100"/>
    </row>
    <row r="717" spans="2:6" ht="12.75" customHeight="1" x14ac:dyDescent="0.25">
      <c r="B717" s="100"/>
      <c r="E717" s="100"/>
      <c r="F717" s="100"/>
    </row>
    <row r="718" spans="2:6" ht="12.75" customHeight="1" x14ac:dyDescent="0.25">
      <c r="B718" s="100"/>
      <c r="E718" s="100"/>
      <c r="F718" s="100"/>
    </row>
    <row r="719" spans="2:6" ht="12.75" customHeight="1" x14ac:dyDescent="0.25">
      <c r="B719" s="100"/>
      <c r="E719" s="100"/>
      <c r="F719" s="100"/>
    </row>
    <row r="720" spans="2:6" ht="12.75" customHeight="1" x14ac:dyDescent="0.25">
      <c r="B720" s="100"/>
      <c r="E720" s="100"/>
      <c r="F720" s="100"/>
    </row>
    <row r="721" spans="2:6" ht="12.75" customHeight="1" x14ac:dyDescent="0.25">
      <c r="B721" s="100"/>
      <c r="E721" s="100"/>
      <c r="F721" s="100"/>
    </row>
    <row r="722" spans="2:6" ht="12.75" customHeight="1" x14ac:dyDescent="0.25">
      <c r="B722" s="100"/>
      <c r="E722" s="100"/>
      <c r="F722" s="100"/>
    </row>
    <row r="723" spans="2:6" ht="12.75" customHeight="1" x14ac:dyDescent="0.25">
      <c r="B723" s="100"/>
      <c r="E723" s="100"/>
      <c r="F723" s="100"/>
    </row>
    <row r="724" spans="2:6" ht="12.75" customHeight="1" x14ac:dyDescent="0.25">
      <c r="B724" s="100"/>
      <c r="E724" s="100"/>
      <c r="F724" s="100"/>
    </row>
    <row r="725" spans="2:6" ht="12.75" customHeight="1" x14ac:dyDescent="0.25">
      <c r="B725" s="100"/>
      <c r="E725" s="100"/>
      <c r="F725" s="100"/>
    </row>
    <row r="726" spans="2:6" ht="12.75" customHeight="1" x14ac:dyDescent="0.25">
      <c r="B726" s="100"/>
      <c r="E726" s="100"/>
      <c r="F726" s="100"/>
    </row>
    <row r="727" spans="2:6" ht="12.75" customHeight="1" x14ac:dyDescent="0.25">
      <c r="B727" s="100"/>
      <c r="E727" s="100"/>
      <c r="F727" s="100"/>
    </row>
    <row r="728" spans="2:6" ht="12.75" customHeight="1" x14ac:dyDescent="0.25">
      <c r="B728" s="100"/>
      <c r="E728" s="100"/>
      <c r="F728" s="100"/>
    </row>
    <row r="729" spans="2:6" ht="12.75" customHeight="1" x14ac:dyDescent="0.25">
      <c r="B729" s="100"/>
      <c r="E729" s="100"/>
      <c r="F729" s="100"/>
    </row>
    <row r="730" spans="2:6" ht="12.75" customHeight="1" x14ac:dyDescent="0.25">
      <c r="B730" s="100"/>
      <c r="E730" s="100"/>
      <c r="F730" s="100"/>
    </row>
    <row r="731" spans="2:6" ht="12.75" customHeight="1" x14ac:dyDescent="0.25">
      <c r="B731" s="100"/>
      <c r="E731" s="100"/>
      <c r="F731" s="100"/>
    </row>
    <row r="732" spans="2:6" ht="12.75" customHeight="1" x14ac:dyDescent="0.25">
      <c r="B732" s="100"/>
      <c r="E732" s="100"/>
      <c r="F732" s="100"/>
    </row>
    <row r="733" spans="2:6" ht="12.75" customHeight="1" x14ac:dyDescent="0.25">
      <c r="B733" s="100"/>
      <c r="E733" s="100"/>
      <c r="F733" s="100"/>
    </row>
    <row r="734" spans="2:6" ht="12.75" customHeight="1" x14ac:dyDescent="0.25">
      <c r="B734" s="100"/>
      <c r="E734" s="100"/>
      <c r="F734" s="100"/>
    </row>
    <row r="735" spans="2:6" ht="12.75" customHeight="1" x14ac:dyDescent="0.25">
      <c r="B735" s="100"/>
      <c r="E735" s="100"/>
      <c r="F735" s="100"/>
    </row>
    <row r="736" spans="2:6" ht="12.75" customHeight="1" x14ac:dyDescent="0.25">
      <c r="B736" s="100"/>
      <c r="E736" s="100"/>
      <c r="F736" s="100"/>
    </row>
    <row r="737" spans="2:6" ht="12.75" customHeight="1" x14ac:dyDescent="0.25">
      <c r="B737" s="100"/>
      <c r="E737" s="100"/>
      <c r="F737" s="100"/>
    </row>
    <row r="738" spans="2:6" ht="12.75" customHeight="1" x14ac:dyDescent="0.25">
      <c r="B738" s="100"/>
      <c r="E738" s="100"/>
      <c r="F738" s="100"/>
    </row>
    <row r="739" spans="2:6" ht="12.75" customHeight="1" x14ac:dyDescent="0.25">
      <c r="B739" s="100"/>
      <c r="E739" s="100"/>
      <c r="F739" s="100"/>
    </row>
    <row r="740" spans="2:6" ht="12.75" customHeight="1" x14ac:dyDescent="0.25">
      <c r="B740" s="100"/>
      <c r="E740" s="100"/>
      <c r="F740" s="100"/>
    </row>
    <row r="741" spans="2:6" ht="12.75" customHeight="1" x14ac:dyDescent="0.25">
      <c r="B741" s="100"/>
      <c r="E741" s="100"/>
      <c r="F741" s="100"/>
    </row>
    <row r="742" spans="2:6" ht="12.75" customHeight="1" x14ac:dyDescent="0.25">
      <c r="B742" s="100"/>
      <c r="E742" s="100"/>
      <c r="F742" s="100"/>
    </row>
    <row r="743" spans="2:6" ht="12.75" customHeight="1" x14ac:dyDescent="0.25">
      <c r="B743" s="100"/>
      <c r="E743" s="100"/>
      <c r="F743" s="100"/>
    </row>
    <row r="744" spans="2:6" ht="12.75" customHeight="1" x14ac:dyDescent="0.25">
      <c r="B744" s="100"/>
      <c r="E744" s="100"/>
      <c r="F744" s="100"/>
    </row>
    <row r="745" spans="2:6" ht="12.75" customHeight="1" x14ac:dyDescent="0.25">
      <c r="B745" s="100"/>
      <c r="E745" s="100"/>
      <c r="F745" s="100"/>
    </row>
    <row r="746" spans="2:6" ht="12.75" customHeight="1" x14ac:dyDescent="0.25">
      <c r="B746" s="100"/>
      <c r="E746" s="100"/>
      <c r="F746" s="100"/>
    </row>
    <row r="747" spans="2:6" ht="12.75" customHeight="1" x14ac:dyDescent="0.25">
      <c r="B747" s="100"/>
      <c r="E747" s="100"/>
      <c r="F747" s="100"/>
    </row>
    <row r="748" spans="2:6" ht="12.75" customHeight="1" x14ac:dyDescent="0.25">
      <c r="B748" s="100"/>
      <c r="E748" s="100"/>
      <c r="F748" s="100"/>
    </row>
    <row r="749" spans="2:6" ht="12.75" customHeight="1" x14ac:dyDescent="0.25">
      <c r="B749" s="100"/>
      <c r="E749" s="100"/>
      <c r="F749" s="100"/>
    </row>
    <row r="750" spans="2:6" ht="12.75" customHeight="1" x14ac:dyDescent="0.25">
      <c r="B750" s="100"/>
      <c r="E750" s="100"/>
      <c r="F750" s="100"/>
    </row>
    <row r="751" spans="2:6" ht="12.75" customHeight="1" x14ac:dyDescent="0.25">
      <c r="B751" s="100"/>
      <c r="E751" s="100"/>
      <c r="F751" s="100"/>
    </row>
    <row r="752" spans="2:6" ht="12.75" customHeight="1" x14ac:dyDescent="0.25">
      <c r="B752" s="100"/>
      <c r="E752" s="100"/>
      <c r="F752" s="100"/>
    </row>
    <row r="753" spans="2:6" ht="12.75" customHeight="1" x14ac:dyDescent="0.25">
      <c r="B753" s="100"/>
      <c r="E753" s="100"/>
      <c r="F753" s="100"/>
    </row>
    <row r="754" spans="2:6" ht="12.75" customHeight="1" x14ac:dyDescent="0.25">
      <c r="B754" s="100"/>
      <c r="E754" s="100"/>
      <c r="F754" s="100"/>
    </row>
    <row r="755" spans="2:6" ht="12.75" customHeight="1" x14ac:dyDescent="0.25">
      <c r="B755" s="100"/>
      <c r="E755" s="100"/>
      <c r="F755" s="100"/>
    </row>
    <row r="756" spans="2:6" ht="12.75" customHeight="1" x14ac:dyDescent="0.25">
      <c r="B756" s="100"/>
      <c r="E756" s="100"/>
      <c r="F756" s="100"/>
    </row>
    <row r="757" spans="2:6" ht="12.75" customHeight="1" x14ac:dyDescent="0.25">
      <c r="B757" s="100"/>
      <c r="E757" s="100"/>
      <c r="F757" s="100"/>
    </row>
    <row r="758" spans="2:6" ht="12.75" customHeight="1" x14ac:dyDescent="0.25">
      <c r="B758" s="100"/>
      <c r="E758" s="100"/>
      <c r="F758" s="100"/>
    </row>
    <row r="759" spans="2:6" ht="12.75" customHeight="1" x14ac:dyDescent="0.25">
      <c r="B759" s="100"/>
      <c r="E759" s="100"/>
      <c r="F759" s="100"/>
    </row>
    <row r="760" spans="2:6" ht="12.75" customHeight="1" x14ac:dyDescent="0.25">
      <c r="B760" s="100"/>
      <c r="E760" s="100"/>
      <c r="F760" s="100"/>
    </row>
    <row r="761" spans="2:6" ht="12.75" customHeight="1" x14ac:dyDescent="0.25">
      <c r="B761" s="100"/>
      <c r="E761" s="100"/>
      <c r="F761" s="100"/>
    </row>
    <row r="762" spans="2:6" ht="12.75" customHeight="1" x14ac:dyDescent="0.25">
      <c r="B762" s="100"/>
      <c r="E762" s="100"/>
      <c r="F762" s="100"/>
    </row>
    <row r="763" spans="2:6" ht="12.75" customHeight="1" x14ac:dyDescent="0.25">
      <c r="B763" s="100"/>
      <c r="E763" s="100"/>
      <c r="F763" s="100"/>
    </row>
    <row r="764" spans="2:6" ht="12.75" customHeight="1" x14ac:dyDescent="0.25">
      <c r="B764" s="100"/>
      <c r="E764" s="100"/>
      <c r="F764" s="100"/>
    </row>
    <row r="765" spans="2:6" ht="12.75" customHeight="1" x14ac:dyDescent="0.25">
      <c r="B765" s="100"/>
      <c r="E765" s="100"/>
      <c r="F765" s="100"/>
    </row>
    <row r="766" spans="2:6" ht="12.75" customHeight="1" x14ac:dyDescent="0.25">
      <c r="B766" s="100"/>
      <c r="E766" s="100"/>
      <c r="F766" s="100"/>
    </row>
    <row r="767" spans="2:6" ht="12.75" customHeight="1" x14ac:dyDescent="0.25">
      <c r="B767" s="100"/>
      <c r="E767" s="100"/>
      <c r="F767" s="100"/>
    </row>
    <row r="768" spans="2:6" ht="12.75" customHeight="1" x14ac:dyDescent="0.25">
      <c r="B768" s="100"/>
      <c r="E768" s="100"/>
      <c r="F768" s="100"/>
    </row>
    <row r="769" spans="2:6" ht="12.75" customHeight="1" x14ac:dyDescent="0.25">
      <c r="B769" s="100"/>
      <c r="E769" s="100"/>
      <c r="F769" s="100"/>
    </row>
    <row r="770" spans="2:6" ht="12.75" customHeight="1" x14ac:dyDescent="0.25">
      <c r="B770" s="100"/>
      <c r="E770" s="100"/>
      <c r="F770" s="100"/>
    </row>
    <row r="771" spans="2:6" ht="12.75" customHeight="1" x14ac:dyDescent="0.25">
      <c r="B771" s="100"/>
      <c r="E771" s="100"/>
      <c r="F771" s="100"/>
    </row>
    <row r="772" spans="2:6" ht="12.75" customHeight="1" x14ac:dyDescent="0.25">
      <c r="B772" s="100"/>
      <c r="E772" s="100"/>
      <c r="F772" s="100"/>
    </row>
    <row r="773" spans="2:6" ht="12.75" customHeight="1" x14ac:dyDescent="0.25">
      <c r="B773" s="100"/>
      <c r="E773" s="100"/>
      <c r="F773" s="100"/>
    </row>
    <row r="774" spans="2:6" ht="12.75" customHeight="1" x14ac:dyDescent="0.25">
      <c r="B774" s="100"/>
      <c r="E774" s="100"/>
      <c r="F774" s="100"/>
    </row>
    <row r="775" spans="2:6" ht="12.75" customHeight="1" x14ac:dyDescent="0.25">
      <c r="B775" s="100"/>
      <c r="E775" s="100"/>
      <c r="F775" s="100"/>
    </row>
    <row r="776" spans="2:6" ht="12.75" customHeight="1" x14ac:dyDescent="0.25">
      <c r="B776" s="100"/>
      <c r="E776" s="100"/>
      <c r="F776" s="100"/>
    </row>
    <row r="777" spans="2:6" ht="12.75" customHeight="1" x14ac:dyDescent="0.25">
      <c r="B777" s="100"/>
      <c r="E777" s="100"/>
      <c r="F777" s="100"/>
    </row>
    <row r="778" spans="2:6" ht="12.75" customHeight="1" x14ac:dyDescent="0.25">
      <c r="B778" s="100"/>
      <c r="E778" s="100"/>
      <c r="F778" s="100"/>
    </row>
    <row r="779" spans="2:6" ht="12.75" customHeight="1" x14ac:dyDescent="0.25">
      <c r="B779" s="100"/>
      <c r="E779" s="100"/>
      <c r="F779" s="100"/>
    </row>
    <row r="780" spans="2:6" ht="12.75" customHeight="1" x14ac:dyDescent="0.25">
      <c r="B780" s="100"/>
      <c r="E780" s="100"/>
      <c r="F780" s="100"/>
    </row>
    <row r="781" spans="2:6" ht="12.75" customHeight="1" x14ac:dyDescent="0.25">
      <c r="B781" s="100"/>
      <c r="E781" s="100"/>
      <c r="F781" s="100"/>
    </row>
    <row r="782" spans="2:6" ht="12.75" customHeight="1" x14ac:dyDescent="0.25">
      <c r="B782" s="100"/>
      <c r="E782" s="100"/>
      <c r="F782" s="100"/>
    </row>
    <row r="783" spans="2:6" ht="12.75" customHeight="1" x14ac:dyDescent="0.25">
      <c r="B783" s="100"/>
      <c r="E783" s="100"/>
      <c r="F783" s="100"/>
    </row>
    <row r="784" spans="2:6" ht="12.75" customHeight="1" x14ac:dyDescent="0.25">
      <c r="B784" s="100"/>
      <c r="E784" s="100"/>
      <c r="F784" s="100"/>
    </row>
    <row r="785" spans="2:6" ht="12.75" customHeight="1" x14ac:dyDescent="0.25">
      <c r="B785" s="100"/>
      <c r="E785" s="100"/>
      <c r="F785" s="100"/>
    </row>
    <row r="786" spans="2:6" ht="12.75" customHeight="1" x14ac:dyDescent="0.25">
      <c r="B786" s="100"/>
      <c r="E786" s="100"/>
      <c r="F786" s="100"/>
    </row>
    <row r="787" spans="2:6" ht="12.75" customHeight="1" x14ac:dyDescent="0.25">
      <c r="B787" s="100"/>
      <c r="E787" s="100"/>
      <c r="F787" s="100"/>
    </row>
    <row r="788" spans="2:6" ht="12.75" customHeight="1" x14ac:dyDescent="0.25">
      <c r="B788" s="100"/>
      <c r="E788" s="100"/>
      <c r="F788" s="100"/>
    </row>
    <row r="789" spans="2:6" ht="12.75" customHeight="1" x14ac:dyDescent="0.25">
      <c r="B789" s="100"/>
      <c r="E789" s="100"/>
      <c r="F789" s="100"/>
    </row>
    <row r="790" spans="2:6" ht="12.75" customHeight="1" x14ac:dyDescent="0.25">
      <c r="B790" s="100"/>
      <c r="E790" s="100"/>
      <c r="F790" s="100"/>
    </row>
    <row r="791" spans="2:6" ht="12.75" customHeight="1" x14ac:dyDescent="0.25">
      <c r="B791" s="100"/>
      <c r="E791" s="100"/>
      <c r="F791" s="100"/>
    </row>
    <row r="792" spans="2:6" ht="12.75" customHeight="1" x14ac:dyDescent="0.25">
      <c r="B792" s="100"/>
      <c r="E792" s="100"/>
      <c r="F792" s="100"/>
    </row>
    <row r="793" spans="2:6" ht="12.75" customHeight="1" x14ac:dyDescent="0.25">
      <c r="B793" s="100"/>
      <c r="E793" s="100"/>
      <c r="F793" s="100"/>
    </row>
    <row r="794" spans="2:6" ht="12.75" customHeight="1" x14ac:dyDescent="0.25">
      <c r="B794" s="100"/>
      <c r="E794" s="100"/>
      <c r="F794" s="100"/>
    </row>
    <row r="795" spans="2:6" ht="12.75" customHeight="1" x14ac:dyDescent="0.25">
      <c r="B795" s="100"/>
      <c r="E795" s="100"/>
      <c r="F795" s="100"/>
    </row>
    <row r="796" spans="2:6" ht="12.75" customHeight="1" x14ac:dyDescent="0.25">
      <c r="B796" s="100"/>
      <c r="E796" s="100"/>
      <c r="F796" s="100"/>
    </row>
    <row r="797" spans="2:6" ht="12.75" customHeight="1" x14ac:dyDescent="0.25">
      <c r="B797" s="100"/>
      <c r="E797" s="100"/>
      <c r="F797" s="100"/>
    </row>
    <row r="798" spans="2:6" ht="12.75" customHeight="1" x14ac:dyDescent="0.25">
      <c r="B798" s="100"/>
      <c r="E798" s="100"/>
      <c r="F798" s="100"/>
    </row>
    <row r="799" spans="2:6" ht="12.75" customHeight="1" x14ac:dyDescent="0.25">
      <c r="B799" s="100"/>
      <c r="E799" s="100"/>
      <c r="F799" s="100"/>
    </row>
    <row r="800" spans="2:6" ht="12.75" customHeight="1" x14ac:dyDescent="0.25">
      <c r="B800" s="100"/>
      <c r="E800" s="100"/>
      <c r="F800" s="100"/>
    </row>
    <row r="801" spans="2:6" ht="12.75" customHeight="1" x14ac:dyDescent="0.25">
      <c r="B801" s="100"/>
      <c r="E801" s="100"/>
      <c r="F801" s="100"/>
    </row>
    <row r="802" spans="2:6" ht="12.75" customHeight="1" x14ac:dyDescent="0.25">
      <c r="B802" s="100"/>
      <c r="E802" s="100"/>
      <c r="F802" s="100"/>
    </row>
    <row r="803" spans="2:6" ht="12.75" customHeight="1" x14ac:dyDescent="0.25">
      <c r="B803" s="100"/>
      <c r="E803" s="100"/>
      <c r="F803" s="100"/>
    </row>
    <row r="804" spans="2:6" ht="12.75" customHeight="1" x14ac:dyDescent="0.25">
      <c r="B804" s="100"/>
      <c r="E804" s="100"/>
      <c r="F804" s="100"/>
    </row>
    <row r="805" spans="2:6" ht="12.75" customHeight="1" x14ac:dyDescent="0.25">
      <c r="B805" s="100"/>
      <c r="E805" s="100"/>
      <c r="F805" s="100"/>
    </row>
    <row r="806" spans="2:6" ht="12.75" customHeight="1" x14ac:dyDescent="0.25">
      <c r="B806" s="100"/>
      <c r="E806" s="100"/>
      <c r="F806" s="100"/>
    </row>
    <row r="807" spans="2:6" ht="12.75" customHeight="1" x14ac:dyDescent="0.25">
      <c r="B807" s="100"/>
      <c r="E807" s="100"/>
      <c r="F807" s="100"/>
    </row>
    <row r="808" spans="2:6" ht="12.75" customHeight="1" x14ac:dyDescent="0.25">
      <c r="B808" s="100"/>
      <c r="E808" s="100"/>
      <c r="F808" s="100"/>
    </row>
    <row r="809" spans="2:6" ht="12.75" customHeight="1" x14ac:dyDescent="0.25">
      <c r="B809" s="100"/>
      <c r="E809" s="100"/>
      <c r="F809" s="100"/>
    </row>
    <row r="810" spans="2:6" ht="12.75" customHeight="1" x14ac:dyDescent="0.25">
      <c r="B810" s="100"/>
      <c r="E810" s="100"/>
      <c r="F810" s="100"/>
    </row>
    <row r="811" spans="2:6" ht="12.75" customHeight="1" x14ac:dyDescent="0.25">
      <c r="B811" s="100"/>
      <c r="E811" s="100"/>
      <c r="F811" s="100"/>
    </row>
    <row r="812" spans="2:6" ht="12.75" customHeight="1" x14ac:dyDescent="0.25">
      <c r="B812" s="100"/>
      <c r="E812" s="100"/>
      <c r="F812" s="100"/>
    </row>
    <row r="813" spans="2:6" ht="12.75" customHeight="1" x14ac:dyDescent="0.25">
      <c r="B813" s="100"/>
      <c r="E813" s="100"/>
      <c r="F813" s="100"/>
    </row>
    <row r="814" spans="2:6" ht="12.75" customHeight="1" x14ac:dyDescent="0.25">
      <c r="B814" s="100"/>
      <c r="E814" s="100"/>
      <c r="F814" s="100"/>
    </row>
    <row r="815" spans="2:6" ht="12.75" customHeight="1" x14ac:dyDescent="0.25">
      <c r="B815" s="100"/>
      <c r="E815" s="100"/>
      <c r="F815" s="100"/>
    </row>
    <row r="816" spans="2:6" ht="12.75" customHeight="1" x14ac:dyDescent="0.25">
      <c r="B816" s="100"/>
      <c r="E816" s="100"/>
      <c r="F816" s="100"/>
    </row>
    <row r="817" spans="2:6" ht="12.75" customHeight="1" x14ac:dyDescent="0.25">
      <c r="B817" s="100"/>
      <c r="E817" s="100"/>
      <c r="F817" s="100"/>
    </row>
    <row r="818" spans="2:6" ht="12.75" customHeight="1" x14ac:dyDescent="0.25">
      <c r="B818" s="100"/>
      <c r="E818" s="100"/>
      <c r="F818" s="100"/>
    </row>
    <row r="819" spans="2:6" ht="12.75" customHeight="1" x14ac:dyDescent="0.25">
      <c r="B819" s="100"/>
      <c r="E819" s="100"/>
      <c r="F819" s="100"/>
    </row>
    <row r="820" spans="2:6" ht="12.75" customHeight="1" x14ac:dyDescent="0.25">
      <c r="B820" s="100"/>
      <c r="E820" s="100"/>
      <c r="F820" s="100"/>
    </row>
    <row r="821" spans="2:6" ht="12.75" customHeight="1" x14ac:dyDescent="0.25">
      <c r="B821" s="100"/>
      <c r="E821" s="100"/>
      <c r="F821" s="100"/>
    </row>
    <row r="822" spans="2:6" ht="12.75" customHeight="1" x14ac:dyDescent="0.25">
      <c r="B822" s="100"/>
      <c r="E822" s="100"/>
      <c r="F822" s="100"/>
    </row>
    <row r="823" spans="2:6" ht="12.75" customHeight="1" x14ac:dyDescent="0.25">
      <c r="B823" s="100"/>
      <c r="E823" s="100"/>
      <c r="F823" s="100"/>
    </row>
    <row r="824" spans="2:6" ht="12.75" customHeight="1" x14ac:dyDescent="0.25">
      <c r="B824" s="100"/>
      <c r="E824" s="100"/>
      <c r="F824" s="100"/>
    </row>
    <row r="825" spans="2:6" ht="12.75" customHeight="1" x14ac:dyDescent="0.25">
      <c r="B825" s="100"/>
      <c r="E825" s="100"/>
      <c r="F825" s="100"/>
    </row>
    <row r="826" spans="2:6" ht="12.75" customHeight="1" x14ac:dyDescent="0.25">
      <c r="B826" s="100"/>
      <c r="E826" s="100"/>
      <c r="F826" s="100"/>
    </row>
    <row r="827" spans="2:6" ht="12.75" customHeight="1" x14ac:dyDescent="0.25">
      <c r="B827" s="100"/>
      <c r="E827" s="100"/>
      <c r="F827" s="100"/>
    </row>
    <row r="828" spans="2:6" ht="12.75" customHeight="1" x14ac:dyDescent="0.25">
      <c r="B828" s="100"/>
      <c r="E828" s="100"/>
      <c r="F828" s="100"/>
    </row>
    <row r="829" spans="2:6" ht="12.75" customHeight="1" x14ac:dyDescent="0.25">
      <c r="B829" s="100"/>
      <c r="E829" s="100"/>
      <c r="F829" s="100"/>
    </row>
    <row r="830" spans="2:6" ht="12.75" customHeight="1" x14ac:dyDescent="0.25">
      <c r="B830" s="100"/>
      <c r="E830" s="100"/>
      <c r="F830" s="100"/>
    </row>
    <row r="831" spans="2:6" ht="12.75" customHeight="1" x14ac:dyDescent="0.25">
      <c r="B831" s="100"/>
      <c r="E831" s="100"/>
      <c r="F831" s="100"/>
    </row>
    <row r="832" spans="2:6" ht="12.75" customHeight="1" x14ac:dyDescent="0.25">
      <c r="B832" s="100"/>
      <c r="E832" s="100"/>
      <c r="F832" s="100"/>
    </row>
    <row r="833" spans="2:6" ht="12.75" customHeight="1" x14ac:dyDescent="0.25">
      <c r="B833" s="100"/>
      <c r="E833" s="100"/>
      <c r="F833" s="100"/>
    </row>
    <row r="834" spans="2:6" ht="12.75" customHeight="1" x14ac:dyDescent="0.25">
      <c r="B834" s="100"/>
      <c r="E834" s="100"/>
      <c r="F834" s="100"/>
    </row>
    <row r="835" spans="2:6" ht="12.75" customHeight="1" x14ac:dyDescent="0.25">
      <c r="B835" s="100"/>
      <c r="E835" s="100"/>
      <c r="F835" s="100"/>
    </row>
    <row r="836" spans="2:6" ht="12.75" customHeight="1" x14ac:dyDescent="0.25">
      <c r="B836" s="100"/>
      <c r="E836" s="100"/>
      <c r="F836" s="100"/>
    </row>
    <row r="837" spans="2:6" ht="12.75" customHeight="1" x14ac:dyDescent="0.25">
      <c r="B837" s="100"/>
      <c r="E837" s="100"/>
      <c r="F837" s="100"/>
    </row>
    <row r="838" spans="2:6" ht="12.75" customHeight="1" x14ac:dyDescent="0.25">
      <c r="B838" s="100"/>
      <c r="E838" s="100"/>
      <c r="F838" s="100"/>
    </row>
    <row r="839" spans="2:6" ht="12.75" customHeight="1" x14ac:dyDescent="0.25">
      <c r="B839" s="100"/>
      <c r="E839" s="100"/>
      <c r="F839" s="100"/>
    </row>
    <row r="840" spans="2:6" ht="12.75" customHeight="1" x14ac:dyDescent="0.25">
      <c r="B840" s="100"/>
      <c r="E840" s="100"/>
      <c r="F840" s="100"/>
    </row>
    <row r="841" spans="2:6" ht="12.75" customHeight="1" x14ac:dyDescent="0.25">
      <c r="B841" s="100"/>
      <c r="E841" s="100"/>
      <c r="F841" s="100"/>
    </row>
    <row r="842" spans="2:6" ht="12.75" customHeight="1" x14ac:dyDescent="0.25">
      <c r="B842" s="100"/>
      <c r="E842" s="100"/>
      <c r="F842" s="100"/>
    </row>
    <row r="843" spans="2:6" ht="12.75" customHeight="1" x14ac:dyDescent="0.25">
      <c r="B843" s="100"/>
      <c r="E843" s="100"/>
      <c r="F843" s="100"/>
    </row>
    <row r="844" spans="2:6" ht="12.75" customHeight="1" x14ac:dyDescent="0.25">
      <c r="B844" s="100"/>
      <c r="E844" s="100"/>
      <c r="F844" s="100"/>
    </row>
    <row r="845" spans="2:6" ht="12.75" customHeight="1" x14ac:dyDescent="0.25">
      <c r="B845" s="100"/>
      <c r="E845" s="100"/>
      <c r="F845" s="100"/>
    </row>
    <row r="846" spans="2:6" ht="12.75" customHeight="1" x14ac:dyDescent="0.25">
      <c r="B846" s="100"/>
      <c r="E846" s="100"/>
      <c r="F846" s="100"/>
    </row>
    <row r="847" spans="2:6" ht="12.75" customHeight="1" x14ac:dyDescent="0.25">
      <c r="B847" s="100"/>
      <c r="E847" s="100"/>
      <c r="F847" s="100"/>
    </row>
    <row r="848" spans="2:6" ht="12.75" customHeight="1" x14ac:dyDescent="0.25">
      <c r="B848" s="100"/>
      <c r="E848" s="100"/>
      <c r="F848" s="100"/>
    </row>
    <row r="849" spans="2:6" ht="12.75" customHeight="1" x14ac:dyDescent="0.25">
      <c r="B849" s="100"/>
      <c r="E849" s="100"/>
      <c r="F849" s="100"/>
    </row>
    <row r="850" spans="2:6" ht="12.75" customHeight="1" x14ac:dyDescent="0.25">
      <c r="B850" s="100"/>
      <c r="E850" s="100"/>
      <c r="F850" s="100"/>
    </row>
    <row r="851" spans="2:6" ht="12.75" customHeight="1" x14ac:dyDescent="0.25">
      <c r="B851" s="100"/>
      <c r="E851" s="100"/>
      <c r="F851" s="100"/>
    </row>
    <row r="852" spans="2:6" ht="12.75" customHeight="1" x14ac:dyDescent="0.25">
      <c r="B852" s="100"/>
      <c r="E852" s="100"/>
      <c r="F852" s="100"/>
    </row>
    <row r="853" spans="2:6" ht="12.75" customHeight="1" x14ac:dyDescent="0.25">
      <c r="B853" s="100"/>
      <c r="E853" s="100"/>
      <c r="F853" s="100"/>
    </row>
    <row r="854" spans="2:6" ht="12.75" customHeight="1" x14ac:dyDescent="0.25">
      <c r="B854" s="100"/>
      <c r="E854" s="100"/>
      <c r="F854" s="100"/>
    </row>
    <row r="855" spans="2:6" ht="12.75" customHeight="1" x14ac:dyDescent="0.25">
      <c r="B855" s="100"/>
      <c r="E855" s="100"/>
      <c r="F855" s="100"/>
    </row>
    <row r="856" spans="2:6" ht="12.75" customHeight="1" x14ac:dyDescent="0.25">
      <c r="B856" s="100"/>
      <c r="E856" s="100"/>
      <c r="F856" s="100"/>
    </row>
    <row r="857" spans="2:6" ht="12.75" customHeight="1" x14ac:dyDescent="0.25">
      <c r="B857" s="100"/>
      <c r="E857" s="100"/>
      <c r="F857" s="100"/>
    </row>
    <row r="858" spans="2:6" ht="12.75" customHeight="1" x14ac:dyDescent="0.25">
      <c r="B858" s="100"/>
      <c r="E858" s="100"/>
      <c r="F858" s="100"/>
    </row>
    <row r="859" spans="2:6" ht="12.75" customHeight="1" x14ac:dyDescent="0.25">
      <c r="B859" s="100"/>
      <c r="E859" s="100"/>
      <c r="F859" s="100"/>
    </row>
    <row r="860" spans="2:6" ht="12.75" customHeight="1" x14ac:dyDescent="0.25">
      <c r="B860" s="100"/>
      <c r="E860" s="100"/>
      <c r="F860" s="100"/>
    </row>
    <row r="861" spans="2:6" ht="12.75" customHeight="1" x14ac:dyDescent="0.25">
      <c r="B861" s="100"/>
      <c r="E861" s="100"/>
      <c r="F861" s="100"/>
    </row>
    <row r="862" spans="2:6" ht="12.75" customHeight="1" x14ac:dyDescent="0.25">
      <c r="B862" s="100"/>
      <c r="E862" s="100"/>
      <c r="F862" s="100"/>
    </row>
    <row r="863" spans="2:6" ht="12.75" customHeight="1" x14ac:dyDescent="0.25">
      <c r="B863" s="100"/>
      <c r="E863" s="100"/>
      <c r="F863" s="100"/>
    </row>
    <row r="864" spans="2:6" ht="12.75" customHeight="1" x14ac:dyDescent="0.25">
      <c r="B864" s="100"/>
      <c r="E864" s="100"/>
      <c r="F864" s="100"/>
    </row>
    <row r="865" spans="2:6" ht="12.75" customHeight="1" x14ac:dyDescent="0.25">
      <c r="B865" s="100"/>
      <c r="E865" s="100"/>
      <c r="F865" s="100"/>
    </row>
    <row r="866" spans="2:6" ht="12.75" customHeight="1" x14ac:dyDescent="0.25">
      <c r="B866" s="100"/>
      <c r="E866" s="100"/>
      <c r="F866" s="100"/>
    </row>
    <row r="867" spans="2:6" ht="12.75" customHeight="1" x14ac:dyDescent="0.25">
      <c r="B867" s="100"/>
      <c r="E867" s="100"/>
      <c r="F867" s="100"/>
    </row>
    <row r="868" spans="2:6" ht="12.75" customHeight="1" x14ac:dyDescent="0.25">
      <c r="B868" s="100"/>
      <c r="E868" s="100"/>
      <c r="F868" s="100"/>
    </row>
    <row r="869" spans="2:6" ht="12.75" customHeight="1" x14ac:dyDescent="0.25">
      <c r="B869" s="100"/>
      <c r="E869" s="100"/>
      <c r="F869" s="100"/>
    </row>
    <row r="870" spans="2:6" ht="12.75" customHeight="1" x14ac:dyDescent="0.25">
      <c r="B870" s="100"/>
      <c r="E870" s="100"/>
      <c r="F870" s="100"/>
    </row>
    <row r="871" spans="2:6" ht="12.75" customHeight="1" x14ac:dyDescent="0.25">
      <c r="B871" s="100"/>
      <c r="E871" s="100"/>
      <c r="F871" s="100"/>
    </row>
    <row r="872" spans="2:6" ht="12.75" customHeight="1" x14ac:dyDescent="0.25">
      <c r="B872" s="100"/>
      <c r="E872" s="100"/>
      <c r="F872" s="100"/>
    </row>
    <row r="873" spans="2:6" ht="12.75" customHeight="1" x14ac:dyDescent="0.25">
      <c r="B873" s="100"/>
      <c r="E873" s="100"/>
      <c r="F873" s="100"/>
    </row>
    <row r="874" spans="2:6" ht="12.75" customHeight="1" x14ac:dyDescent="0.25">
      <c r="B874" s="100"/>
      <c r="E874" s="100"/>
      <c r="F874" s="100"/>
    </row>
    <row r="875" spans="2:6" ht="12.75" customHeight="1" x14ac:dyDescent="0.25">
      <c r="B875" s="100"/>
      <c r="E875" s="100"/>
      <c r="F875" s="100"/>
    </row>
    <row r="876" spans="2:6" ht="12.75" customHeight="1" x14ac:dyDescent="0.25">
      <c r="B876" s="100"/>
      <c r="E876" s="100"/>
      <c r="F876" s="100"/>
    </row>
    <row r="877" spans="2:6" ht="12.75" customHeight="1" x14ac:dyDescent="0.25">
      <c r="B877" s="100"/>
      <c r="E877" s="100"/>
      <c r="F877" s="100"/>
    </row>
    <row r="878" spans="2:6" ht="12.75" customHeight="1" x14ac:dyDescent="0.25">
      <c r="B878" s="100"/>
      <c r="E878" s="100"/>
      <c r="F878" s="100"/>
    </row>
    <row r="879" spans="2:6" ht="12.75" customHeight="1" x14ac:dyDescent="0.25">
      <c r="B879" s="100"/>
      <c r="E879" s="100"/>
      <c r="F879" s="100"/>
    </row>
    <row r="880" spans="2:6" ht="12.75" customHeight="1" x14ac:dyDescent="0.25">
      <c r="B880" s="100"/>
      <c r="E880" s="100"/>
      <c r="F880" s="100"/>
    </row>
    <row r="881" spans="2:6" ht="12.75" customHeight="1" x14ac:dyDescent="0.25">
      <c r="B881" s="100"/>
      <c r="E881" s="100"/>
      <c r="F881" s="100"/>
    </row>
    <row r="882" spans="2:6" ht="12.75" customHeight="1" x14ac:dyDescent="0.25">
      <c r="B882" s="100"/>
      <c r="E882" s="100"/>
      <c r="F882" s="100"/>
    </row>
    <row r="883" spans="2:6" ht="12.75" customHeight="1" x14ac:dyDescent="0.25">
      <c r="B883" s="100"/>
      <c r="E883" s="100"/>
      <c r="F883" s="100"/>
    </row>
    <row r="884" spans="2:6" ht="12.75" customHeight="1" x14ac:dyDescent="0.25">
      <c r="B884" s="100"/>
      <c r="E884" s="100"/>
      <c r="F884" s="100"/>
    </row>
    <row r="885" spans="2:6" ht="12.75" customHeight="1" x14ac:dyDescent="0.25">
      <c r="B885" s="100"/>
      <c r="E885" s="100"/>
      <c r="F885" s="100"/>
    </row>
    <row r="886" spans="2:6" ht="12.75" customHeight="1" x14ac:dyDescent="0.25">
      <c r="B886" s="100"/>
      <c r="E886" s="100"/>
      <c r="F886" s="100"/>
    </row>
    <row r="887" spans="2:6" ht="12.75" customHeight="1" x14ac:dyDescent="0.25">
      <c r="B887" s="100"/>
      <c r="E887" s="100"/>
      <c r="F887" s="100"/>
    </row>
    <row r="888" spans="2:6" ht="12.75" customHeight="1" x14ac:dyDescent="0.25">
      <c r="B888" s="100"/>
      <c r="E888" s="100"/>
      <c r="F888" s="100"/>
    </row>
    <row r="889" spans="2:6" ht="12.75" customHeight="1" x14ac:dyDescent="0.25">
      <c r="B889" s="100"/>
      <c r="E889" s="100"/>
      <c r="F889" s="100"/>
    </row>
    <row r="890" spans="2:6" ht="12.75" customHeight="1" x14ac:dyDescent="0.25">
      <c r="B890" s="100"/>
      <c r="E890" s="100"/>
      <c r="F890" s="100"/>
    </row>
    <row r="891" spans="2:6" ht="12.75" customHeight="1" x14ac:dyDescent="0.25">
      <c r="B891" s="100"/>
      <c r="E891" s="100"/>
      <c r="F891" s="100"/>
    </row>
    <row r="892" spans="2:6" ht="12.75" customHeight="1" x14ac:dyDescent="0.25">
      <c r="B892" s="100"/>
      <c r="E892" s="100"/>
      <c r="F892" s="100"/>
    </row>
    <row r="893" spans="2:6" ht="12.75" customHeight="1" x14ac:dyDescent="0.25">
      <c r="B893" s="100"/>
      <c r="E893" s="100"/>
      <c r="F893" s="100"/>
    </row>
    <row r="894" spans="2:6" ht="12.75" customHeight="1" x14ac:dyDescent="0.25">
      <c r="B894" s="100"/>
      <c r="E894" s="100"/>
      <c r="F894" s="100"/>
    </row>
    <row r="895" spans="2:6" ht="12.75" customHeight="1" x14ac:dyDescent="0.25">
      <c r="B895" s="100"/>
      <c r="E895" s="100"/>
      <c r="F895" s="100"/>
    </row>
    <row r="896" spans="2:6" ht="12.75" customHeight="1" x14ac:dyDescent="0.25">
      <c r="B896" s="100"/>
      <c r="E896" s="100"/>
      <c r="F896" s="100"/>
    </row>
    <row r="897" spans="2:6" ht="12.75" customHeight="1" x14ac:dyDescent="0.25">
      <c r="B897" s="100"/>
      <c r="E897" s="100"/>
      <c r="F897" s="100"/>
    </row>
    <row r="898" spans="2:6" ht="12.75" customHeight="1" x14ac:dyDescent="0.25">
      <c r="B898" s="100"/>
      <c r="E898" s="100"/>
      <c r="F898" s="100"/>
    </row>
    <row r="899" spans="2:6" ht="12.75" customHeight="1" x14ac:dyDescent="0.25">
      <c r="B899" s="100"/>
      <c r="E899" s="100"/>
      <c r="F899" s="100"/>
    </row>
    <row r="900" spans="2:6" ht="12.75" customHeight="1" x14ac:dyDescent="0.25">
      <c r="B900" s="100"/>
      <c r="E900" s="100"/>
      <c r="F900" s="100"/>
    </row>
    <row r="901" spans="2:6" ht="12.75" customHeight="1" x14ac:dyDescent="0.25">
      <c r="B901" s="100"/>
      <c r="E901" s="100"/>
      <c r="F901" s="100"/>
    </row>
    <row r="902" spans="2:6" ht="12.75" customHeight="1" x14ac:dyDescent="0.25">
      <c r="B902" s="100"/>
      <c r="E902" s="100"/>
      <c r="F902" s="100"/>
    </row>
    <row r="903" spans="2:6" ht="12.75" customHeight="1" x14ac:dyDescent="0.25">
      <c r="B903" s="100"/>
      <c r="E903" s="100"/>
      <c r="F903" s="100"/>
    </row>
    <row r="904" spans="2:6" ht="12.75" customHeight="1" x14ac:dyDescent="0.25">
      <c r="B904" s="100"/>
      <c r="E904" s="100"/>
      <c r="F904" s="100"/>
    </row>
    <row r="905" spans="2:6" ht="12.75" customHeight="1" x14ac:dyDescent="0.25">
      <c r="B905" s="100"/>
      <c r="E905" s="100"/>
      <c r="F905" s="100"/>
    </row>
    <row r="906" spans="2:6" ht="12.75" customHeight="1" x14ac:dyDescent="0.25">
      <c r="B906" s="100"/>
      <c r="E906" s="100"/>
      <c r="F906" s="100"/>
    </row>
    <row r="907" spans="2:6" ht="12.75" customHeight="1" x14ac:dyDescent="0.25">
      <c r="B907" s="100"/>
      <c r="E907" s="100"/>
      <c r="F907" s="100"/>
    </row>
    <row r="908" spans="2:6" ht="12.75" customHeight="1" x14ac:dyDescent="0.25">
      <c r="B908" s="100"/>
      <c r="E908" s="100"/>
      <c r="F908" s="100"/>
    </row>
    <row r="909" spans="2:6" ht="12.75" customHeight="1" x14ac:dyDescent="0.25">
      <c r="B909" s="100"/>
      <c r="E909" s="100"/>
      <c r="F909" s="100"/>
    </row>
    <row r="910" spans="2:6" ht="12.75" customHeight="1" x14ac:dyDescent="0.25">
      <c r="B910" s="100"/>
      <c r="E910" s="100"/>
      <c r="F910" s="100"/>
    </row>
    <row r="911" spans="2:6" ht="12.75" customHeight="1" x14ac:dyDescent="0.25">
      <c r="B911" s="100"/>
      <c r="E911" s="100"/>
      <c r="F911" s="100"/>
    </row>
    <row r="912" spans="2:6" ht="12.75" customHeight="1" x14ac:dyDescent="0.25">
      <c r="B912" s="100"/>
      <c r="E912" s="100"/>
      <c r="F912" s="100"/>
    </row>
    <row r="913" spans="2:6" ht="12.75" customHeight="1" x14ac:dyDescent="0.25">
      <c r="B913" s="100"/>
      <c r="E913" s="100"/>
      <c r="F913" s="100"/>
    </row>
    <row r="914" spans="2:6" ht="12.75" customHeight="1" x14ac:dyDescent="0.25">
      <c r="B914" s="100"/>
      <c r="E914" s="100"/>
      <c r="F914" s="100"/>
    </row>
    <row r="915" spans="2:6" ht="12.75" customHeight="1" x14ac:dyDescent="0.25">
      <c r="B915" s="100"/>
      <c r="E915" s="100"/>
      <c r="F915" s="100"/>
    </row>
    <row r="916" spans="2:6" ht="12.75" customHeight="1" x14ac:dyDescent="0.25">
      <c r="B916" s="100"/>
      <c r="E916" s="100"/>
      <c r="F916" s="100"/>
    </row>
    <row r="917" spans="2:6" ht="12.75" customHeight="1" x14ac:dyDescent="0.25">
      <c r="B917" s="100"/>
      <c r="E917" s="100"/>
      <c r="F917" s="100"/>
    </row>
    <row r="918" spans="2:6" ht="12.75" customHeight="1" x14ac:dyDescent="0.25">
      <c r="B918" s="100"/>
      <c r="E918" s="100"/>
      <c r="F918" s="100"/>
    </row>
    <row r="919" spans="2:6" ht="12.75" customHeight="1" x14ac:dyDescent="0.25">
      <c r="B919" s="100"/>
      <c r="E919" s="100"/>
      <c r="F919" s="100"/>
    </row>
    <row r="920" spans="2:6" ht="12.75" customHeight="1" x14ac:dyDescent="0.25">
      <c r="B920" s="100"/>
      <c r="E920" s="100"/>
      <c r="F920" s="100"/>
    </row>
    <row r="921" spans="2:6" ht="12.75" customHeight="1" x14ac:dyDescent="0.25">
      <c r="B921" s="100"/>
      <c r="E921" s="100"/>
      <c r="F921" s="100"/>
    </row>
    <row r="922" spans="2:6" ht="12.75" customHeight="1" x14ac:dyDescent="0.25">
      <c r="B922" s="100"/>
      <c r="E922" s="100"/>
      <c r="F922" s="100"/>
    </row>
    <row r="923" spans="2:6" ht="12.75" customHeight="1" x14ac:dyDescent="0.25">
      <c r="B923" s="100"/>
      <c r="E923" s="100"/>
      <c r="F923" s="100"/>
    </row>
    <row r="924" spans="2:6" ht="12.75" customHeight="1" x14ac:dyDescent="0.25">
      <c r="B924" s="100"/>
      <c r="E924" s="100"/>
      <c r="F924" s="100"/>
    </row>
    <row r="925" spans="2:6" ht="12.75" customHeight="1" x14ac:dyDescent="0.25">
      <c r="B925" s="100"/>
      <c r="E925" s="100"/>
      <c r="F925" s="100"/>
    </row>
    <row r="926" spans="2:6" ht="12.75" customHeight="1" x14ac:dyDescent="0.25">
      <c r="B926" s="100"/>
      <c r="E926" s="100"/>
      <c r="F926" s="100"/>
    </row>
    <row r="927" spans="2:6" ht="12.75" customHeight="1" x14ac:dyDescent="0.25">
      <c r="B927" s="100"/>
      <c r="E927" s="100"/>
      <c r="F927" s="100"/>
    </row>
    <row r="928" spans="2:6" ht="12.75" customHeight="1" x14ac:dyDescent="0.25">
      <c r="B928" s="100"/>
      <c r="E928" s="100"/>
      <c r="F928" s="100"/>
    </row>
    <row r="929" spans="2:6" ht="12.75" customHeight="1" x14ac:dyDescent="0.25">
      <c r="B929" s="100"/>
      <c r="E929" s="100"/>
      <c r="F929" s="100"/>
    </row>
    <row r="930" spans="2:6" ht="12.75" customHeight="1" x14ac:dyDescent="0.25">
      <c r="B930" s="100"/>
      <c r="E930" s="100"/>
      <c r="F930" s="100"/>
    </row>
    <row r="931" spans="2:6" ht="12.75" customHeight="1" x14ac:dyDescent="0.25">
      <c r="B931" s="100"/>
      <c r="E931" s="100"/>
      <c r="F931" s="100"/>
    </row>
    <row r="932" spans="2:6" ht="12.75" customHeight="1" x14ac:dyDescent="0.25">
      <c r="B932" s="100"/>
      <c r="E932" s="100"/>
      <c r="F932" s="100"/>
    </row>
    <row r="933" spans="2:6" ht="12.75" customHeight="1" x14ac:dyDescent="0.25">
      <c r="B933" s="100"/>
      <c r="E933" s="100"/>
      <c r="F933" s="100"/>
    </row>
    <row r="934" spans="2:6" ht="12.75" customHeight="1" x14ac:dyDescent="0.25">
      <c r="B934" s="100"/>
      <c r="E934" s="100"/>
      <c r="F934" s="100"/>
    </row>
    <row r="935" spans="2:6" ht="12.75" customHeight="1" x14ac:dyDescent="0.25">
      <c r="B935" s="100"/>
      <c r="E935" s="100"/>
      <c r="F935" s="100"/>
    </row>
    <row r="936" spans="2:6" ht="12.75" customHeight="1" x14ac:dyDescent="0.25">
      <c r="B936" s="100"/>
      <c r="E936" s="100"/>
      <c r="F936" s="100"/>
    </row>
    <row r="937" spans="2:6" ht="12.75" customHeight="1" x14ac:dyDescent="0.25">
      <c r="B937" s="100"/>
      <c r="E937" s="100"/>
      <c r="F937" s="100"/>
    </row>
    <row r="938" spans="2:6" ht="12.75" customHeight="1" x14ac:dyDescent="0.25">
      <c r="B938" s="100"/>
      <c r="E938" s="100"/>
      <c r="F938" s="100"/>
    </row>
    <row r="939" spans="2:6" ht="12.75" customHeight="1" x14ac:dyDescent="0.25">
      <c r="B939" s="100"/>
      <c r="E939" s="100"/>
      <c r="F939" s="100"/>
    </row>
    <row r="940" spans="2:6" ht="12.75" customHeight="1" x14ac:dyDescent="0.25">
      <c r="B940" s="100"/>
      <c r="E940" s="100"/>
      <c r="F940" s="100"/>
    </row>
    <row r="941" spans="2:6" ht="12.75" customHeight="1" x14ac:dyDescent="0.25">
      <c r="B941" s="100"/>
      <c r="E941" s="100"/>
      <c r="F941" s="100"/>
    </row>
    <row r="942" spans="2:6" ht="12.75" customHeight="1" x14ac:dyDescent="0.25">
      <c r="B942" s="100"/>
      <c r="E942" s="100"/>
      <c r="F942" s="100"/>
    </row>
    <row r="943" spans="2:6" ht="12.75" customHeight="1" x14ac:dyDescent="0.25">
      <c r="B943" s="100"/>
      <c r="E943" s="100"/>
      <c r="F943" s="100"/>
    </row>
    <row r="944" spans="2:6" ht="12.75" customHeight="1" x14ac:dyDescent="0.25">
      <c r="B944" s="100"/>
      <c r="E944" s="100"/>
      <c r="F944" s="100"/>
    </row>
    <row r="945" spans="2:6" ht="12.75" customHeight="1" x14ac:dyDescent="0.25">
      <c r="B945" s="100"/>
      <c r="E945" s="100"/>
      <c r="F945" s="100"/>
    </row>
    <row r="946" spans="2:6" ht="12.75" customHeight="1" x14ac:dyDescent="0.25">
      <c r="B946" s="100"/>
      <c r="E946" s="100"/>
      <c r="F946" s="100"/>
    </row>
    <row r="947" spans="2:6" ht="12.75" customHeight="1" x14ac:dyDescent="0.25">
      <c r="B947" s="100"/>
      <c r="E947" s="100"/>
      <c r="F947" s="100"/>
    </row>
    <row r="948" spans="2:6" ht="12.75" customHeight="1" x14ac:dyDescent="0.25">
      <c r="B948" s="100"/>
      <c r="E948" s="100"/>
      <c r="F948" s="100"/>
    </row>
    <row r="949" spans="2:6" ht="12.75" customHeight="1" x14ac:dyDescent="0.25">
      <c r="B949" s="100"/>
      <c r="E949" s="100"/>
      <c r="F949" s="100"/>
    </row>
    <row r="950" spans="2:6" ht="12.75" customHeight="1" x14ac:dyDescent="0.25">
      <c r="B950" s="100"/>
      <c r="E950" s="100"/>
      <c r="F950" s="100"/>
    </row>
    <row r="951" spans="2:6" ht="12.75" customHeight="1" x14ac:dyDescent="0.25">
      <c r="B951" s="100"/>
      <c r="E951" s="100"/>
      <c r="F951" s="100"/>
    </row>
    <row r="952" spans="2:6" ht="12.75" customHeight="1" x14ac:dyDescent="0.25">
      <c r="B952" s="100"/>
      <c r="E952" s="100"/>
      <c r="F952" s="100"/>
    </row>
    <row r="953" spans="2:6" ht="12.75" customHeight="1" x14ac:dyDescent="0.25">
      <c r="B953" s="100"/>
      <c r="E953" s="100"/>
      <c r="F953" s="100"/>
    </row>
    <row r="954" spans="2:6" ht="12.75" customHeight="1" x14ac:dyDescent="0.25">
      <c r="B954" s="100"/>
      <c r="E954" s="100"/>
      <c r="F954" s="100"/>
    </row>
    <row r="955" spans="2:6" ht="12.75" customHeight="1" x14ac:dyDescent="0.25">
      <c r="B955" s="100"/>
      <c r="E955" s="100"/>
      <c r="F955" s="100"/>
    </row>
    <row r="956" spans="2:6" ht="12.75" customHeight="1" x14ac:dyDescent="0.25">
      <c r="B956" s="100"/>
      <c r="E956" s="100"/>
      <c r="F956" s="100"/>
    </row>
    <row r="957" spans="2:6" ht="12.75" customHeight="1" x14ac:dyDescent="0.25">
      <c r="B957" s="100"/>
      <c r="E957" s="100"/>
      <c r="F957" s="100"/>
    </row>
    <row r="958" spans="2:6" ht="12.75" customHeight="1" x14ac:dyDescent="0.25">
      <c r="B958" s="100"/>
      <c r="E958" s="100"/>
      <c r="F958" s="100"/>
    </row>
    <row r="959" spans="2:6" ht="12.75" customHeight="1" x14ac:dyDescent="0.25">
      <c r="B959" s="100"/>
      <c r="E959" s="100"/>
      <c r="F959" s="100"/>
    </row>
    <row r="960" spans="2:6" ht="12.75" customHeight="1" x14ac:dyDescent="0.25">
      <c r="B960" s="100"/>
      <c r="E960" s="100"/>
      <c r="F960" s="100"/>
    </row>
    <row r="961" spans="2:6" ht="12.75" customHeight="1" x14ac:dyDescent="0.25">
      <c r="B961" s="100"/>
      <c r="E961" s="100"/>
      <c r="F961" s="100"/>
    </row>
    <row r="962" spans="2:6" ht="12.75" customHeight="1" x14ac:dyDescent="0.25">
      <c r="B962" s="100"/>
      <c r="E962" s="100"/>
      <c r="F962" s="100"/>
    </row>
    <row r="963" spans="2:6" ht="12.75" customHeight="1" x14ac:dyDescent="0.25">
      <c r="B963" s="100"/>
      <c r="E963" s="100"/>
      <c r="F963" s="100"/>
    </row>
    <row r="964" spans="2:6" ht="12.75" customHeight="1" x14ac:dyDescent="0.25">
      <c r="B964" s="100"/>
      <c r="E964" s="100"/>
      <c r="F964" s="100"/>
    </row>
    <row r="965" spans="2:6" ht="12.75" customHeight="1" x14ac:dyDescent="0.25">
      <c r="B965" s="100"/>
      <c r="E965" s="100"/>
      <c r="F965" s="100"/>
    </row>
    <row r="966" spans="2:6" ht="12.75" customHeight="1" x14ac:dyDescent="0.25">
      <c r="B966" s="100"/>
      <c r="E966" s="100"/>
      <c r="F966" s="100"/>
    </row>
    <row r="967" spans="2:6" ht="12.75" customHeight="1" x14ac:dyDescent="0.25">
      <c r="B967" s="100"/>
      <c r="E967" s="100"/>
      <c r="F967" s="100"/>
    </row>
    <row r="968" spans="2:6" ht="12.75" customHeight="1" x14ac:dyDescent="0.25">
      <c r="B968" s="100"/>
      <c r="E968" s="100"/>
      <c r="F968" s="100"/>
    </row>
    <row r="969" spans="2:6" ht="12.75" customHeight="1" x14ac:dyDescent="0.25">
      <c r="B969" s="100"/>
      <c r="E969" s="100"/>
      <c r="F969" s="100"/>
    </row>
    <row r="970" spans="2:6" ht="12.75" customHeight="1" x14ac:dyDescent="0.25">
      <c r="B970" s="100"/>
      <c r="E970" s="100"/>
      <c r="F970" s="100"/>
    </row>
    <row r="971" spans="2:6" ht="12.75" customHeight="1" x14ac:dyDescent="0.25">
      <c r="B971" s="100"/>
      <c r="E971" s="100"/>
      <c r="F971" s="100"/>
    </row>
    <row r="972" spans="2:6" ht="12.75" customHeight="1" x14ac:dyDescent="0.25">
      <c r="B972" s="100"/>
      <c r="E972" s="100"/>
      <c r="F972" s="100"/>
    </row>
    <row r="973" spans="2:6" ht="12.75" customHeight="1" x14ac:dyDescent="0.25">
      <c r="B973" s="100"/>
      <c r="E973" s="100"/>
      <c r="F973" s="100"/>
    </row>
    <row r="974" spans="2:6" x14ac:dyDescent="0.25">
      <c r="B974" s="100"/>
      <c r="E974" s="100"/>
      <c r="F974" s="100"/>
    </row>
  </sheetData>
  <mergeCells count="11">
    <mergeCell ref="B82:H82"/>
    <mergeCell ref="B64:H64"/>
    <mergeCell ref="R25:S25"/>
    <mergeCell ref="B65:H65"/>
    <mergeCell ref="B2:H3"/>
    <mergeCell ref="B81:H81"/>
    <mergeCell ref="B58:J58"/>
    <mergeCell ref="B43:J43"/>
    <mergeCell ref="B42:J42"/>
    <mergeCell ref="C10:E10"/>
    <mergeCell ref="B35:F35"/>
  </mergeCells>
  <printOptions horizontalCentered="1"/>
  <pageMargins left="0.5" right="0.5" top="1" bottom="0.5" header="0.3" footer="0.511811023622047"/>
  <pageSetup paperSize="9" scale="31" orientation="portrait" r:id="rId1"/>
  <legacyDrawing r:id="rId2"/>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77">
    <tabColor rgb="FF333F50"/>
    <pageSetUpPr fitToPage="1"/>
  </sheetPr>
  <dimension ref="A1:AG98"/>
  <sheetViews>
    <sheetView topLeftCell="R1" zoomScale="85" zoomScaleNormal="85" workbookViewId="0">
      <selection activeCell="Z25" sqref="Z25:AC30"/>
    </sheetView>
  </sheetViews>
  <sheetFormatPr defaultColWidth="12.5" defaultRowHeight="14" x14ac:dyDescent="0.3"/>
  <cols>
    <col min="1" max="1" width="16.33203125" style="1" customWidth="1"/>
    <col min="2" max="2" width="30.9140625" customWidth="1"/>
    <col min="3" max="3" width="16.9140625" customWidth="1"/>
    <col min="4" max="4" width="19" customWidth="1"/>
    <col min="5" max="5" width="16.1640625" customWidth="1"/>
    <col min="6" max="6" width="23.08203125" customWidth="1"/>
    <col min="7" max="7" width="25.1640625" customWidth="1"/>
    <col min="8" max="8" width="36.1640625" customWidth="1"/>
    <col min="9" max="9" width="19.33203125" customWidth="1"/>
    <col min="12" max="12" width="8.33203125" customWidth="1"/>
    <col min="13" max="17" width="5.4140625" customWidth="1"/>
    <col min="18" max="18" width="32" customWidth="1"/>
    <col min="23" max="23" width="29.4140625" customWidth="1"/>
    <col min="24" max="24" width="31.6640625" customWidth="1"/>
  </cols>
  <sheetData>
    <row r="1" spans="1:33" ht="24" customHeight="1" x14ac:dyDescent="0.3">
      <c r="A1" s="80" t="s">
        <v>243</v>
      </c>
      <c r="B1" s="81">
        <v>1000</v>
      </c>
      <c r="C1" s="89" t="s">
        <v>325</v>
      </c>
      <c r="D1" s="90">
        <f>$S$30/J1</f>
        <v>31403.225806451614</v>
      </c>
      <c r="E1" s="91" t="s">
        <v>248</v>
      </c>
      <c r="F1" s="92" t="s">
        <v>409</v>
      </c>
      <c r="G1" s="91" t="s">
        <v>327</v>
      </c>
      <c r="H1" s="305">
        <f>H52</f>
        <v>19.47</v>
      </c>
      <c r="I1" s="93" t="s">
        <v>250</v>
      </c>
      <c r="J1" s="306">
        <v>0.62</v>
      </c>
      <c r="K1" s="100"/>
      <c r="Y1" s="91" t="s">
        <v>479</v>
      </c>
      <c r="Z1" s="847">
        <v>18470</v>
      </c>
      <c r="AA1" s="91" t="s">
        <v>600</v>
      </c>
      <c r="AB1" s="847">
        <v>1000</v>
      </c>
      <c r="AC1" s="91" t="s">
        <v>587</v>
      </c>
      <c r="AD1" s="847">
        <v>126</v>
      </c>
      <c r="AE1" s="250"/>
      <c r="AF1" s="252"/>
      <c r="AG1" s="92"/>
    </row>
    <row r="2" spans="1:33" ht="12.75" customHeight="1" x14ac:dyDescent="0.3">
      <c r="A2" s="265"/>
      <c r="B2" s="1387" t="s">
        <v>410</v>
      </c>
      <c r="C2" s="1422"/>
      <c r="D2" s="1422"/>
      <c r="E2" s="1422"/>
      <c r="F2" s="1422"/>
      <c r="G2" s="1422"/>
      <c r="H2" s="1422"/>
      <c r="I2" s="1422"/>
      <c r="J2" s="1422"/>
      <c r="K2" s="1422"/>
      <c r="L2" s="293"/>
      <c r="M2" s="100"/>
      <c r="N2" s="100"/>
      <c r="AC2" s="99"/>
      <c r="AD2" s="99"/>
      <c r="AE2" s="1391"/>
      <c r="AF2" s="1422"/>
      <c r="AG2" s="1422"/>
    </row>
    <row r="3" spans="1:33" ht="12.75" customHeight="1" x14ac:dyDescent="0.3">
      <c r="A3" s="265"/>
      <c r="B3" s="1388"/>
      <c r="C3" s="1388"/>
      <c r="D3" s="1388"/>
      <c r="E3" s="1388"/>
      <c r="F3" s="1388"/>
      <c r="G3" s="1388"/>
      <c r="H3" s="1388"/>
      <c r="I3" s="1388"/>
      <c r="J3" s="1388"/>
      <c r="K3" s="1388"/>
      <c r="L3" s="293"/>
      <c r="M3" s="100"/>
      <c r="N3" s="100"/>
      <c r="AC3" s="99"/>
      <c r="AD3" s="99"/>
      <c r="AE3" s="1422"/>
      <c r="AF3" s="1422"/>
      <c r="AG3" s="1422"/>
    </row>
    <row r="4" spans="1:33" ht="46.5" customHeight="1" x14ac:dyDescent="0.3">
      <c r="A4" s="91" t="s">
        <v>1</v>
      </c>
      <c r="B4" s="91" t="s">
        <v>253</v>
      </c>
      <c r="C4" s="307" t="s">
        <v>329</v>
      </c>
      <c r="D4" s="91" t="s">
        <v>330</v>
      </c>
      <c r="E4" s="108" t="s">
        <v>331</v>
      </c>
      <c r="F4" s="108" t="s">
        <v>332</v>
      </c>
      <c r="G4" s="308" t="s">
        <v>333</v>
      </c>
      <c r="H4" s="109" t="s">
        <v>334</v>
      </c>
      <c r="I4" s="91" t="s">
        <v>258</v>
      </c>
      <c r="J4" s="91" t="s">
        <v>259</v>
      </c>
      <c r="K4" s="91" t="s">
        <v>260</v>
      </c>
      <c r="L4" s="91" t="s">
        <v>261</v>
      </c>
      <c r="AA4" s="251"/>
      <c r="AB4" s="253"/>
      <c r="AC4" s="251"/>
      <c r="AD4" s="251"/>
      <c r="AE4" s="251"/>
    </row>
    <row r="5" spans="1:33" ht="14.25" customHeight="1" x14ac:dyDescent="0.3">
      <c r="A5" s="266" t="s">
        <v>230</v>
      </c>
      <c r="B5" s="309" t="s">
        <v>229</v>
      </c>
      <c r="C5" s="124" t="s">
        <v>14</v>
      </c>
      <c r="D5" s="268">
        <f>I51/H51</f>
        <v>1612.9032258064517</v>
      </c>
      <c r="E5" s="119">
        <f>I52/D5</f>
        <v>19.47</v>
      </c>
      <c r="F5" s="127">
        <v>1</v>
      </c>
      <c r="G5" s="117">
        <f>D1</f>
        <v>31403.225806451614</v>
      </c>
      <c r="H5" s="406">
        <f>D1</f>
        <v>31403.225806451614</v>
      </c>
      <c r="I5" s="81">
        <f>VLOOKUP(B5,All_Ingredients!$A$1:$F$151,6,FALSE())</f>
        <v>0.86</v>
      </c>
      <c r="J5" s="119">
        <f>VLOOKUP(B5,All_Ingredients!$A$1:$J$151,10,FALSE())</f>
        <v>17.100000000000001</v>
      </c>
      <c r="K5" s="122">
        <f t="shared" ref="K5" si="0">(H5/I5)/1000</f>
        <v>36.515378844711179</v>
      </c>
      <c r="L5" s="122">
        <f t="shared" ref="L5" si="1">K5*J5</f>
        <v>624.41297824456126</v>
      </c>
    </row>
    <row r="6" spans="1:33" ht="14.25" customHeight="1" x14ac:dyDescent="0.3">
      <c r="A6" s="270" t="s">
        <v>97</v>
      </c>
      <c r="B6" s="22" t="s">
        <v>108</v>
      </c>
      <c r="C6" s="124" t="s">
        <v>14</v>
      </c>
      <c r="D6" s="125">
        <v>25</v>
      </c>
      <c r="E6" s="197">
        <f>$H$52</f>
        <v>19.47</v>
      </c>
      <c r="F6" s="127">
        <v>0.7</v>
      </c>
      <c r="G6" s="119">
        <f>D6*E6</f>
        <v>486.75</v>
      </c>
      <c r="H6" s="120">
        <f>G6*F6</f>
        <v>340.72499999999997</v>
      </c>
      <c r="I6" s="81">
        <f>VLOOKUP(B6,All_Ingredients!$A$1:$F$151,6,FALSE())</f>
        <v>1</v>
      </c>
      <c r="J6" s="119">
        <f>VLOOKUP(B6,All_Ingredients!$A$1:$J$151,10,FALSE())</f>
        <v>15</v>
      </c>
      <c r="K6" s="122">
        <f t="shared" ref="K6:K10" si="2">(H6/I6)/1000</f>
        <v>0.34072499999999994</v>
      </c>
      <c r="L6" s="122">
        <f t="shared" ref="L6:L10" si="3">K6*J6</f>
        <v>5.1108749999999992</v>
      </c>
    </row>
    <row r="7" spans="1:33" ht="14.25" customHeight="1" x14ac:dyDescent="0.3">
      <c r="A7" s="270" t="s">
        <v>196</v>
      </c>
      <c r="B7" s="294" t="s">
        <v>761</v>
      </c>
      <c r="C7" s="124" t="s">
        <v>14</v>
      </c>
      <c r="D7" s="125">
        <v>35</v>
      </c>
      <c r="E7" s="197">
        <f>$H$52</f>
        <v>19.47</v>
      </c>
      <c r="F7" s="127">
        <v>0.75</v>
      </c>
      <c r="G7" s="119">
        <f>D7*E7</f>
        <v>681.44999999999993</v>
      </c>
      <c r="H7" s="120">
        <f>G7*F7</f>
        <v>511.08749999999998</v>
      </c>
      <c r="I7" s="81">
        <f>VLOOKUP(B7,All_Ingredients!$A$1:$F$151,6,FALSE())</f>
        <v>1</v>
      </c>
      <c r="J7" s="119">
        <f>VLOOKUP(B7,All_Ingredients!$A$1:$J$151,10,FALSE())</f>
        <v>8.1520833333333336</v>
      </c>
      <c r="K7" s="122">
        <f t="shared" si="2"/>
        <v>0.51108750000000003</v>
      </c>
      <c r="L7" s="122">
        <f t="shared" si="3"/>
        <v>4.1664278906250001</v>
      </c>
    </row>
    <row r="8" spans="1:33" ht="14.25" customHeight="1" x14ac:dyDescent="0.3">
      <c r="A8" s="270" t="s">
        <v>97</v>
      </c>
      <c r="B8" s="22" t="s">
        <v>110</v>
      </c>
      <c r="C8" s="124" t="s">
        <v>14</v>
      </c>
      <c r="D8" s="125">
        <v>20</v>
      </c>
      <c r="E8" s="197">
        <f>$H$52</f>
        <v>19.47</v>
      </c>
      <c r="F8" s="127">
        <v>0.7</v>
      </c>
      <c r="G8" s="119">
        <f>D8*E8</f>
        <v>389.4</v>
      </c>
      <c r="H8" s="120">
        <f>G8*F8</f>
        <v>272.58</v>
      </c>
      <c r="I8" s="81">
        <f>VLOOKUP(B8,All_Ingredients!$A$1:$F$151,6,FALSE())</f>
        <v>1</v>
      </c>
      <c r="J8" s="119">
        <f>VLOOKUP(B8,All_Ingredients!$A$1:$J$151,10,FALSE())</f>
        <v>8</v>
      </c>
      <c r="K8" s="122">
        <f t="shared" si="2"/>
        <v>0.27257999999999999</v>
      </c>
      <c r="L8" s="122">
        <f t="shared" si="3"/>
        <v>2.1806399999999999</v>
      </c>
    </row>
    <row r="9" spans="1:33" ht="14.25" customHeight="1" x14ac:dyDescent="0.3">
      <c r="A9" s="270" t="s">
        <v>97</v>
      </c>
      <c r="B9" s="323" t="s">
        <v>96</v>
      </c>
      <c r="C9" s="124" t="s">
        <v>14</v>
      </c>
      <c r="D9" s="125">
        <v>15</v>
      </c>
      <c r="E9" s="197">
        <f>$H$52</f>
        <v>19.47</v>
      </c>
      <c r="F9" s="127">
        <v>0.75</v>
      </c>
      <c r="G9" s="119">
        <f>D9*E9</f>
        <v>292.04999999999995</v>
      </c>
      <c r="H9" s="120">
        <f>G9*F9</f>
        <v>219.03749999999997</v>
      </c>
      <c r="I9" s="81">
        <f>VLOOKUP(B9,All_Ingredients!$A$1:$F$151,6,FALSE())</f>
        <v>1</v>
      </c>
      <c r="J9" s="119">
        <f>VLOOKUP(B9,All_Ingredients!$A$1:$J$151,10,FALSE())</f>
        <v>0.74</v>
      </c>
      <c r="K9" s="122">
        <f t="shared" si="2"/>
        <v>0.21903749999999997</v>
      </c>
      <c r="L9" s="122">
        <f t="shared" si="3"/>
        <v>0.16208774999999997</v>
      </c>
    </row>
    <row r="10" spans="1:33" ht="14.25" customHeight="1" x14ac:dyDescent="0.3">
      <c r="A10" s="270" t="s">
        <v>210</v>
      </c>
      <c r="B10" s="323" t="s">
        <v>209</v>
      </c>
      <c r="C10" s="124" t="s">
        <v>14</v>
      </c>
      <c r="D10" s="125">
        <v>1500</v>
      </c>
      <c r="E10" s="197">
        <f>$H$52</f>
        <v>19.47</v>
      </c>
      <c r="F10" s="127">
        <v>1</v>
      </c>
      <c r="G10" s="119">
        <f>D10*E10</f>
        <v>29205</v>
      </c>
      <c r="H10" s="120">
        <f>G10*F10</f>
        <v>29205</v>
      </c>
      <c r="I10" s="81">
        <f>VLOOKUP(B10,All_Ingredients!$A$1:$F$151,6,FALSE())</f>
        <v>1</v>
      </c>
      <c r="J10" s="119">
        <f>VLOOKUP(B10,All_Ingredients!$A$1:$J$151,10,FALSE())</f>
        <v>0</v>
      </c>
      <c r="K10" s="122">
        <f t="shared" si="2"/>
        <v>29.204999999999998</v>
      </c>
      <c r="L10" s="122">
        <f t="shared" si="3"/>
        <v>0</v>
      </c>
    </row>
    <row r="19" spans="2:29" ht="14.25" customHeight="1" x14ac:dyDescent="0.3">
      <c r="F19" s="100"/>
    </row>
    <row r="20" spans="2:29" ht="14.25" customHeight="1" x14ac:dyDescent="0.3">
      <c r="F20" s="100"/>
    </row>
    <row r="21" spans="2:29" ht="14.25" customHeight="1" x14ac:dyDescent="0.3">
      <c r="F21" s="100"/>
    </row>
    <row r="22" spans="2:29" ht="14.25" customHeight="1" x14ac:dyDescent="0.3">
      <c r="F22" s="100"/>
    </row>
    <row r="23" spans="2:29" ht="14.25" customHeight="1" x14ac:dyDescent="0.3">
      <c r="F23" s="100"/>
    </row>
    <row r="24" spans="2:29" ht="14.25" customHeight="1" x14ac:dyDescent="0.3">
      <c r="F24" s="100"/>
    </row>
    <row r="25" spans="2:29" ht="15.75" customHeight="1" x14ac:dyDescent="0.35">
      <c r="F25" s="100"/>
      <c r="R25" s="1411" t="str">
        <f>B2</f>
        <v>Chicken Saleeq - دجاج سليق</v>
      </c>
      <c r="S25" s="1388"/>
      <c r="T25" s="1388"/>
      <c r="Z25" s="141" t="s">
        <v>264</v>
      </c>
      <c r="AA25" s="142">
        <v>150</v>
      </c>
      <c r="AB25" s="141" t="s">
        <v>261</v>
      </c>
      <c r="AC25" s="143">
        <f>AC30*AA25</f>
        <v>5.0710312255919971</v>
      </c>
    </row>
    <row r="26" spans="2:29" ht="14.25" customHeight="1" x14ac:dyDescent="0.3">
      <c r="F26" s="100"/>
      <c r="R26" s="1409" t="s">
        <v>336</v>
      </c>
      <c r="S26" s="1410"/>
      <c r="T26" s="1410"/>
      <c r="AB26" s="14"/>
      <c r="AC26" s="14"/>
    </row>
    <row r="27" spans="2:29" ht="14.25" customHeight="1" thickBot="1" x14ac:dyDescent="0.35">
      <c r="F27" s="100"/>
      <c r="R27" s="145" t="s">
        <v>266</v>
      </c>
      <c r="S27" s="146" t="s">
        <v>267</v>
      </c>
      <c r="T27" s="146" t="s">
        <v>269</v>
      </c>
      <c r="Z27" s="141" t="s">
        <v>270</v>
      </c>
      <c r="AA27" s="147" t="s">
        <v>271</v>
      </c>
      <c r="AB27" s="147" t="s">
        <v>324</v>
      </c>
      <c r="AC27" s="147" t="s">
        <v>274</v>
      </c>
    </row>
    <row r="28" spans="2:29" ht="14.25" customHeight="1" thickBot="1" x14ac:dyDescent="0.35">
      <c r="B28" s="100"/>
      <c r="E28" s="100"/>
      <c r="F28" s="100"/>
      <c r="R28" s="148" t="s">
        <v>337</v>
      </c>
      <c r="S28" s="766">
        <f>Z1</f>
        <v>18470</v>
      </c>
      <c r="T28" s="760">
        <f>S28</f>
        <v>18470</v>
      </c>
      <c r="Z28" s="151"/>
      <c r="AA28" s="152">
        <f>AA25</f>
        <v>150</v>
      </c>
      <c r="AB28" s="152">
        <f>AA25-AA28</f>
        <v>0</v>
      </c>
      <c r="AC28" s="154">
        <f>SUM(AA28:AB28)</f>
        <v>150</v>
      </c>
    </row>
    <row r="29" spans="2:29" ht="14.25" customHeight="1" thickBot="1" x14ac:dyDescent="0.35">
      <c r="B29" s="100"/>
      <c r="E29" s="100"/>
      <c r="F29" s="100"/>
      <c r="R29" s="148" t="s">
        <v>338</v>
      </c>
      <c r="S29" s="788">
        <f>AB1</f>
        <v>1000</v>
      </c>
      <c r="T29" s="762">
        <f>S29</f>
        <v>1000</v>
      </c>
      <c r="Z29" s="151"/>
      <c r="AA29" s="156">
        <v>1</v>
      </c>
      <c r="AB29" s="320">
        <f>AB28/$AC$28</f>
        <v>0</v>
      </c>
      <c r="AC29" s="156">
        <f>AC28/$AC$28</f>
        <v>1</v>
      </c>
    </row>
    <row r="30" spans="2:29" ht="14.25" customHeight="1" thickBot="1" x14ac:dyDescent="0.35">
      <c r="B30" s="100"/>
      <c r="E30" s="100"/>
      <c r="F30" s="100"/>
      <c r="R30" s="160" t="s">
        <v>339</v>
      </c>
      <c r="S30" s="149">
        <f>S28+S29</f>
        <v>19470</v>
      </c>
      <c r="T30" s="149">
        <f>T28+T29</f>
        <v>19470</v>
      </c>
      <c r="Z30" s="141" t="s">
        <v>278</v>
      </c>
      <c r="AA30" s="157">
        <f>S33/(S28)</f>
        <v>3.3806874837279982E-2</v>
      </c>
      <c r="AB30" s="158">
        <f>SUM(L6:L10)/SUM(K6:K10)</f>
        <v>0.38038061663479916</v>
      </c>
      <c r="AC30" s="159">
        <f>SUMPRODUCT(AA30:AB30,AA29:AB29)</f>
        <v>3.3806874837279982E-2</v>
      </c>
    </row>
    <row r="31" spans="2:29" ht="14.25" customHeight="1" thickBot="1" x14ac:dyDescent="0.35">
      <c r="B31" s="100"/>
      <c r="E31" s="100"/>
      <c r="F31" s="100"/>
      <c r="R31" s="161" t="s">
        <v>280</v>
      </c>
      <c r="S31" s="155"/>
      <c r="T31" s="155"/>
    </row>
    <row r="32" spans="2:29" ht="14.25" customHeight="1" x14ac:dyDescent="0.3">
      <c r="B32" s="100"/>
      <c r="E32" s="100"/>
      <c r="F32" s="100"/>
      <c r="R32" s="162" t="s">
        <v>281</v>
      </c>
      <c r="S32" s="155"/>
      <c r="T32" s="155"/>
    </row>
    <row r="33" spans="17:23" ht="14.25" customHeight="1" x14ac:dyDescent="0.3">
      <c r="R33" s="163" t="s">
        <v>261</v>
      </c>
      <c r="S33" s="164">
        <f>$L$5</f>
        <v>624.41297824456126</v>
      </c>
      <c r="T33" s="164">
        <f>S33</f>
        <v>624.41297824456126</v>
      </c>
    </row>
    <row r="40" spans="17:23" ht="14.25" customHeight="1" x14ac:dyDescent="0.3">
      <c r="Q40" s="14"/>
      <c r="R40" s="165" t="s">
        <v>340</v>
      </c>
      <c r="S40" s="239">
        <v>1</v>
      </c>
    </row>
    <row r="41" spans="17:23" ht="14.25" customHeight="1" x14ac:dyDescent="0.3">
      <c r="Q41" s="14"/>
      <c r="R41" s="14"/>
      <c r="S41" s="14"/>
      <c r="T41" s="14"/>
      <c r="U41" s="169"/>
      <c r="V41" s="14"/>
      <c r="W41" s="14"/>
    </row>
    <row r="42" spans="17:23" ht="14.25" customHeight="1" x14ac:dyDescent="0.3">
      <c r="Q42" s="14"/>
      <c r="R42" s="14"/>
      <c r="S42" s="14"/>
      <c r="T42" s="14"/>
      <c r="U42" s="14"/>
      <c r="V42" s="14"/>
      <c r="W42" s="14"/>
    </row>
    <row r="43" spans="17:23" ht="14.25" customHeight="1" x14ac:dyDescent="0.3">
      <c r="Q43" s="170" t="s">
        <v>284</v>
      </c>
      <c r="R43" s="170" t="s">
        <v>285</v>
      </c>
      <c r="S43" s="170" t="s">
        <v>286</v>
      </c>
      <c r="T43" s="170" t="s">
        <v>287</v>
      </c>
      <c r="U43" s="170" t="s">
        <v>288</v>
      </c>
      <c r="V43" s="170" t="s">
        <v>289</v>
      </c>
      <c r="W43" s="258" t="s">
        <v>341</v>
      </c>
    </row>
    <row r="44" spans="17:23" ht="14.25" customHeight="1" x14ac:dyDescent="0.3">
      <c r="Q44" s="172">
        <v>10000</v>
      </c>
      <c r="R44" s="173">
        <v>0</v>
      </c>
      <c r="S44" s="241">
        <v>0</v>
      </c>
      <c r="T44" s="241">
        <v>0</v>
      </c>
      <c r="U44" s="242">
        <f>R44*S44</f>
        <v>0</v>
      </c>
      <c r="V44" s="176">
        <f>R44*T44</f>
        <v>0</v>
      </c>
      <c r="W44" s="260">
        <f>Q44-U44</f>
        <v>10000</v>
      </c>
    </row>
    <row r="50" spans="1:10" ht="14.5" thickBot="1" x14ac:dyDescent="0.35">
      <c r="G50" s="620" t="s">
        <v>292</v>
      </c>
      <c r="H50" s="620" t="s">
        <v>245</v>
      </c>
      <c r="I50" s="620" t="s">
        <v>293</v>
      </c>
      <c r="J50" s="620" t="s">
        <v>294</v>
      </c>
    </row>
    <row r="51" spans="1:10" ht="14.5" thickBot="1" x14ac:dyDescent="0.35">
      <c r="G51" s="310" t="s">
        <v>485</v>
      </c>
      <c r="H51" s="311">
        <v>10</v>
      </c>
      <c r="I51" s="311">
        <f t="shared" ref="I51:I58" si="4">J51/$J$1</f>
        <v>16129.032258064517</v>
      </c>
      <c r="J51" s="312">
        <f>$W$44</f>
        <v>10000</v>
      </c>
    </row>
    <row r="52" spans="1:10" x14ac:dyDescent="0.3">
      <c r="G52" s="162" t="s">
        <v>274</v>
      </c>
      <c r="H52" s="313">
        <f>$E$5</f>
        <v>19.47</v>
      </c>
      <c r="I52" s="314">
        <f t="shared" si="4"/>
        <v>31403.225806451614</v>
      </c>
      <c r="J52" s="315">
        <f>$S$30</f>
        <v>19470</v>
      </c>
    </row>
    <row r="53" spans="1:10" x14ac:dyDescent="0.3">
      <c r="D53" s="492"/>
      <c r="G53" s="148" t="s">
        <v>296</v>
      </c>
      <c r="H53" s="316">
        <f>MIN(H52, H51)</f>
        <v>10</v>
      </c>
      <c r="I53" s="176">
        <f t="shared" si="4"/>
        <v>16129.032258064517</v>
      </c>
      <c r="J53" s="619">
        <f>MIN(J52, J51)</f>
        <v>10000</v>
      </c>
    </row>
    <row r="54" spans="1:10" x14ac:dyDescent="0.3">
      <c r="D54" s="492"/>
      <c r="G54" s="148" t="s">
        <v>297</v>
      </c>
      <c r="H54" s="316">
        <f>MIN(MAX($H$52-H53,0),H51)</f>
        <v>9.4699999999999989</v>
      </c>
      <c r="I54" s="176">
        <f t="shared" si="4"/>
        <v>15274.193548387097</v>
      </c>
      <c r="J54" s="619">
        <f>MIN(MAX(J52-J53,0),J51)</f>
        <v>9470</v>
      </c>
    </row>
    <row r="55" spans="1:10" x14ac:dyDescent="0.3">
      <c r="D55" s="492"/>
      <c r="G55" s="145" t="s">
        <v>298</v>
      </c>
      <c r="H55" s="888">
        <f>MIN(MAX(H52-H53-H54,0),H51)</f>
        <v>0</v>
      </c>
      <c r="I55" s="176">
        <f t="shared" si="4"/>
        <v>0</v>
      </c>
      <c r="J55" s="619">
        <f>MIN(MAX(J52-J53-J54,0),J51)</f>
        <v>0</v>
      </c>
    </row>
    <row r="56" spans="1:10" x14ac:dyDescent="0.3">
      <c r="G56" s="145" t="s">
        <v>305</v>
      </c>
      <c r="H56" s="316">
        <f>MIN(MAX(H52-H53-H54-H55,0),H51)</f>
        <v>0</v>
      </c>
      <c r="I56" s="176">
        <f t="shared" si="4"/>
        <v>0</v>
      </c>
      <c r="J56" s="619">
        <f>MIN(MAX(J52-J53-J54-J55,0),J51)</f>
        <v>0</v>
      </c>
    </row>
    <row r="57" spans="1:10" x14ac:dyDescent="0.3">
      <c r="G57" s="145" t="s">
        <v>356</v>
      </c>
      <c r="H57" s="316">
        <f>MIN(MAX(H52-H53-H54-H55-H56,0),H51)</f>
        <v>0</v>
      </c>
      <c r="I57" s="176">
        <f t="shared" si="4"/>
        <v>0</v>
      </c>
      <c r="J57" s="619">
        <f>MIN(MAX(J52-J53-J54-J55-J56,0),J51)</f>
        <v>0</v>
      </c>
    </row>
    <row r="58" spans="1:10" x14ac:dyDescent="0.3">
      <c r="G58" s="145" t="s">
        <v>477</v>
      </c>
      <c r="H58" s="316">
        <f>MIN(MAX(H52-H53-H54-H55-H56-H57,0),H51)</f>
        <v>0</v>
      </c>
      <c r="I58" s="176">
        <f t="shared" si="4"/>
        <v>0</v>
      </c>
      <c r="J58" s="619">
        <f>MIN(MAX(J52-J53-J54-J55-J56-J57,0),J51)</f>
        <v>0</v>
      </c>
    </row>
    <row r="62" spans="1:10" ht="17.75" customHeight="1" x14ac:dyDescent="0.3">
      <c r="A62" s="322"/>
      <c r="B62" s="1413" t="str">
        <f>"دجاج سليق 1 / " &amp; COUNTIF($H$53:$H$58, "&gt;0")</f>
        <v>دجاج سليق 1 / 2</v>
      </c>
      <c r="C62" s="1421"/>
      <c r="D62" s="1421"/>
      <c r="E62" s="1421"/>
      <c r="F62" s="1421"/>
      <c r="G62" s="1421"/>
      <c r="H62" s="1421"/>
    </row>
    <row r="63" spans="1:10" ht="17.75" customHeight="1" x14ac:dyDescent="0.3">
      <c r="A63" s="407"/>
      <c r="B63" s="1413" t="str">
        <f>"Chicken Saleeq 1 / " &amp; COUNTIF($H$53:$H$58, "&gt;0")</f>
        <v>Chicken Saleeq 1 / 2</v>
      </c>
      <c r="C63" s="1421"/>
      <c r="D63" s="1421"/>
      <c r="E63" s="1421"/>
      <c r="F63" s="1421"/>
      <c r="G63" s="1421"/>
      <c r="H63" s="1421"/>
    </row>
    <row r="64" spans="1:10" ht="55.25" customHeight="1" x14ac:dyDescent="0.3">
      <c r="A64" s="91"/>
      <c r="B64" s="91" t="s">
        <v>253</v>
      </c>
      <c r="C64" s="307" t="s">
        <v>329</v>
      </c>
      <c r="D64" s="91" t="s">
        <v>330</v>
      </c>
      <c r="E64" s="108" t="s">
        <v>331</v>
      </c>
      <c r="F64" s="108" t="s">
        <v>332</v>
      </c>
      <c r="G64" s="308" t="s">
        <v>333</v>
      </c>
      <c r="H64" s="109" t="s">
        <v>334</v>
      </c>
    </row>
    <row r="65" spans="1:8" ht="14.25" customHeight="1" x14ac:dyDescent="0.3">
      <c r="A65" s="219" t="s">
        <v>230</v>
      </c>
      <c r="B65" s="323" t="str">
        <f t="shared" ref="B65:D70" si="5">B5</f>
        <v>Chicken - دجاج</v>
      </c>
      <c r="C65" s="323" t="str">
        <f t="shared" si="5"/>
        <v>gm</v>
      </c>
      <c r="D65" s="324">
        <f t="shared" si="5"/>
        <v>1612.9032258064517</v>
      </c>
      <c r="E65" s="197">
        <f>$H$53</f>
        <v>10</v>
      </c>
      <c r="F65" s="127">
        <f t="shared" ref="F65:F70" si="6">F5</f>
        <v>1</v>
      </c>
      <c r="G65" s="119">
        <f t="shared" ref="G65:G70" si="7">D65*E65</f>
        <v>16129.032258064517</v>
      </c>
      <c r="H65" s="120">
        <f t="shared" ref="H65:H70" si="8">G65*F65</f>
        <v>16129.032258064517</v>
      </c>
    </row>
    <row r="66" spans="1:8" ht="14.25" customHeight="1" x14ac:dyDescent="0.3">
      <c r="A66" s="270" t="s">
        <v>97</v>
      </c>
      <c r="B66" s="323" t="str">
        <f t="shared" si="5"/>
        <v>Cumin Powder - كمون مطحون</v>
      </c>
      <c r="C66" s="323" t="str">
        <f t="shared" si="5"/>
        <v>gm</v>
      </c>
      <c r="D66" s="323">
        <f t="shared" si="5"/>
        <v>25</v>
      </c>
      <c r="E66" s="197">
        <f t="shared" ref="E66:E70" si="9">$H$53</f>
        <v>10</v>
      </c>
      <c r="F66" s="127">
        <f t="shared" si="6"/>
        <v>0.7</v>
      </c>
      <c r="G66" s="81">
        <f t="shared" si="7"/>
        <v>250</v>
      </c>
      <c r="H66" s="120">
        <f t="shared" si="8"/>
        <v>175</v>
      </c>
    </row>
    <row r="67" spans="1:8" ht="14.25" customHeight="1" x14ac:dyDescent="0.3">
      <c r="A67" s="270" t="s">
        <v>196</v>
      </c>
      <c r="B67" s="323" t="str">
        <f t="shared" si="5"/>
        <v>Tomato Paste - صلصة طماطم</v>
      </c>
      <c r="C67" s="323" t="str">
        <f t="shared" si="5"/>
        <v>gm</v>
      </c>
      <c r="D67" s="323">
        <f t="shared" si="5"/>
        <v>35</v>
      </c>
      <c r="E67" s="197">
        <f t="shared" si="9"/>
        <v>10</v>
      </c>
      <c r="F67" s="127">
        <f t="shared" si="6"/>
        <v>0.75</v>
      </c>
      <c r="G67" s="81">
        <f t="shared" si="7"/>
        <v>350</v>
      </c>
      <c r="H67" s="120">
        <f t="shared" si="8"/>
        <v>262.5</v>
      </c>
    </row>
    <row r="68" spans="1:8" ht="14.25" customHeight="1" x14ac:dyDescent="0.3">
      <c r="A68" s="270" t="s">
        <v>97</v>
      </c>
      <c r="B68" s="323" t="str">
        <f t="shared" si="5"/>
        <v>Coriander Powder - كزبرة مطحونة</v>
      </c>
      <c r="C68" s="323" t="str">
        <f t="shared" si="5"/>
        <v>gm</v>
      </c>
      <c r="D68" s="323">
        <f t="shared" si="5"/>
        <v>20</v>
      </c>
      <c r="E68" s="197">
        <f t="shared" si="9"/>
        <v>10</v>
      </c>
      <c r="F68" s="127">
        <f t="shared" si="6"/>
        <v>0.7</v>
      </c>
      <c r="G68" s="81">
        <f t="shared" si="7"/>
        <v>200</v>
      </c>
      <c r="H68" s="120">
        <f t="shared" si="8"/>
        <v>140</v>
      </c>
    </row>
    <row r="69" spans="1:8" ht="14.25" customHeight="1" x14ac:dyDescent="0.3">
      <c r="A69" s="270" t="s">
        <v>97</v>
      </c>
      <c r="B69" s="323" t="str">
        <f t="shared" si="5"/>
        <v>Salt - ملح</v>
      </c>
      <c r="C69" s="323" t="str">
        <f t="shared" si="5"/>
        <v>gm</v>
      </c>
      <c r="D69" s="323">
        <f t="shared" si="5"/>
        <v>15</v>
      </c>
      <c r="E69" s="197">
        <f t="shared" si="9"/>
        <v>10</v>
      </c>
      <c r="F69" s="127">
        <f t="shared" si="6"/>
        <v>0.75</v>
      </c>
      <c r="G69" s="81">
        <f t="shared" si="7"/>
        <v>150</v>
      </c>
      <c r="H69" s="120">
        <f t="shared" si="8"/>
        <v>112.5</v>
      </c>
    </row>
    <row r="70" spans="1:8" ht="14.25" customHeight="1" x14ac:dyDescent="0.3">
      <c r="A70" s="270" t="s">
        <v>210</v>
      </c>
      <c r="B70" s="323" t="str">
        <f t="shared" si="5"/>
        <v>Water - ماء</v>
      </c>
      <c r="C70" s="323" t="str">
        <f t="shared" si="5"/>
        <v>gm</v>
      </c>
      <c r="D70" s="323">
        <f t="shared" si="5"/>
        <v>1500</v>
      </c>
      <c r="E70" s="197">
        <f t="shared" si="9"/>
        <v>10</v>
      </c>
      <c r="F70" s="127">
        <f t="shared" si="6"/>
        <v>1</v>
      </c>
      <c r="G70" s="81">
        <f t="shared" si="7"/>
        <v>15000</v>
      </c>
      <c r="H70" s="120">
        <f t="shared" si="8"/>
        <v>15000</v>
      </c>
    </row>
    <row r="71" spans="1:8" ht="20.25" customHeight="1" x14ac:dyDescent="0.3">
      <c r="A71" s="211"/>
      <c r="B71" s="198" t="s">
        <v>299</v>
      </c>
      <c r="C71" s="200" t="s">
        <v>285</v>
      </c>
      <c r="D71" s="14"/>
      <c r="E71" s="200" t="s">
        <v>300</v>
      </c>
      <c r="F71" s="14"/>
      <c r="G71" s="890" t="s">
        <v>276</v>
      </c>
      <c r="H71" s="890" t="s">
        <v>733</v>
      </c>
    </row>
    <row r="72" spans="1:8" ht="20.75" customHeight="1" x14ac:dyDescent="0.4">
      <c r="A72" s="211"/>
      <c r="B72" s="199">
        <f>$J$53</f>
        <v>10000</v>
      </c>
      <c r="C72" s="199">
        <f>E72+G72</f>
        <v>0</v>
      </c>
      <c r="D72" s="930"/>
      <c r="E72" s="199">
        <f>$C$53*$S$44</f>
        <v>0</v>
      </c>
      <c r="F72" s="934"/>
      <c r="G72" s="199">
        <f>$C$53*$T$44</f>
        <v>0</v>
      </c>
      <c r="H72" s="199">
        <f>B72+E72</f>
        <v>10000</v>
      </c>
    </row>
    <row r="73" spans="1:8" ht="8.75" customHeight="1" x14ac:dyDescent="0.3">
      <c r="B73" s="100"/>
      <c r="E73" s="100"/>
      <c r="F73" s="100"/>
    </row>
    <row r="74" spans="1:8" ht="17.75" customHeight="1" x14ac:dyDescent="0.3">
      <c r="A74" s="322"/>
      <c r="B74" s="1413" t="str">
        <f>"دجاج سليق 2 / " &amp; COUNTIF($H$53:$H$58, "&gt;0")</f>
        <v>دجاج سليق 2 / 2</v>
      </c>
      <c r="C74" s="1421"/>
      <c r="D74" s="1421"/>
      <c r="E74" s="1421"/>
      <c r="F74" s="1421"/>
      <c r="G74" s="1421"/>
      <c r="H74" s="1421"/>
    </row>
    <row r="75" spans="1:8" ht="17.75" customHeight="1" x14ac:dyDescent="0.3">
      <c r="A75" s="322"/>
      <c r="B75" s="1413" t="str">
        <f>"Chicken Saleeq 2 / " &amp; COUNTIF($H$53:$H$58, "&gt;0")</f>
        <v>Chicken Saleeq 2 / 2</v>
      </c>
      <c r="C75" s="1421"/>
      <c r="D75" s="1421"/>
      <c r="E75" s="1421"/>
      <c r="F75" s="1421"/>
      <c r="G75" s="1421"/>
      <c r="H75" s="1421"/>
    </row>
    <row r="76" spans="1:8" ht="46.5" customHeight="1" x14ac:dyDescent="0.3">
      <c r="A76" s="91"/>
      <c r="B76" s="91" t="s">
        <v>253</v>
      </c>
      <c r="C76" s="307" t="s">
        <v>329</v>
      </c>
      <c r="D76" s="91" t="s">
        <v>330</v>
      </c>
      <c r="E76" s="108" t="s">
        <v>331</v>
      </c>
      <c r="F76" s="108" t="s">
        <v>332</v>
      </c>
      <c r="G76" s="308" t="s">
        <v>333</v>
      </c>
      <c r="H76" s="109" t="s">
        <v>334</v>
      </c>
    </row>
    <row r="77" spans="1:8" ht="14.25" customHeight="1" x14ac:dyDescent="0.3">
      <c r="A77" s="219" t="s">
        <v>230</v>
      </c>
      <c r="B77" s="323" t="str">
        <f t="shared" ref="B77:D82" si="10">B5</f>
        <v>Chicken - دجاج</v>
      </c>
      <c r="C77" s="323" t="str">
        <f t="shared" si="10"/>
        <v>gm</v>
      </c>
      <c r="D77" s="119">
        <f t="shared" si="10"/>
        <v>1612.9032258064517</v>
      </c>
      <c r="E77" s="197">
        <f t="shared" ref="E77:E82" si="11">$H$54</f>
        <v>9.4699999999999989</v>
      </c>
      <c r="F77" s="127">
        <f t="shared" ref="F77:F82" si="12">F5</f>
        <v>1</v>
      </c>
      <c r="G77" s="119">
        <f t="shared" ref="G77:G82" si="13">D77*E77</f>
        <v>15274.193548387097</v>
      </c>
      <c r="H77" s="120">
        <f t="shared" ref="H77:H82" si="14">G77*F77</f>
        <v>15274.193548387097</v>
      </c>
    </row>
    <row r="78" spans="1:8" ht="14.25" customHeight="1" x14ac:dyDescent="0.3">
      <c r="A78" s="270" t="s">
        <v>97</v>
      </c>
      <c r="B78" s="323" t="str">
        <f t="shared" si="10"/>
        <v>Cumin Powder - كمون مطحون</v>
      </c>
      <c r="C78" s="323" t="str">
        <f t="shared" si="10"/>
        <v>gm</v>
      </c>
      <c r="D78" s="323">
        <f t="shared" si="10"/>
        <v>25</v>
      </c>
      <c r="E78" s="197">
        <f t="shared" si="11"/>
        <v>9.4699999999999989</v>
      </c>
      <c r="F78" s="127">
        <f t="shared" si="12"/>
        <v>0.7</v>
      </c>
      <c r="G78" s="119">
        <f t="shared" si="13"/>
        <v>236.74999999999997</v>
      </c>
      <c r="H78" s="120">
        <f t="shared" si="14"/>
        <v>165.72499999999997</v>
      </c>
    </row>
    <row r="79" spans="1:8" ht="14.25" customHeight="1" x14ac:dyDescent="0.3">
      <c r="A79" s="270" t="s">
        <v>196</v>
      </c>
      <c r="B79" s="323" t="str">
        <f t="shared" si="10"/>
        <v>Tomato Paste - صلصة طماطم</v>
      </c>
      <c r="C79" s="323" t="str">
        <f t="shared" si="10"/>
        <v>gm</v>
      </c>
      <c r="D79" s="323">
        <f t="shared" si="10"/>
        <v>35</v>
      </c>
      <c r="E79" s="197">
        <f t="shared" si="11"/>
        <v>9.4699999999999989</v>
      </c>
      <c r="F79" s="127">
        <f t="shared" si="12"/>
        <v>0.75</v>
      </c>
      <c r="G79" s="119">
        <f t="shared" si="13"/>
        <v>331.44999999999993</v>
      </c>
      <c r="H79" s="120">
        <f t="shared" si="14"/>
        <v>248.58749999999995</v>
      </c>
    </row>
    <row r="80" spans="1:8" ht="14.25" customHeight="1" x14ac:dyDescent="0.3">
      <c r="A80" s="270" t="s">
        <v>97</v>
      </c>
      <c r="B80" s="323" t="str">
        <f t="shared" si="10"/>
        <v>Coriander Powder - كزبرة مطحونة</v>
      </c>
      <c r="C80" s="323" t="str">
        <f t="shared" si="10"/>
        <v>gm</v>
      </c>
      <c r="D80" s="323">
        <f t="shared" si="10"/>
        <v>20</v>
      </c>
      <c r="E80" s="197">
        <f t="shared" si="11"/>
        <v>9.4699999999999989</v>
      </c>
      <c r="F80" s="127">
        <f t="shared" si="12"/>
        <v>0.7</v>
      </c>
      <c r="G80" s="119">
        <f t="shared" si="13"/>
        <v>189.39999999999998</v>
      </c>
      <c r="H80" s="120">
        <f t="shared" si="14"/>
        <v>132.57999999999998</v>
      </c>
    </row>
    <row r="81" spans="1:8" ht="14.25" customHeight="1" x14ac:dyDescent="0.3">
      <c r="A81" s="270" t="s">
        <v>97</v>
      </c>
      <c r="B81" s="323" t="str">
        <f t="shared" si="10"/>
        <v>Salt - ملح</v>
      </c>
      <c r="C81" s="323" t="str">
        <f t="shared" si="10"/>
        <v>gm</v>
      </c>
      <c r="D81" s="323">
        <f t="shared" si="10"/>
        <v>15</v>
      </c>
      <c r="E81" s="197">
        <f t="shared" si="11"/>
        <v>9.4699999999999989</v>
      </c>
      <c r="F81" s="127">
        <f t="shared" si="12"/>
        <v>0.75</v>
      </c>
      <c r="G81" s="119">
        <f t="shared" si="13"/>
        <v>142.04999999999998</v>
      </c>
      <c r="H81" s="120">
        <f t="shared" si="14"/>
        <v>106.53749999999999</v>
      </c>
    </row>
    <row r="82" spans="1:8" ht="14.25" customHeight="1" x14ac:dyDescent="0.3">
      <c r="A82" s="270" t="s">
        <v>210</v>
      </c>
      <c r="B82" s="323" t="str">
        <f t="shared" si="10"/>
        <v>Water - ماء</v>
      </c>
      <c r="C82" s="323" t="str">
        <f t="shared" si="10"/>
        <v>gm</v>
      </c>
      <c r="D82" s="323">
        <f t="shared" si="10"/>
        <v>1500</v>
      </c>
      <c r="E82" s="197">
        <f t="shared" si="11"/>
        <v>9.4699999999999989</v>
      </c>
      <c r="F82" s="127">
        <f t="shared" si="12"/>
        <v>1</v>
      </c>
      <c r="G82" s="119">
        <f t="shared" si="13"/>
        <v>14204.999999999998</v>
      </c>
      <c r="H82" s="120">
        <f t="shared" si="14"/>
        <v>14204.999999999998</v>
      </c>
    </row>
    <row r="83" spans="1:8" ht="20.25" customHeight="1" x14ac:dyDescent="0.3">
      <c r="A83" s="211"/>
      <c r="B83" s="198" t="s">
        <v>299</v>
      </c>
      <c r="C83" s="200" t="s">
        <v>285</v>
      </c>
      <c r="D83" s="14"/>
      <c r="E83" s="200" t="s">
        <v>300</v>
      </c>
      <c r="F83" s="14"/>
      <c r="G83" s="890" t="s">
        <v>276</v>
      </c>
      <c r="H83" s="890" t="s">
        <v>733</v>
      </c>
    </row>
    <row r="84" spans="1:8" ht="28.25" customHeight="1" x14ac:dyDescent="0.4">
      <c r="A84" s="211"/>
      <c r="B84" s="199">
        <f>$J$54</f>
        <v>9470</v>
      </c>
      <c r="C84" s="199">
        <f>E84+G84</f>
        <v>0</v>
      </c>
      <c r="D84" s="930"/>
      <c r="E84" s="199">
        <f>$C$54*$S$44</f>
        <v>0</v>
      </c>
      <c r="F84" s="934"/>
      <c r="G84" s="199">
        <f>$C$54*$T$44</f>
        <v>0</v>
      </c>
      <c r="H84" s="199">
        <f>B84+E84</f>
        <v>9470</v>
      </c>
    </row>
    <row r="85" spans="1:8" ht="14.75" customHeight="1" x14ac:dyDescent="0.3"/>
    <row r="86" spans="1:8" ht="4.5" customHeight="1" x14ac:dyDescent="0.3"/>
    <row r="87" spans="1:8" ht="4.5" customHeight="1" x14ac:dyDescent="0.3"/>
    <row r="88" spans="1:8" ht="17.75" customHeight="1" x14ac:dyDescent="0.3">
      <c r="A88" s="322"/>
      <c r="B88" s="1413" t="str">
        <f>"دجاج سليق 3 / " &amp; COUNTIF($H$53:$H$58, "&gt;0")</f>
        <v>دجاج سليق 3 / 2</v>
      </c>
      <c r="C88" s="1421"/>
      <c r="D88" s="1421"/>
      <c r="E88" s="1421"/>
      <c r="F88" s="1421"/>
      <c r="G88" s="1421"/>
      <c r="H88" s="1421"/>
    </row>
    <row r="89" spans="1:8" ht="17.75" customHeight="1" x14ac:dyDescent="0.3">
      <c r="A89" s="407"/>
      <c r="B89" s="1413" t="str">
        <f>"Chicken Saleeq 3 / " &amp; COUNTIF($H$53:$H$58, "&gt;0")</f>
        <v>Chicken Saleeq 3 / 2</v>
      </c>
      <c r="C89" s="1421"/>
      <c r="D89" s="1421"/>
      <c r="E89" s="1421"/>
      <c r="F89" s="1421"/>
      <c r="G89" s="1421"/>
      <c r="H89" s="1421"/>
    </row>
    <row r="90" spans="1:8" ht="60" customHeight="1" x14ac:dyDescent="0.3">
      <c r="A90" s="91"/>
      <c r="B90" s="91" t="s">
        <v>253</v>
      </c>
      <c r="C90" s="307" t="s">
        <v>329</v>
      </c>
      <c r="D90" s="91" t="s">
        <v>330</v>
      </c>
      <c r="E90" s="108" t="s">
        <v>331</v>
      </c>
      <c r="F90" s="108" t="s">
        <v>332</v>
      </c>
      <c r="G90" s="308" t="s">
        <v>333</v>
      </c>
      <c r="H90" s="109" t="s">
        <v>334</v>
      </c>
    </row>
    <row r="91" spans="1:8" ht="14.25" customHeight="1" x14ac:dyDescent="0.3">
      <c r="A91" s="219" t="s">
        <v>230</v>
      </c>
      <c r="B91" s="219" t="str">
        <f t="shared" ref="B91:D96" si="15">B5</f>
        <v>Chicken - دجاج</v>
      </c>
      <c r="C91" s="219" t="str">
        <f t="shared" si="15"/>
        <v>gm</v>
      </c>
      <c r="D91" s="119">
        <f t="shared" si="15"/>
        <v>1612.9032258064517</v>
      </c>
      <c r="E91" s="197">
        <f t="shared" ref="E91:E96" si="16">$H$55</f>
        <v>0</v>
      </c>
      <c r="F91" s="325">
        <f t="shared" ref="F91:F96" si="17">F5</f>
        <v>1</v>
      </c>
      <c r="G91" s="119">
        <f t="shared" ref="G91:G96" si="18">D91*E91</f>
        <v>0</v>
      </c>
      <c r="H91" s="120">
        <f t="shared" ref="H91:H96" si="19">G91*F91</f>
        <v>0</v>
      </c>
    </row>
    <row r="92" spans="1:8" ht="14.25" customHeight="1" x14ac:dyDescent="0.3">
      <c r="A92" s="219" t="s">
        <v>97</v>
      </c>
      <c r="B92" s="219" t="str">
        <f t="shared" si="15"/>
        <v>Cumin Powder - كمون مطحون</v>
      </c>
      <c r="C92" s="219" t="str">
        <f t="shared" si="15"/>
        <v>gm</v>
      </c>
      <c r="D92" s="219">
        <f t="shared" si="15"/>
        <v>25</v>
      </c>
      <c r="E92" s="197">
        <f t="shared" si="16"/>
        <v>0</v>
      </c>
      <c r="F92" s="325">
        <f t="shared" si="17"/>
        <v>0.7</v>
      </c>
      <c r="G92" s="119">
        <f t="shared" si="18"/>
        <v>0</v>
      </c>
      <c r="H92" s="120">
        <f t="shared" si="19"/>
        <v>0</v>
      </c>
    </row>
    <row r="93" spans="1:8" ht="14.25" customHeight="1" x14ac:dyDescent="0.3">
      <c r="A93" s="219" t="s">
        <v>196</v>
      </c>
      <c r="B93" s="219" t="str">
        <f t="shared" si="15"/>
        <v>Tomato Paste - صلصة طماطم</v>
      </c>
      <c r="C93" s="219" t="str">
        <f t="shared" si="15"/>
        <v>gm</v>
      </c>
      <c r="D93" s="219">
        <f t="shared" si="15"/>
        <v>35</v>
      </c>
      <c r="E93" s="197">
        <f t="shared" si="16"/>
        <v>0</v>
      </c>
      <c r="F93" s="325">
        <f t="shared" si="17"/>
        <v>0.75</v>
      </c>
      <c r="G93" s="119">
        <f t="shared" si="18"/>
        <v>0</v>
      </c>
      <c r="H93" s="120">
        <f t="shared" si="19"/>
        <v>0</v>
      </c>
    </row>
    <row r="94" spans="1:8" ht="14.25" customHeight="1" x14ac:dyDescent="0.3">
      <c r="A94" s="219" t="s">
        <v>97</v>
      </c>
      <c r="B94" s="219" t="str">
        <f t="shared" si="15"/>
        <v>Coriander Powder - كزبرة مطحونة</v>
      </c>
      <c r="C94" s="219" t="str">
        <f t="shared" si="15"/>
        <v>gm</v>
      </c>
      <c r="D94" s="219">
        <f t="shared" si="15"/>
        <v>20</v>
      </c>
      <c r="E94" s="197">
        <f t="shared" si="16"/>
        <v>0</v>
      </c>
      <c r="F94" s="325">
        <f t="shared" si="17"/>
        <v>0.7</v>
      </c>
      <c r="G94" s="119">
        <f t="shared" si="18"/>
        <v>0</v>
      </c>
      <c r="H94" s="120">
        <f t="shared" si="19"/>
        <v>0</v>
      </c>
    </row>
    <row r="95" spans="1:8" ht="14.25" customHeight="1" x14ac:dyDescent="0.3">
      <c r="A95" s="219" t="s">
        <v>97</v>
      </c>
      <c r="B95" s="219" t="str">
        <f t="shared" si="15"/>
        <v>Salt - ملح</v>
      </c>
      <c r="C95" s="219" t="str">
        <f t="shared" si="15"/>
        <v>gm</v>
      </c>
      <c r="D95" s="219">
        <f t="shared" si="15"/>
        <v>15</v>
      </c>
      <c r="E95" s="197">
        <f t="shared" si="16"/>
        <v>0</v>
      </c>
      <c r="F95" s="325">
        <f t="shared" si="17"/>
        <v>0.75</v>
      </c>
      <c r="G95" s="119">
        <f t="shared" si="18"/>
        <v>0</v>
      </c>
      <c r="H95" s="120">
        <f t="shared" si="19"/>
        <v>0</v>
      </c>
    </row>
    <row r="96" spans="1:8" ht="14.25" customHeight="1" x14ac:dyDescent="0.3">
      <c r="A96" s="219" t="s">
        <v>210</v>
      </c>
      <c r="B96" s="219" t="str">
        <f t="shared" si="15"/>
        <v>Water - ماء</v>
      </c>
      <c r="C96" s="219" t="str">
        <f t="shared" si="15"/>
        <v>gm</v>
      </c>
      <c r="D96" s="219">
        <f t="shared" si="15"/>
        <v>1500</v>
      </c>
      <c r="E96" s="197">
        <f t="shared" si="16"/>
        <v>0</v>
      </c>
      <c r="F96" s="325">
        <f t="shared" si="17"/>
        <v>1</v>
      </c>
      <c r="G96" s="119">
        <f t="shared" si="18"/>
        <v>0</v>
      </c>
      <c r="H96" s="120">
        <f t="shared" si="19"/>
        <v>0</v>
      </c>
    </row>
    <row r="97" spans="1:8" ht="20.25" customHeight="1" x14ac:dyDescent="0.3">
      <c r="A97" s="211"/>
      <c r="B97" s="198" t="s">
        <v>299</v>
      </c>
      <c r="C97" s="200" t="s">
        <v>285</v>
      </c>
      <c r="D97" s="14"/>
      <c r="E97" s="200" t="s">
        <v>300</v>
      </c>
      <c r="F97" s="14"/>
      <c r="G97" s="890" t="s">
        <v>276</v>
      </c>
      <c r="H97" s="890" t="s">
        <v>733</v>
      </c>
    </row>
    <row r="98" spans="1:8" ht="20" x14ac:dyDescent="0.4">
      <c r="A98" s="211"/>
      <c r="B98" s="199">
        <f>$J$55</f>
        <v>0</v>
      </c>
      <c r="C98" s="199">
        <f>E98+G98</f>
        <v>0</v>
      </c>
      <c r="D98" s="930"/>
      <c r="E98" s="199">
        <f>$C$55*$S$44</f>
        <v>0</v>
      </c>
      <c r="F98" s="934"/>
      <c r="G98" s="199">
        <f>$C$55*$T$44</f>
        <v>0</v>
      </c>
      <c r="H98" s="199">
        <f>B98+E98</f>
        <v>0</v>
      </c>
    </row>
  </sheetData>
  <mergeCells count="10">
    <mergeCell ref="B89:H89"/>
    <mergeCell ref="AE2:AG3"/>
    <mergeCell ref="B74:H74"/>
    <mergeCell ref="B88:H88"/>
    <mergeCell ref="B75:H75"/>
    <mergeCell ref="B62:H62"/>
    <mergeCell ref="R26:T26"/>
    <mergeCell ref="R25:T25"/>
    <mergeCell ref="B2:K3"/>
    <mergeCell ref="B63:H63"/>
  </mergeCells>
  <printOptions horizontalCentered="1"/>
  <pageMargins left="0.5" right="0.5" top="1" bottom="0.5" header="0.3" footer="0.511811023622047"/>
  <pageSetup paperSize="9" scale="32" orientation="portrait" r:id="rId1"/>
  <legacyDrawing r:id="rId2"/>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036E6-7C31-4DF7-948F-2D1D07C734CE}">
  <sheetPr codeName="Sheet84">
    <tabColor rgb="FF333F50"/>
    <pageSetUpPr fitToPage="1"/>
  </sheetPr>
  <dimension ref="A1:AG147"/>
  <sheetViews>
    <sheetView topLeftCell="A3" zoomScale="70" zoomScaleNormal="70" workbookViewId="0">
      <selection activeCell="G40" sqref="G40"/>
    </sheetView>
  </sheetViews>
  <sheetFormatPr defaultColWidth="12.5" defaultRowHeight="14" x14ac:dyDescent="0.3"/>
  <cols>
    <col min="1" max="1" width="16.33203125" style="1" customWidth="1"/>
    <col min="2" max="2" width="30.9140625" customWidth="1"/>
    <col min="3" max="3" width="16.9140625" customWidth="1"/>
    <col min="4" max="4" width="19" customWidth="1"/>
    <col min="5" max="5" width="19.5" customWidth="1"/>
    <col min="6" max="6" width="23.08203125" customWidth="1"/>
    <col min="7" max="7" width="25.1640625" customWidth="1"/>
    <col min="8" max="8" width="36.1640625" customWidth="1"/>
    <col min="9" max="9" width="18" customWidth="1"/>
    <col min="12" max="12" width="8.33203125" customWidth="1"/>
    <col min="13" max="13" width="31.83203125" customWidth="1"/>
    <col min="18" max="18" width="32" customWidth="1"/>
    <col min="23" max="23" width="29.4140625" customWidth="1"/>
    <col min="24" max="24" width="31.6640625" customWidth="1"/>
  </cols>
  <sheetData>
    <row r="1" spans="1:33" ht="24" customHeight="1" x14ac:dyDescent="0.3">
      <c r="A1" s="80" t="s">
        <v>243</v>
      </c>
      <c r="B1" s="81">
        <v>1000</v>
      </c>
      <c r="C1" s="89" t="s">
        <v>325</v>
      </c>
      <c r="D1" s="90">
        <f>$S$30/J1</f>
        <v>56164.878871881403</v>
      </c>
      <c r="E1" s="91" t="s">
        <v>248</v>
      </c>
      <c r="F1" s="92" t="s">
        <v>326</v>
      </c>
      <c r="G1" s="91" t="s">
        <v>327</v>
      </c>
      <c r="H1" s="305">
        <f>H52</f>
        <v>32.619999999999997</v>
      </c>
      <c r="I1" s="93" t="s">
        <v>250</v>
      </c>
      <c r="J1" s="306">
        <v>0.58079000000000003</v>
      </c>
      <c r="K1" s="100"/>
      <c r="Y1" s="91" t="s">
        <v>479</v>
      </c>
      <c r="Z1" s="847">
        <v>32620</v>
      </c>
      <c r="AA1" s="91" t="s">
        <v>600</v>
      </c>
      <c r="AB1" s="847">
        <v>0</v>
      </c>
      <c r="AC1" s="91" t="s">
        <v>587</v>
      </c>
      <c r="AD1" s="847">
        <v>217</v>
      </c>
    </row>
    <row r="2" spans="1:33" ht="12.75" customHeight="1" x14ac:dyDescent="0.3">
      <c r="A2" s="265"/>
      <c r="B2" s="1387" t="s">
        <v>511</v>
      </c>
      <c r="C2" s="1422"/>
      <c r="D2" s="1422"/>
      <c r="E2" s="1422"/>
      <c r="F2" s="1422"/>
      <c r="G2" s="1422"/>
      <c r="H2" s="1422"/>
      <c r="I2" s="1422"/>
      <c r="J2" s="1422"/>
      <c r="K2" s="1422"/>
      <c r="L2" s="293"/>
      <c r="M2" s="100"/>
      <c r="N2" s="100"/>
      <c r="AE2" s="1396"/>
      <c r="AF2" s="1422"/>
      <c r="AG2" s="1422"/>
    </row>
    <row r="3" spans="1:33" ht="12.75" customHeight="1" x14ac:dyDescent="0.3">
      <c r="A3" s="265"/>
      <c r="B3" s="1388"/>
      <c r="C3" s="1388"/>
      <c r="D3" s="1388"/>
      <c r="E3" s="1388"/>
      <c r="F3" s="1388"/>
      <c r="G3" s="1388"/>
      <c r="H3" s="1388"/>
      <c r="I3" s="1388"/>
      <c r="J3" s="1388"/>
      <c r="K3" s="1388"/>
      <c r="L3" s="293"/>
      <c r="M3" s="100"/>
      <c r="N3" s="100"/>
      <c r="AE3" s="1422"/>
      <c r="AF3" s="1422"/>
      <c r="AG3" s="1422"/>
    </row>
    <row r="4" spans="1:33" ht="35.25" customHeight="1" x14ac:dyDescent="0.3">
      <c r="A4" s="91" t="s">
        <v>1</v>
      </c>
      <c r="B4" s="91" t="s">
        <v>747</v>
      </c>
      <c r="C4" s="307" t="s">
        <v>329</v>
      </c>
      <c r="D4" s="91" t="s">
        <v>330</v>
      </c>
      <c r="E4" s="108" t="s">
        <v>331</v>
      </c>
      <c r="F4" s="108" t="s">
        <v>332</v>
      </c>
      <c r="G4" s="308" t="s">
        <v>333</v>
      </c>
      <c r="H4" s="109" t="s">
        <v>334</v>
      </c>
      <c r="I4" s="91" t="s">
        <v>258</v>
      </c>
      <c r="J4" s="91" t="s">
        <v>259</v>
      </c>
      <c r="K4" s="91" t="s">
        <v>260</v>
      </c>
      <c r="L4" s="91" t="s">
        <v>261</v>
      </c>
    </row>
    <row r="5" spans="1:33" ht="14.25" customHeight="1" x14ac:dyDescent="0.3">
      <c r="A5" s="266" t="s">
        <v>230</v>
      </c>
      <c r="B5" s="309" t="s">
        <v>232</v>
      </c>
      <c r="C5" s="124" t="s">
        <v>14</v>
      </c>
      <c r="D5" s="268">
        <f>I51/H51</f>
        <v>1721.7927305910914</v>
      </c>
      <c r="E5" s="81">
        <f>I52/D5</f>
        <v>32.619999999999997</v>
      </c>
      <c r="F5" s="127">
        <v>1</v>
      </c>
      <c r="G5" s="117">
        <f>D1</f>
        <v>56164.878871881403</v>
      </c>
      <c r="H5" s="120">
        <f>D1</f>
        <v>56164.878871881403</v>
      </c>
      <c r="I5" s="81">
        <f>VLOOKUP(B5,All_Ingredients!$A$1:$F$151,6,FALSE())</f>
        <v>0.55000000000000004</v>
      </c>
      <c r="J5" s="119">
        <f>VLOOKUP(B5,All_Ingredients!$A$1:$J$151,10,FALSE())</f>
        <v>26.666666666666668</v>
      </c>
      <c r="K5" s="122">
        <f>(H5/I5)/1000</f>
        <v>102.11796158523892</v>
      </c>
      <c r="L5" s="122">
        <f>K5*J5</f>
        <v>2723.145642273038</v>
      </c>
    </row>
    <row r="6" spans="1:33" ht="14.25" customHeight="1" x14ac:dyDescent="0.3">
      <c r="A6" s="270" t="s">
        <v>13</v>
      </c>
      <c r="B6" s="22" t="s">
        <v>17</v>
      </c>
      <c r="C6" s="124" t="s">
        <v>14</v>
      </c>
      <c r="D6" s="125">
        <v>100</v>
      </c>
      <c r="E6" s="197">
        <f t="shared" ref="E6:E15" si="0">$H$52</f>
        <v>32.619999999999997</v>
      </c>
      <c r="F6" s="127">
        <v>1</v>
      </c>
      <c r="G6" s="618">
        <f t="shared" ref="G6:G15" si="1">E6*D6</f>
        <v>3261.9999999999995</v>
      </c>
      <c r="H6" s="120">
        <f t="shared" ref="H6:H15" si="2">G6*F6</f>
        <v>3261.9999999999995</v>
      </c>
      <c r="I6" s="81">
        <f>VLOOKUP(B6,All_Ingredients!$A$1:$F$151,6,FALSE())</f>
        <v>0.98</v>
      </c>
      <c r="J6" s="119">
        <f>VLOOKUP(B6,All_Ingredients!$A$1:$J$151,10,FALSE())</f>
        <v>3.5</v>
      </c>
      <c r="K6" s="122">
        <f t="shared" ref="K6:K15" si="3">(H6/I6)/1000</f>
        <v>3.3285714285714278</v>
      </c>
      <c r="L6" s="122">
        <f t="shared" ref="L6:L15" si="4">K6*J6</f>
        <v>11.649999999999997</v>
      </c>
    </row>
    <row r="7" spans="1:33" ht="14.25" customHeight="1" x14ac:dyDescent="0.3">
      <c r="A7" s="270" t="s">
        <v>97</v>
      </c>
      <c r="B7" s="22" t="s">
        <v>141</v>
      </c>
      <c r="C7" s="124" t="s">
        <v>14</v>
      </c>
      <c r="D7" s="125">
        <v>19</v>
      </c>
      <c r="E7" s="197">
        <f t="shared" si="0"/>
        <v>32.619999999999997</v>
      </c>
      <c r="F7" s="127">
        <v>0.7</v>
      </c>
      <c r="G7" s="618">
        <f t="shared" si="1"/>
        <v>619.78</v>
      </c>
      <c r="H7" s="120">
        <f t="shared" si="2"/>
        <v>433.84599999999995</v>
      </c>
      <c r="I7" s="81">
        <f>VLOOKUP(B7,All_Ingredients!$A$1:$F$151,6,FALSE())</f>
        <v>1</v>
      </c>
      <c r="J7" s="119">
        <f>VLOOKUP(B7,All_Ingredients!$A$1:$J$151,10,FALSE())</f>
        <v>43.75</v>
      </c>
      <c r="K7" s="122">
        <f t="shared" si="3"/>
        <v>0.43384599999999995</v>
      </c>
      <c r="L7" s="122">
        <f t="shared" si="4"/>
        <v>18.980762499999997</v>
      </c>
    </row>
    <row r="8" spans="1:33" ht="14.25" customHeight="1" x14ac:dyDescent="0.3">
      <c r="A8" s="270" t="s">
        <v>97</v>
      </c>
      <c r="B8" s="22" t="s">
        <v>108</v>
      </c>
      <c r="C8" s="124" t="s">
        <v>14</v>
      </c>
      <c r="D8" s="125">
        <v>20</v>
      </c>
      <c r="E8" s="197">
        <f t="shared" si="0"/>
        <v>32.619999999999997</v>
      </c>
      <c r="F8" s="127">
        <v>0.7</v>
      </c>
      <c r="G8" s="618">
        <f t="shared" si="1"/>
        <v>652.4</v>
      </c>
      <c r="H8" s="120">
        <f t="shared" si="2"/>
        <v>456.67999999999995</v>
      </c>
      <c r="I8" s="81">
        <f>VLOOKUP(B8,All_Ingredients!$A$1:$F$151,6,FALSE())</f>
        <v>1</v>
      </c>
      <c r="J8" s="119">
        <f>VLOOKUP(B8,All_Ingredients!$A$1:$J$151,10,FALSE())</f>
        <v>15</v>
      </c>
      <c r="K8" s="122">
        <f t="shared" si="3"/>
        <v>0.45667999999999997</v>
      </c>
      <c r="L8" s="122">
        <f t="shared" si="4"/>
        <v>6.8501999999999992</v>
      </c>
    </row>
    <row r="9" spans="1:33" ht="14.25" customHeight="1" x14ac:dyDescent="0.3">
      <c r="A9" s="270" t="s">
        <v>196</v>
      </c>
      <c r="B9" s="22" t="s">
        <v>761</v>
      </c>
      <c r="C9" s="124" t="s">
        <v>14</v>
      </c>
      <c r="D9" s="125">
        <v>130</v>
      </c>
      <c r="E9" s="197">
        <f t="shared" si="0"/>
        <v>32.619999999999997</v>
      </c>
      <c r="F9" s="127">
        <v>0.85</v>
      </c>
      <c r="G9" s="618">
        <f t="shared" si="1"/>
        <v>4240.5999999999995</v>
      </c>
      <c r="H9" s="120">
        <f t="shared" si="2"/>
        <v>3604.5099999999993</v>
      </c>
      <c r="I9" s="81">
        <f>VLOOKUP(B9,All_Ingredients!$A$1:$F$151,6,FALSE())</f>
        <v>1</v>
      </c>
      <c r="J9" s="119">
        <f>VLOOKUP(B9,All_Ingredients!$A$1:$J$151,10,FALSE())</f>
        <v>8.1520833333333336</v>
      </c>
      <c r="K9" s="122">
        <f t="shared" si="3"/>
        <v>3.6045099999999994</v>
      </c>
      <c r="L9" s="122">
        <f t="shared" si="4"/>
        <v>29.38426589583333</v>
      </c>
    </row>
    <row r="10" spans="1:33" ht="14.25" customHeight="1" x14ac:dyDescent="0.3">
      <c r="A10" s="270" t="s">
        <v>13</v>
      </c>
      <c r="B10" s="22" t="s">
        <v>49</v>
      </c>
      <c r="C10" s="124" t="s">
        <v>14</v>
      </c>
      <c r="D10" s="125">
        <v>200</v>
      </c>
      <c r="E10" s="197">
        <f t="shared" si="0"/>
        <v>32.619999999999997</v>
      </c>
      <c r="F10" s="127">
        <v>0.85</v>
      </c>
      <c r="G10" s="618">
        <f t="shared" si="1"/>
        <v>6523.9999999999991</v>
      </c>
      <c r="H10" s="120">
        <f t="shared" si="2"/>
        <v>5545.3999999999987</v>
      </c>
      <c r="I10" s="81">
        <f>VLOOKUP(B10,All_Ingredients!$A$1:$F$151,6,FALSE())</f>
        <v>0.5</v>
      </c>
      <c r="J10" s="119">
        <f>VLOOKUP(B10,All_Ingredients!$A$1:$J$151,10,FALSE())</f>
        <v>4.5</v>
      </c>
      <c r="K10" s="122">
        <f t="shared" si="3"/>
        <v>11.090799999999998</v>
      </c>
      <c r="L10" s="122">
        <f t="shared" si="4"/>
        <v>49.908599999999993</v>
      </c>
    </row>
    <row r="11" spans="1:33" ht="14.25" customHeight="1" x14ac:dyDescent="0.3">
      <c r="A11" s="270" t="s">
        <v>210</v>
      </c>
      <c r="B11" s="22" t="s">
        <v>212</v>
      </c>
      <c r="C11" s="124" t="s">
        <v>14</v>
      </c>
      <c r="D11" s="125">
        <v>35</v>
      </c>
      <c r="E11" s="197">
        <f t="shared" si="0"/>
        <v>32.619999999999997</v>
      </c>
      <c r="F11" s="127">
        <v>0.75</v>
      </c>
      <c r="G11" s="618">
        <f t="shared" si="1"/>
        <v>1141.6999999999998</v>
      </c>
      <c r="H11" s="120">
        <f t="shared" si="2"/>
        <v>856.27499999999986</v>
      </c>
      <c r="I11" s="81">
        <f>VLOOKUP(B11,All_Ingredients!$A$1:$F$151,6,FALSE())</f>
        <v>1</v>
      </c>
      <c r="J11" s="119">
        <f>VLOOKUP(B11,All_Ingredients!$A$1:$J$151,10,FALSE())</f>
        <v>14.760802469135802</v>
      </c>
      <c r="K11" s="122">
        <f t="shared" si="3"/>
        <v>0.8562749999999999</v>
      </c>
      <c r="L11" s="122">
        <f t="shared" si="4"/>
        <v>12.639306134259257</v>
      </c>
    </row>
    <row r="12" spans="1:33" ht="14.25" customHeight="1" x14ac:dyDescent="0.3">
      <c r="A12" s="270" t="s">
        <v>210</v>
      </c>
      <c r="B12" s="22" t="s">
        <v>209</v>
      </c>
      <c r="C12" s="124" t="s">
        <v>14</v>
      </c>
      <c r="D12" s="125">
        <v>800</v>
      </c>
      <c r="E12" s="197">
        <f t="shared" si="0"/>
        <v>32.619999999999997</v>
      </c>
      <c r="F12" s="127">
        <v>1</v>
      </c>
      <c r="G12" s="618">
        <f t="shared" si="1"/>
        <v>26095.999999999996</v>
      </c>
      <c r="H12" s="120">
        <f t="shared" si="2"/>
        <v>26095.999999999996</v>
      </c>
      <c r="I12" s="81">
        <f>VLOOKUP(B12,All_Ingredients!$A$1:$F$151,6,FALSE())</f>
        <v>1</v>
      </c>
      <c r="J12" s="119">
        <f>VLOOKUP(B12,All_Ingredients!$A$1:$J$151,10,FALSE())</f>
        <v>0</v>
      </c>
      <c r="K12" s="122">
        <f t="shared" si="3"/>
        <v>26.095999999999997</v>
      </c>
      <c r="L12" s="122">
        <f t="shared" si="4"/>
        <v>0</v>
      </c>
    </row>
    <row r="13" spans="1:33" ht="14.25" customHeight="1" x14ac:dyDescent="0.3">
      <c r="A13" s="270" t="s">
        <v>13</v>
      </c>
      <c r="B13" s="22" t="s">
        <v>792</v>
      </c>
      <c r="C13" s="124" t="s">
        <v>14</v>
      </c>
      <c r="D13" s="125">
        <v>30</v>
      </c>
      <c r="E13" s="197">
        <f t="shared" si="0"/>
        <v>32.619999999999997</v>
      </c>
      <c r="F13" s="127">
        <v>0.4</v>
      </c>
      <c r="G13" s="618">
        <f t="shared" si="1"/>
        <v>978.59999999999991</v>
      </c>
      <c r="H13" s="120">
        <f t="shared" si="2"/>
        <v>391.44</v>
      </c>
      <c r="I13" s="81">
        <f>VLOOKUP(B13,All_Ingredients!$A$1:$F$151,6,FALSE())</f>
        <v>1</v>
      </c>
      <c r="J13" s="119">
        <f>VLOOKUP(B13,All_Ingredients!$A$1:$J$151,10,FALSE())</f>
        <v>10.5</v>
      </c>
      <c r="K13" s="122">
        <f t="shared" si="3"/>
        <v>0.39144000000000001</v>
      </c>
      <c r="L13" s="122">
        <f t="shared" si="4"/>
        <v>4.1101200000000002</v>
      </c>
    </row>
    <row r="14" spans="1:33" ht="14.25" customHeight="1" x14ac:dyDescent="0.3">
      <c r="A14" s="270" t="s">
        <v>158</v>
      </c>
      <c r="B14" s="22" t="s">
        <v>168</v>
      </c>
      <c r="C14" s="124" t="s">
        <v>14</v>
      </c>
      <c r="D14" s="125">
        <v>300</v>
      </c>
      <c r="E14" s="197">
        <f t="shared" si="0"/>
        <v>32.619999999999997</v>
      </c>
      <c r="F14" s="127">
        <v>0.5</v>
      </c>
      <c r="G14" s="618">
        <f t="shared" si="1"/>
        <v>9786</v>
      </c>
      <c r="H14" s="120">
        <f t="shared" si="2"/>
        <v>4893</v>
      </c>
      <c r="I14" s="81">
        <f>VLOOKUP(B14,All_Ingredients!$A$1:$F$151,6,FALSE())</f>
        <v>1</v>
      </c>
      <c r="J14" s="119">
        <f>VLOOKUP(B14,All_Ingredients!$A$1:$J$151,10,FALSE())</f>
        <v>6.6959999999999997</v>
      </c>
      <c r="K14" s="122">
        <f t="shared" si="3"/>
        <v>4.8929999999999998</v>
      </c>
      <c r="L14" s="122">
        <f t="shared" si="4"/>
        <v>32.763527999999994</v>
      </c>
    </row>
    <row r="15" spans="1:33" ht="15" customHeight="1" x14ac:dyDescent="0.3">
      <c r="A15" s="270" t="s">
        <v>186</v>
      </c>
      <c r="B15" s="22" t="s">
        <v>190</v>
      </c>
      <c r="C15" s="124" t="s">
        <v>14</v>
      </c>
      <c r="D15" s="125">
        <v>35</v>
      </c>
      <c r="E15" s="197">
        <f t="shared" si="0"/>
        <v>32.619999999999997</v>
      </c>
      <c r="F15" s="127">
        <v>0.5</v>
      </c>
      <c r="G15" s="618">
        <f t="shared" si="1"/>
        <v>1141.6999999999998</v>
      </c>
      <c r="H15" s="120">
        <f t="shared" si="2"/>
        <v>570.84999999999991</v>
      </c>
      <c r="I15" s="81">
        <f>VLOOKUP(B15,All_Ingredients!$A$1:$F$151,6,FALSE())</f>
        <v>1</v>
      </c>
      <c r="J15" s="119">
        <f>VLOOKUP(B15,All_Ingredients!$A$1:$J$151,10,FALSE())</f>
        <v>17.5</v>
      </c>
      <c r="K15" s="122">
        <f t="shared" si="3"/>
        <v>0.57084999999999986</v>
      </c>
      <c r="L15" s="122">
        <f t="shared" si="4"/>
        <v>9.9898749999999978</v>
      </c>
    </row>
    <row r="19" spans="1:29" ht="14.25" customHeight="1" x14ac:dyDescent="0.3">
      <c r="A19" s="100"/>
      <c r="F19" s="100"/>
      <c r="L19" s="209"/>
    </row>
    <row r="20" spans="1:29" ht="14.25" customHeight="1" x14ac:dyDescent="0.3">
      <c r="A20" s="100"/>
      <c r="F20" s="100"/>
      <c r="L20" s="209"/>
    </row>
    <row r="21" spans="1:29" ht="14.25" customHeight="1" x14ac:dyDescent="0.3">
      <c r="A21" s="100"/>
      <c r="F21" s="100"/>
    </row>
    <row r="22" spans="1:29" ht="14.25" customHeight="1" x14ac:dyDescent="0.3">
      <c r="A22" s="100"/>
      <c r="F22" s="100"/>
    </row>
    <row r="23" spans="1:29" ht="14.25" customHeight="1" x14ac:dyDescent="0.3">
      <c r="A23" s="100"/>
      <c r="F23" s="100"/>
    </row>
    <row r="24" spans="1:29" ht="14.25" customHeight="1" x14ac:dyDescent="0.3">
      <c r="A24" s="100"/>
      <c r="F24" s="100"/>
      <c r="Z24" s="1294"/>
    </row>
    <row r="25" spans="1:29" ht="15.75" customHeight="1" x14ac:dyDescent="0.35">
      <c r="F25" s="100"/>
      <c r="R25" s="1487" t="str">
        <f>B2</f>
        <v>Beef Kabli- كابلي لحم</v>
      </c>
      <c r="S25" s="1476"/>
      <c r="T25" s="1476"/>
      <c r="U25" s="1218"/>
      <c r="Z25" s="141" t="s">
        <v>264</v>
      </c>
      <c r="AA25" s="142">
        <v>32620</v>
      </c>
      <c r="AB25" s="141" t="s">
        <v>261</v>
      </c>
      <c r="AC25" s="143">
        <f>AC30*AA25</f>
        <v>2903.2197998031306</v>
      </c>
    </row>
    <row r="26" spans="1:29" ht="14.25" customHeight="1" x14ac:dyDescent="0.3">
      <c r="F26" s="100"/>
      <c r="R26" s="1409" t="s">
        <v>336</v>
      </c>
      <c r="S26" s="1481"/>
      <c r="T26" s="1481"/>
      <c r="U26" s="1218"/>
      <c r="AB26" s="14"/>
      <c r="AC26" s="14"/>
    </row>
    <row r="27" spans="1:29" ht="14.25" customHeight="1" thickBot="1" x14ac:dyDescent="0.35">
      <c r="F27" s="100"/>
      <c r="R27" s="145" t="s">
        <v>266</v>
      </c>
      <c r="S27" s="146" t="s">
        <v>267</v>
      </c>
      <c r="T27" s="146" t="s">
        <v>269</v>
      </c>
      <c r="U27" s="146" t="s">
        <v>848</v>
      </c>
      <c r="Z27" s="141" t="s">
        <v>270</v>
      </c>
      <c r="AA27" s="147" t="s">
        <v>271</v>
      </c>
      <c r="AB27" s="1186" t="s">
        <v>848</v>
      </c>
      <c r="AC27" s="147" t="s">
        <v>274</v>
      </c>
    </row>
    <row r="28" spans="1:29" ht="14.25" customHeight="1" thickBot="1" x14ac:dyDescent="0.35">
      <c r="B28" s="179"/>
      <c r="C28" s="318"/>
      <c r="D28" s="298"/>
      <c r="E28" s="318"/>
      <c r="F28" s="100"/>
      <c r="R28" s="148" t="s">
        <v>337</v>
      </c>
      <c r="S28" s="766">
        <f>Z1</f>
        <v>32620</v>
      </c>
      <c r="T28" s="760">
        <f>S28</f>
        <v>32620</v>
      </c>
      <c r="U28" s="760">
        <f>SUM(H37)</f>
        <v>217</v>
      </c>
      <c r="Z28" s="151"/>
      <c r="AA28" s="152">
        <f>AA25</f>
        <v>32620</v>
      </c>
      <c r="AB28" s="1188"/>
      <c r="AC28" s="154">
        <f>SUM(AA28:AB28)</f>
        <v>32620</v>
      </c>
    </row>
    <row r="29" spans="1:29" ht="14.25" customHeight="1" thickBot="1" x14ac:dyDescent="0.35">
      <c r="B29" s="179"/>
      <c r="C29" s="318"/>
      <c r="D29" s="298"/>
      <c r="E29" s="318"/>
      <c r="F29" s="100"/>
      <c r="R29" s="148" t="s">
        <v>338</v>
      </c>
      <c r="S29" s="788">
        <f>AB1</f>
        <v>0</v>
      </c>
      <c r="T29" s="762">
        <f>S29</f>
        <v>0</v>
      </c>
      <c r="U29" s="762"/>
      <c r="Z29" s="151"/>
      <c r="AA29" s="156">
        <v>1</v>
      </c>
      <c r="AB29" s="1192"/>
      <c r="AC29" s="156">
        <f>AC28/$AC$28</f>
        <v>1</v>
      </c>
    </row>
    <row r="30" spans="1:29" ht="14.25" customHeight="1" thickBot="1" x14ac:dyDescent="0.35">
      <c r="B30" s="179"/>
      <c r="C30" s="318"/>
      <c r="D30" s="298"/>
      <c r="E30" s="318"/>
      <c r="F30" s="100"/>
      <c r="R30" s="160" t="s">
        <v>339</v>
      </c>
      <c r="S30" s="149">
        <f>S28+S29</f>
        <v>32620</v>
      </c>
      <c r="T30" s="149">
        <f>T28+T29</f>
        <v>32620</v>
      </c>
      <c r="U30" s="149">
        <f>U28+U29</f>
        <v>217</v>
      </c>
      <c r="Z30" s="141" t="s">
        <v>278</v>
      </c>
      <c r="AA30" s="157">
        <f>S33/(S30)</f>
        <v>8.8884803795313633E-2</v>
      </c>
      <c r="AB30" s="1199">
        <f>U33/S30</f>
        <v>1.1641630901287553E-4</v>
      </c>
      <c r="AC30" s="1201">
        <f>SUMPRODUCT(AA30,AA29)+AB30</f>
        <v>8.9001220104326512E-2</v>
      </c>
    </row>
    <row r="31" spans="1:29" ht="14.25" customHeight="1" thickBot="1" x14ac:dyDescent="0.35">
      <c r="B31" s="179"/>
      <c r="C31" s="318"/>
      <c r="D31" s="298"/>
      <c r="E31" s="318"/>
      <c r="F31" s="100"/>
      <c r="R31" s="161" t="s">
        <v>280</v>
      </c>
      <c r="S31" s="155"/>
      <c r="T31" s="155"/>
      <c r="U31" s="155"/>
    </row>
    <row r="32" spans="1:29" ht="14.25" customHeight="1" thickBot="1" x14ac:dyDescent="0.35">
      <c r="B32" s="179"/>
      <c r="C32" s="318"/>
      <c r="D32" s="298"/>
      <c r="E32" s="318"/>
      <c r="F32" s="100"/>
      <c r="R32" s="162" t="s">
        <v>281</v>
      </c>
      <c r="S32" s="155"/>
      <c r="T32" s="155"/>
      <c r="U32" s="155"/>
    </row>
    <row r="33" spans="2:23" ht="14.25" customHeight="1" thickBot="1" x14ac:dyDescent="0.35">
      <c r="R33" s="163" t="s">
        <v>261</v>
      </c>
      <c r="S33" s="164">
        <f>SUM(L5:L15)</f>
        <v>2899.4222998031305</v>
      </c>
      <c r="T33" s="164">
        <f>S33+U33</f>
        <v>2903.2197998031306</v>
      </c>
      <c r="U33" s="164">
        <f>SUM(L37)</f>
        <v>3.7974999999999999</v>
      </c>
    </row>
    <row r="34" spans="2:23" ht="14.25" customHeight="1" x14ac:dyDescent="0.3"/>
    <row r="35" spans="2:23" ht="14.25" customHeight="1" x14ac:dyDescent="0.3">
      <c r="B35" s="1412" t="s">
        <v>730</v>
      </c>
      <c r="C35" s="1412"/>
      <c r="D35" s="1412"/>
      <c r="E35" s="1412"/>
      <c r="F35" s="1412"/>
      <c r="G35" s="889"/>
      <c r="H35" s="889"/>
      <c r="I35" s="889"/>
      <c r="J35" s="889"/>
      <c r="K35" s="889"/>
      <c r="L35" s="889"/>
    </row>
    <row r="36" spans="2:23" ht="14.25" customHeight="1" x14ac:dyDescent="0.3">
      <c r="B36" s="860" t="s">
        <v>747</v>
      </c>
      <c r="C36" s="860" t="s">
        <v>329</v>
      </c>
      <c r="D36" s="862" t="s">
        <v>671</v>
      </c>
      <c r="E36" s="859" t="s">
        <v>672</v>
      </c>
      <c r="F36" s="862" t="s">
        <v>673</v>
      </c>
      <c r="G36" s="882"/>
      <c r="H36" s="862" t="s">
        <v>673</v>
      </c>
      <c r="I36" s="862" t="s">
        <v>258</v>
      </c>
      <c r="J36" s="862" t="s">
        <v>259</v>
      </c>
      <c r="K36" s="862" t="s">
        <v>260</v>
      </c>
      <c r="L36" s="862" t="s">
        <v>261</v>
      </c>
    </row>
    <row r="37" spans="2:23" ht="14.25" customHeight="1" x14ac:dyDescent="0.3">
      <c r="B37" s="855" t="s">
        <v>190</v>
      </c>
      <c r="C37" s="856" t="s">
        <v>14</v>
      </c>
      <c r="D37" s="857">
        <v>1</v>
      </c>
      <c r="E37" s="855">
        <f>$AD$1</f>
        <v>217</v>
      </c>
      <c r="F37" s="855">
        <f>D37*E37</f>
        <v>217</v>
      </c>
      <c r="G37" s="881"/>
      <c r="H37" s="855">
        <f>F37</f>
        <v>217</v>
      </c>
      <c r="I37" s="855">
        <f>VLOOKUP(B37,All_Ingredients!$A$1:$F$151,6,FALSE())</f>
        <v>1</v>
      </c>
      <c r="J37" s="855">
        <f>VLOOKUP(B37,All_Ingredients!$A$1:$J$151,10,FALSE())</f>
        <v>17.5</v>
      </c>
      <c r="K37" s="855">
        <f>(H37/I37)/1000</f>
        <v>0.217</v>
      </c>
      <c r="L37" s="855">
        <f>K37*J37</f>
        <v>3.7974999999999999</v>
      </c>
    </row>
    <row r="38" spans="2:23" ht="14.25" customHeight="1" x14ac:dyDescent="0.3">
      <c r="B38" s="179"/>
      <c r="C38" s="318"/>
      <c r="D38" s="298"/>
      <c r="E38" s="318"/>
      <c r="F38" s="100"/>
    </row>
    <row r="39" spans="2:23" ht="14.25" customHeight="1" x14ac:dyDescent="0.3">
      <c r="B39" s="179"/>
      <c r="C39" s="318"/>
      <c r="D39" s="298"/>
      <c r="E39" s="318"/>
      <c r="F39" s="100"/>
    </row>
    <row r="40" spans="2:23" ht="14.25" customHeight="1" x14ac:dyDescent="0.3">
      <c r="B40" s="179"/>
      <c r="C40" s="318"/>
      <c r="D40" s="298"/>
      <c r="E40" s="318"/>
      <c r="F40" s="100"/>
      <c r="Q40" s="14"/>
      <c r="R40" s="165" t="s">
        <v>340</v>
      </c>
      <c r="S40" s="239">
        <v>1</v>
      </c>
    </row>
    <row r="41" spans="2:23" ht="14.25" customHeight="1" x14ac:dyDescent="0.3">
      <c r="B41" s="179"/>
      <c r="C41" s="318"/>
      <c r="D41" s="298"/>
      <c r="E41" s="318"/>
      <c r="F41" s="100"/>
      <c r="Q41" s="14"/>
      <c r="R41" s="14"/>
      <c r="S41" s="14"/>
      <c r="T41" s="14"/>
      <c r="U41" s="169"/>
      <c r="V41" s="14"/>
      <c r="W41" s="14"/>
    </row>
    <row r="42" spans="2:23" ht="14.25" customHeight="1" x14ac:dyDescent="0.3">
      <c r="B42" s="179"/>
      <c r="C42" s="318"/>
      <c r="D42" s="298"/>
      <c r="E42" s="318"/>
      <c r="F42" s="100"/>
      <c r="Q42" s="14"/>
      <c r="R42" s="14"/>
      <c r="S42" s="14"/>
      <c r="T42" s="14"/>
      <c r="U42" s="14"/>
      <c r="V42" s="14"/>
      <c r="W42" s="14"/>
    </row>
    <row r="43" spans="2:23" ht="14.25" customHeight="1" x14ac:dyDescent="0.3">
      <c r="B43" s="179"/>
      <c r="C43" s="318"/>
      <c r="D43" s="298"/>
      <c r="E43" s="318"/>
      <c r="F43" s="100"/>
      <c r="Q43" s="170" t="s">
        <v>284</v>
      </c>
      <c r="R43" s="170" t="s">
        <v>285</v>
      </c>
      <c r="S43" s="170" t="s">
        <v>286</v>
      </c>
      <c r="T43" s="170" t="s">
        <v>287</v>
      </c>
      <c r="U43" s="170" t="s">
        <v>288</v>
      </c>
      <c r="V43" s="170" t="s">
        <v>289</v>
      </c>
      <c r="W43" s="258" t="s">
        <v>341</v>
      </c>
    </row>
    <row r="44" spans="2:23" ht="14.25" customHeight="1" x14ac:dyDescent="0.3">
      <c r="B44" s="179"/>
      <c r="C44" s="318"/>
      <c r="D44" s="298"/>
      <c r="E44" s="318"/>
      <c r="F44" s="100"/>
      <c r="Q44" s="172">
        <v>10000</v>
      </c>
      <c r="R44" s="173">
        <v>0</v>
      </c>
      <c r="S44" s="241">
        <v>0</v>
      </c>
      <c r="T44" s="241">
        <v>0</v>
      </c>
      <c r="U44" s="242">
        <f>R44*S44</f>
        <v>0</v>
      </c>
      <c r="V44" s="176">
        <f>R44*T44</f>
        <v>0</v>
      </c>
      <c r="W44" s="260">
        <f>Q44-U44</f>
        <v>10000</v>
      </c>
    </row>
    <row r="45" spans="2:23" ht="14.25" customHeight="1" x14ac:dyDescent="0.3">
      <c r="B45" s="179"/>
      <c r="C45" s="318"/>
      <c r="D45" s="298"/>
      <c r="E45" s="318"/>
      <c r="F45" s="100"/>
    </row>
    <row r="46" spans="2:23" ht="14.25" customHeight="1" x14ac:dyDescent="0.3">
      <c r="B46" s="179"/>
      <c r="C46" s="318"/>
      <c r="D46" s="298"/>
      <c r="E46" s="318"/>
      <c r="F46" s="100"/>
    </row>
    <row r="47" spans="2:23" ht="14.25" customHeight="1" x14ac:dyDescent="0.3">
      <c r="B47" s="179"/>
      <c r="C47" s="318"/>
      <c r="D47" s="298"/>
      <c r="E47" s="318"/>
      <c r="F47" s="100"/>
    </row>
    <row r="48" spans="2:23" ht="14.25" customHeight="1" x14ac:dyDescent="0.3">
      <c r="B48" s="179"/>
      <c r="C48" s="318"/>
      <c r="D48" s="298"/>
      <c r="E48" s="318"/>
      <c r="F48" s="100"/>
    </row>
    <row r="49" spans="1:10" ht="14.25" customHeight="1" x14ac:dyDescent="0.3">
      <c r="B49" s="179"/>
      <c r="C49" s="318"/>
      <c r="D49" s="298"/>
      <c r="E49" s="318"/>
      <c r="F49" s="100"/>
    </row>
    <row r="50" spans="1:10" ht="14.25" customHeight="1" thickBot="1" x14ac:dyDescent="0.35">
      <c r="B50" s="179"/>
      <c r="C50" s="318"/>
      <c r="D50" s="298"/>
      <c r="E50" s="318"/>
      <c r="F50" s="100"/>
      <c r="G50" s="146" t="s">
        <v>292</v>
      </c>
      <c r="H50" s="146" t="s">
        <v>245</v>
      </c>
      <c r="I50" s="146" t="s">
        <v>293</v>
      </c>
      <c r="J50" s="146" t="s">
        <v>294</v>
      </c>
    </row>
    <row r="51" spans="1:10" ht="14.25" customHeight="1" thickBot="1" x14ac:dyDescent="0.35">
      <c r="B51" s="179"/>
      <c r="C51" s="318"/>
      <c r="D51" s="298"/>
      <c r="E51" s="318"/>
      <c r="F51" s="100"/>
      <c r="G51" s="310" t="s">
        <v>485</v>
      </c>
      <c r="H51" s="311">
        <v>10</v>
      </c>
      <c r="I51" s="311">
        <f t="shared" ref="I51:I58" si="5">J51/$J$1</f>
        <v>17217.927305910915</v>
      </c>
      <c r="J51" s="312">
        <f>$W$44</f>
        <v>10000</v>
      </c>
    </row>
    <row r="52" spans="1:10" ht="14.25" customHeight="1" x14ac:dyDescent="0.3">
      <c r="B52" s="179"/>
      <c r="C52" s="318"/>
      <c r="D52" s="298"/>
      <c r="E52" s="318"/>
      <c r="F52" s="100"/>
      <c r="G52" s="162" t="s">
        <v>274</v>
      </c>
      <c r="H52" s="313">
        <f>$E$5</f>
        <v>32.619999999999997</v>
      </c>
      <c r="I52" s="314">
        <f t="shared" si="5"/>
        <v>56164.878871881403</v>
      </c>
      <c r="J52" s="315">
        <f>$S$30</f>
        <v>32620</v>
      </c>
    </row>
    <row r="53" spans="1:10" ht="14.25" customHeight="1" x14ac:dyDescent="0.3">
      <c r="B53" s="179"/>
      <c r="C53" s="318"/>
      <c r="D53" s="298"/>
      <c r="E53" s="318"/>
      <c r="F53" s="100"/>
      <c r="G53" s="148" t="s">
        <v>296</v>
      </c>
      <c r="H53" s="316">
        <f>MIN(H52, H51)</f>
        <v>10</v>
      </c>
      <c r="I53" s="176">
        <f t="shared" si="5"/>
        <v>17217.927305910915</v>
      </c>
      <c r="J53" s="619">
        <f>MIN(J52, J51)</f>
        <v>10000</v>
      </c>
    </row>
    <row r="54" spans="1:10" ht="14.25" customHeight="1" x14ac:dyDescent="0.3">
      <c r="B54" s="179"/>
      <c r="C54" s="318"/>
      <c r="D54" s="298"/>
      <c r="E54" s="318"/>
      <c r="F54" s="100"/>
      <c r="G54" s="148" t="s">
        <v>297</v>
      </c>
      <c r="H54" s="316">
        <f>MIN(MAX($H$52-H53,0),H51)</f>
        <v>10</v>
      </c>
      <c r="I54" s="176">
        <f t="shared" si="5"/>
        <v>17217.927305910915</v>
      </c>
      <c r="J54" s="619">
        <f>MIN(MAX(J52-J53,0),J51)</f>
        <v>10000</v>
      </c>
    </row>
    <row r="55" spans="1:10" ht="14.25" customHeight="1" x14ac:dyDescent="0.3">
      <c r="B55" s="179"/>
      <c r="C55" s="318"/>
      <c r="D55" s="298"/>
      <c r="E55" s="318"/>
      <c r="F55" s="100"/>
      <c r="G55" s="145" t="s">
        <v>298</v>
      </c>
      <c r="H55" s="316">
        <f>MIN(MAX(H52-H53-H54,0),H51)</f>
        <v>10</v>
      </c>
      <c r="I55" s="176">
        <f t="shared" si="5"/>
        <v>17217.927305910915</v>
      </c>
      <c r="J55" s="619">
        <f>MIN(MAX(J52-J53-J54,0),J51)</f>
        <v>10000</v>
      </c>
    </row>
    <row r="56" spans="1:10" ht="14.25" customHeight="1" x14ac:dyDescent="0.3">
      <c r="B56" s="179"/>
      <c r="C56" s="318"/>
      <c r="D56" s="298"/>
      <c r="E56" s="318"/>
      <c r="F56" s="100"/>
      <c r="G56" s="145" t="s">
        <v>305</v>
      </c>
      <c r="H56" s="316">
        <f>MIN(MAX(H52-H53-H54-H55,0),H51)</f>
        <v>2.6199999999999974</v>
      </c>
      <c r="I56" s="176">
        <f t="shared" si="5"/>
        <v>4511.0969541486593</v>
      </c>
      <c r="J56" s="619">
        <f>MIN(MAX(J52-J53-J54-J55,0),J51)</f>
        <v>2620</v>
      </c>
    </row>
    <row r="57" spans="1:10" ht="14.25" customHeight="1" x14ac:dyDescent="0.3">
      <c r="B57" s="179"/>
      <c r="C57" s="318"/>
      <c r="D57" s="298"/>
      <c r="E57" s="318"/>
      <c r="F57" s="100"/>
      <c r="G57" s="145" t="s">
        <v>356</v>
      </c>
      <c r="H57" s="316">
        <f>MIN(MAX(H52-H53-H54-H55-H56,0),H51)</f>
        <v>0</v>
      </c>
      <c r="I57" s="176">
        <f t="shared" si="5"/>
        <v>0</v>
      </c>
      <c r="J57" s="619">
        <f>MIN(MAX(J52-J53-J54-J55-J56,0),J51)</f>
        <v>0</v>
      </c>
    </row>
    <row r="58" spans="1:10" ht="14.25" customHeight="1" x14ac:dyDescent="0.3">
      <c r="B58" s="179"/>
      <c r="C58" s="318"/>
      <c r="D58" s="298"/>
      <c r="E58" s="318"/>
      <c r="F58" s="100"/>
      <c r="G58" s="145" t="s">
        <v>477</v>
      </c>
      <c r="H58" s="316">
        <f>MIN(MAX(H52-H53-H54-H55-H56-H57,0),H51)</f>
        <v>0</v>
      </c>
      <c r="I58" s="176">
        <f t="shared" si="5"/>
        <v>0</v>
      </c>
      <c r="J58" s="619">
        <f>MIN(MAX(J52-J53-J54-J55-J56-J57,0),J51)</f>
        <v>0</v>
      </c>
    </row>
    <row r="59" spans="1:10" ht="14.25" customHeight="1" x14ac:dyDescent="0.3">
      <c r="B59" s="179"/>
      <c r="C59" s="318"/>
      <c r="D59" s="298"/>
      <c r="E59" s="318"/>
      <c r="F59" s="100"/>
    </row>
    <row r="60" spans="1:10" ht="14.25" customHeight="1" x14ac:dyDescent="0.3">
      <c r="B60" s="100"/>
      <c r="E60" s="100"/>
      <c r="F60" s="100"/>
    </row>
    <row r="61" spans="1:10" ht="14.25" customHeight="1" x14ac:dyDescent="0.3">
      <c r="B61" s="100"/>
      <c r="E61" s="100"/>
      <c r="F61" s="100"/>
    </row>
    <row r="62" spans="1:10" ht="17.75" customHeight="1" x14ac:dyDescent="0.3">
      <c r="A62" s="322"/>
      <c r="B62" s="1413" t="str">
        <f>"كابلى لحم 1 / " &amp; COUNTIF($H$53:$H$58, "&gt;0")</f>
        <v>كابلى لحم 1 / 4</v>
      </c>
      <c r="C62" s="1421"/>
      <c r="D62" s="1421"/>
      <c r="E62" s="1421"/>
      <c r="F62" s="1421"/>
      <c r="G62" s="1421"/>
      <c r="H62" s="1421"/>
    </row>
    <row r="63" spans="1:10" ht="17.75" customHeight="1" x14ac:dyDescent="0.3">
      <c r="A63" s="322"/>
      <c r="B63" s="1413" t="str">
        <f>"Beef Kabli 1 / " &amp; COUNTIF($H$53:$H$58, "&gt;0")</f>
        <v>Beef Kabli 1 / 4</v>
      </c>
      <c r="C63" s="1421"/>
      <c r="D63" s="1421"/>
      <c r="E63" s="1421"/>
      <c r="F63" s="1421"/>
      <c r="G63" s="1421"/>
      <c r="H63" s="1421"/>
    </row>
    <row r="64" spans="1:10" ht="35.25" customHeight="1" x14ac:dyDescent="0.3">
      <c r="A64" s="91"/>
      <c r="B64" s="91" t="s">
        <v>747</v>
      </c>
      <c r="C64" s="307" t="s">
        <v>329</v>
      </c>
      <c r="D64" s="91" t="s">
        <v>330</v>
      </c>
      <c r="E64" s="108" t="s">
        <v>331</v>
      </c>
      <c r="F64" s="108" t="s">
        <v>332</v>
      </c>
      <c r="G64" s="308" t="s">
        <v>333</v>
      </c>
      <c r="H64" s="109" t="s">
        <v>334</v>
      </c>
    </row>
    <row r="65" spans="1:8" ht="14.25" customHeight="1" x14ac:dyDescent="0.3">
      <c r="A65" s="219" t="s">
        <v>230</v>
      </c>
      <c r="B65" s="323" t="str">
        <f t="shared" ref="B65:D75" si="6">B5</f>
        <v>Indian Meat Alana  - لحم هندى ألانا</v>
      </c>
      <c r="C65" s="323" t="str">
        <f t="shared" si="6"/>
        <v>gm</v>
      </c>
      <c r="D65" s="324">
        <f t="shared" si="6"/>
        <v>1721.7927305910914</v>
      </c>
      <c r="E65" s="197">
        <f>$H$53</f>
        <v>10</v>
      </c>
      <c r="F65" s="127">
        <f t="shared" ref="F65:F75" si="7">F5</f>
        <v>1</v>
      </c>
      <c r="G65" s="119">
        <f t="shared" ref="G65:G75" si="8">D65*E65</f>
        <v>17217.927305910915</v>
      </c>
      <c r="H65" s="120">
        <f t="shared" ref="H65:H75" si="9">G65*F65</f>
        <v>17217.927305910915</v>
      </c>
    </row>
    <row r="66" spans="1:8" ht="14.25" customHeight="1" x14ac:dyDescent="0.3">
      <c r="A66" s="270" t="s">
        <v>13</v>
      </c>
      <c r="B66" s="323" t="str">
        <f t="shared" si="6"/>
        <v>Tomato - طماطم</v>
      </c>
      <c r="C66" s="323" t="str">
        <f t="shared" si="6"/>
        <v>gm</v>
      </c>
      <c r="D66" s="323">
        <f t="shared" si="6"/>
        <v>100</v>
      </c>
      <c r="E66" s="197">
        <f t="shared" ref="E66:E75" si="10">$H$53</f>
        <v>10</v>
      </c>
      <c r="F66" s="127">
        <f t="shared" si="7"/>
        <v>1</v>
      </c>
      <c r="G66" s="81">
        <f t="shared" si="8"/>
        <v>1000</v>
      </c>
      <c r="H66" s="120">
        <f t="shared" si="9"/>
        <v>1000</v>
      </c>
    </row>
    <row r="67" spans="1:8" ht="14.25" customHeight="1" x14ac:dyDescent="0.3">
      <c r="A67" s="270" t="s">
        <v>97</v>
      </c>
      <c r="B67" s="323" t="str">
        <f t="shared" si="6"/>
        <v>Kabsa Spices Powder - توابل كبسة بودر</v>
      </c>
      <c r="C67" s="323" t="str">
        <f t="shared" si="6"/>
        <v>gm</v>
      </c>
      <c r="D67" s="323">
        <f t="shared" si="6"/>
        <v>19</v>
      </c>
      <c r="E67" s="197">
        <f t="shared" si="10"/>
        <v>10</v>
      </c>
      <c r="F67" s="127">
        <f t="shared" si="7"/>
        <v>0.7</v>
      </c>
      <c r="G67" s="81">
        <f t="shared" si="8"/>
        <v>190</v>
      </c>
      <c r="H67" s="120">
        <f t="shared" si="9"/>
        <v>133</v>
      </c>
    </row>
    <row r="68" spans="1:8" ht="14.25" customHeight="1" x14ac:dyDescent="0.3">
      <c r="A68" s="270" t="s">
        <v>97</v>
      </c>
      <c r="B68" s="323" t="str">
        <f t="shared" si="6"/>
        <v>Cumin Powder - كمون مطحون</v>
      </c>
      <c r="C68" s="323" t="str">
        <f t="shared" si="6"/>
        <v>gm</v>
      </c>
      <c r="D68" s="323">
        <f t="shared" si="6"/>
        <v>20</v>
      </c>
      <c r="E68" s="197">
        <f t="shared" si="10"/>
        <v>10</v>
      </c>
      <c r="F68" s="127">
        <f t="shared" si="7"/>
        <v>0.7</v>
      </c>
      <c r="G68" s="81">
        <f t="shared" si="8"/>
        <v>200</v>
      </c>
      <c r="H68" s="120">
        <f t="shared" si="9"/>
        <v>140</v>
      </c>
    </row>
    <row r="69" spans="1:8" ht="14.25" customHeight="1" x14ac:dyDescent="0.3">
      <c r="A69" s="270" t="s">
        <v>196</v>
      </c>
      <c r="B69" s="323" t="str">
        <f t="shared" si="6"/>
        <v>Tomato Paste - صلصة طماطم</v>
      </c>
      <c r="C69" s="323" t="str">
        <f t="shared" si="6"/>
        <v>gm</v>
      </c>
      <c r="D69" s="323">
        <f t="shared" si="6"/>
        <v>130</v>
      </c>
      <c r="E69" s="197">
        <f t="shared" si="10"/>
        <v>10</v>
      </c>
      <c r="F69" s="127">
        <f t="shared" si="7"/>
        <v>0.85</v>
      </c>
      <c r="G69" s="81">
        <f t="shared" si="8"/>
        <v>1300</v>
      </c>
      <c r="H69" s="120">
        <f t="shared" si="9"/>
        <v>1105</v>
      </c>
    </row>
    <row r="70" spans="1:8" ht="14.25" customHeight="1" x14ac:dyDescent="0.3">
      <c r="A70" s="270" t="s">
        <v>13</v>
      </c>
      <c r="B70" s="323" t="str">
        <f t="shared" si="6"/>
        <v>Orange - برتقال</v>
      </c>
      <c r="C70" s="323" t="str">
        <f t="shared" si="6"/>
        <v>gm</v>
      </c>
      <c r="D70" s="323">
        <f t="shared" si="6"/>
        <v>200</v>
      </c>
      <c r="E70" s="197">
        <f t="shared" si="10"/>
        <v>10</v>
      </c>
      <c r="F70" s="127">
        <f t="shared" si="7"/>
        <v>0.85</v>
      </c>
      <c r="G70" s="81">
        <f t="shared" si="8"/>
        <v>2000</v>
      </c>
      <c r="H70" s="120">
        <f t="shared" si="9"/>
        <v>1700</v>
      </c>
    </row>
    <row r="71" spans="1:8" ht="14.25" customHeight="1" x14ac:dyDescent="0.3">
      <c r="A71" s="270" t="s">
        <v>210</v>
      </c>
      <c r="B71" s="323" t="str">
        <f t="shared" si="6"/>
        <v>Rose Water - ماء الورد</v>
      </c>
      <c r="C71" s="323" t="str">
        <f t="shared" si="6"/>
        <v>gm</v>
      </c>
      <c r="D71" s="323">
        <f t="shared" si="6"/>
        <v>35</v>
      </c>
      <c r="E71" s="197">
        <f t="shared" si="10"/>
        <v>10</v>
      </c>
      <c r="F71" s="127">
        <f t="shared" si="7"/>
        <v>0.75</v>
      </c>
      <c r="G71" s="81">
        <f t="shared" si="8"/>
        <v>350</v>
      </c>
      <c r="H71" s="120">
        <f t="shared" si="9"/>
        <v>262.5</v>
      </c>
    </row>
    <row r="72" spans="1:8" ht="14.25" customHeight="1" x14ac:dyDescent="0.3">
      <c r="A72" s="270" t="s">
        <v>210</v>
      </c>
      <c r="B72" s="323" t="str">
        <f t="shared" si="6"/>
        <v>Water - ماء</v>
      </c>
      <c r="C72" s="323" t="str">
        <f t="shared" si="6"/>
        <v>gm</v>
      </c>
      <c r="D72" s="323">
        <f t="shared" si="6"/>
        <v>800</v>
      </c>
      <c r="E72" s="197">
        <f t="shared" si="10"/>
        <v>10</v>
      </c>
      <c r="F72" s="127">
        <f t="shared" si="7"/>
        <v>1</v>
      </c>
      <c r="G72" s="81">
        <f t="shared" si="8"/>
        <v>8000</v>
      </c>
      <c r="H72" s="120">
        <f t="shared" si="9"/>
        <v>8000</v>
      </c>
    </row>
    <row r="73" spans="1:8" ht="14.25" customHeight="1" x14ac:dyDescent="0.3">
      <c r="A73" s="270" t="s">
        <v>13</v>
      </c>
      <c r="B73" s="323" t="str">
        <f t="shared" si="6"/>
        <v>Garlic - ثوم مقشر</v>
      </c>
      <c r="C73" s="323" t="str">
        <f t="shared" si="6"/>
        <v>gm</v>
      </c>
      <c r="D73" s="323">
        <f t="shared" si="6"/>
        <v>30</v>
      </c>
      <c r="E73" s="197">
        <f t="shared" si="10"/>
        <v>10</v>
      </c>
      <c r="F73" s="127">
        <f t="shared" si="7"/>
        <v>0.4</v>
      </c>
      <c r="G73" s="81">
        <f t="shared" si="8"/>
        <v>300</v>
      </c>
      <c r="H73" s="120">
        <f t="shared" si="9"/>
        <v>120</v>
      </c>
    </row>
    <row r="74" spans="1:8" ht="14.25" customHeight="1" x14ac:dyDescent="0.3">
      <c r="A74" s="270" t="s">
        <v>158</v>
      </c>
      <c r="B74" s="323" t="str">
        <f t="shared" si="6"/>
        <v>Yogurt - زبادي</v>
      </c>
      <c r="C74" s="323" t="str">
        <f t="shared" si="6"/>
        <v>gm</v>
      </c>
      <c r="D74" s="323">
        <f t="shared" si="6"/>
        <v>300</v>
      </c>
      <c r="E74" s="197">
        <f t="shared" si="10"/>
        <v>10</v>
      </c>
      <c r="F74" s="127">
        <f t="shared" si="7"/>
        <v>0.5</v>
      </c>
      <c r="G74" s="81">
        <f t="shared" si="8"/>
        <v>3000</v>
      </c>
      <c r="H74" s="120">
        <f t="shared" si="9"/>
        <v>1500</v>
      </c>
    </row>
    <row r="75" spans="1:8" ht="14.25" customHeight="1" x14ac:dyDescent="0.3">
      <c r="A75" s="270" t="s">
        <v>186</v>
      </c>
      <c r="B75" s="323" t="str">
        <f t="shared" si="6"/>
        <v>Raisin - زبيب</v>
      </c>
      <c r="C75" s="323" t="str">
        <f t="shared" si="6"/>
        <v>gm</v>
      </c>
      <c r="D75" s="323">
        <f t="shared" si="6"/>
        <v>35</v>
      </c>
      <c r="E75" s="197">
        <f t="shared" si="10"/>
        <v>10</v>
      </c>
      <c r="F75" s="127">
        <f t="shared" si="7"/>
        <v>0.5</v>
      </c>
      <c r="G75" s="81">
        <f t="shared" si="8"/>
        <v>350</v>
      </c>
      <c r="H75" s="120">
        <f t="shared" si="9"/>
        <v>175</v>
      </c>
    </row>
    <row r="76" spans="1:8" ht="20.25" customHeight="1" x14ac:dyDescent="0.3">
      <c r="A76" s="211"/>
      <c r="B76" s="198" t="s">
        <v>299</v>
      </c>
      <c r="C76" s="200" t="s">
        <v>285</v>
      </c>
      <c r="D76" s="14"/>
      <c r="E76" s="200" t="s">
        <v>300</v>
      </c>
      <c r="F76" s="14"/>
      <c r="G76" s="890" t="s">
        <v>276</v>
      </c>
      <c r="H76" s="890" t="s">
        <v>733</v>
      </c>
    </row>
    <row r="77" spans="1:8" ht="20" x14ac:dyDescent="0.4">
      <c r="A77" s="211"/>
      <c r="B77" s="199">
        <f>$J$53</f>
        <v>10000</v>
      </c>
      <c r="C77" s="199">
        <f>E77+G77</f>
        <v>0</v>
      </c>
      <c r="D77" s="930"/>
      <c r="E77" s="199">
        <f>$C$53*$S$44</f>
        <v>0</v>
      </c>
      <c r="F77" s="934"/>
      <c r="G77" s="199">
        <f>$C$53*$T$44</f>
        <v>0</v>
      </c>
      <c r="H77" s="199">
        <f>B77+E77</f>
        <v>10000</v>
      </c>
    </row>
    <row r="79" spans="1:8" ht="17.75" customHeight="1" x14ac:dyDescent="0.3">
      <c r="A79" s="322"/>
      <c r="B79" s="1413" t="str">
        <f>"كابلى لحم 2 / " &amp; COUNTIF($H$53:$H$58, "&gt;0")</f>
        <v>كابلى لحم 2 / 4</v>
      </c>
      <c r="C79" s="1421"/>
      <c r="D79" s="1421"/>
      <c r="E79" s="1421"/>
      <c r="F79" s="1421"/>
      <c r="G79" s="1421"/>
      <c r="H79" s="1421"/>
    </row>
    <row r="80" spans="1:8" ht="17.75" customHeight="1" x14ac:dyDescent="0.3">
      <c r="A80" s="322"/>
      <c r="B80" s="1413" t="str">
        <f>"Beef Kabli 2 / " &amp; COUNTIF($H$53:$H$58, "&gt;0")</f>
        <v>Beef Kabli 2 / 4</v>
      </c>
      <c r="C80" s="1421"/>
      <c r="D80" s="1421"/>
      <c r="E80" s="1421"/>
      <c r="F80" s="1421"/>
      <c r="G80" s="1421"/>
      <c r="H80" s="1421"/>
    </row>
    <row r="81" spans="1:8" ht="35.25" customHeight="1" x14ac:dyDescent="0.3">
      <c r="A81" s="91"/>
      <c r="B81" s="91" t="s">
        <v>747</v>
      </c>
      <c r="C81" s="307" t="s">
        <v>329</v>
      </c>
      <c r="D81" s="91" t="s">
        <v>330</v>
      </c>
      <c r="E81" s="108" t="s">
        <v>331</v>
      </c>
      <c r="F81" s="108" t="s">
        <v>332</v>
      </c>
      <c r="G81" s="308" t="s">
        <v>333</v>
      </c>
      <c r="H81" s="109" t="s">
        <v>334</v>
      </c>
    </row>
    <row r="82" spans="1:8" ht="14.25" customHeight="1" x14ac:dyDescent="0.3">
      <c r="A82" s="219" t="s">
        <v>230</v>
      </c>
      <c r="B82" s="323" t="str">
        <f t="shared" ref="B82:D92" si="11">B5</f>
        <v>Indian Meat Alana  - لحم هندى ألانا</v>
      </c>
      <c r="C82" s="323" t="str">
        <f t="shared" si="11"/>
        <v>gm</v>
      </c>
      <c r="D82" s="119">
        <f t="shared" si="11"/>
        <v>1721.7927305910914</v>
      </c>
      <c r="E82" s="197">
        <f t="shared" ref="E82:E92" si="12">$H$54</f>
        <v>10</v>
      </c>
      <c r="F82" s="127">
        <f t="shared" ref="F82:F92" si="13">F5</f>
        <v>1</v>
      </c>
      <c r="G82" s="119">
        <f t="shared" ref="G82:G92" si="14">D82*E82</f>
        <v>17217.927305910915</v>
      </c>
      <c r="H82" s="120">
        <f t="shared" ref="H82:H92" si="15">G82*F82</f>
        <v>17217.927305910915</v>
      </c>
    </row>
    <row r="83" spans="1:8" ht="14.25" customHeight="1" x14ac:dyDescent="0.3">
      <c r="A83" s="270" t="s">
        <v>13</v>
      </c>
      <c r="B83" s="323" t="str">
        <f t="shared" si="11"/>
        <v>Tomato - طماطم</v>
      </c>
      <c r="C83" s="323" t="str">
        <f t="shared" si="11"/>
        <v>gm</v>
      </c>
      <c r="D83" s="323">
        <f t="shared" si="11"/>
        <v>100</v>
      </c>
      <c r="E83" s="197">
        <f t="shared" si="12"/>
        <v>10</v>
      </c>
      <c r="F83" s="127">
        <f t="shared" si="13"/>
        <v>1</v>
      </c>
      <c r="G83" s="119">
        <f t="shared" si="14"/>
        <v>1000</v>
      </c>
      <c r="H83" s="120">
        <f t="shared" si="15"/>
        <v>1000</v>
      </c>
    </row>
    <row r="84" spans="1:8" ht="14.25" customHeight="1" x14ac:dyDescent="0.3">
      <c r="A84" s="270" t="s">
        <v>97</v>
      </c>
      <c r="B84" s="323" t="str">
        <f t="shared" si="11"/>
        <v>Kabsa Spices Powder - توابل كبسة بودر</v>
      </c>
      <c r="C84" s="323" t="str">
        <f t="shared" si="11"/>
        <v>gm</v>
      </c>
      <c r="D84" s="323">
        <f t="shared" si="11"/>
        <v>19</v>
      </c>
      <c r="E84" s="197">
        <f t="shared" si="12"/>
        <v>10</v>
      </c>
      <c r="F84" s="127">
        <f t="shared" si="13"/>
        <v>0.7</v>
      </c>
      <c r="G84" s="119">
        <f t="shared" si="14"/>
        <v>190</v>
      </c>
      <c r="H84" s="120">
        <f t="shared" si="15"/>
        <v>133</v>
      </c>
    </row>
    <row r="85" spans="1:8" ht="14.25" customHeight="1" x14ac:dyDescent="0.3">
      <c r="A85" s="270" t="s">
        <v>97</v>
      </c>
      <c r="B85" s="323" t="str">
        <f t="shared" si="11"/>
        <v>Cumin Powder - كمون مطحون</v>
      </c>
      <c r="C85" s="323" t="str">
        <f t="shared" si="11"/>
        <v>gm</v>
      </c>
      <c r="D85" s="323">
        <f t="shared" si="11"/>
        <v>20</v>
      </c>
      <c r="E85" s="197">
        <f t="shared" si="12"/>
        <v>10</v>
      </c>
      <c r="F85" s="127">
        <f t="shared" si="13"/>
        <v>0.7</v>
      </c>
      <c r="G85" s="119">
        <f t="shared" si="14"/>
        <v>200</v>
      </c>
      <c r="H85" s="120">
        <f t="shared" si="15"/>
        <v>140</v>
      </c>
    </row>
    <row r="86" spans="1:8" ht="14.25" customHeight="1" x14ac:dyDescent="0.3">
      <c r="A86" s="270" t="s">
        <v>196</v>
      </c>
      <c r="B86" s="323" t="str">
        <f t="shared" si="11"/>
        <v>Tomato Paste - صلصة طماطم</v>
      </c>
      <c r="C86" s="323" t="str">
        <f t="shared" si="11"/>
        <v>gm</v>
      </c>
      <c r="D86" s="323">
        <f t="shared" si="11"/>
        <v>130</v>
      </c>
      <c r="E86" s="197">
        <f t="shared" si="12"/>
        <v>10</v>
      </c>
      <c r="F86" s="127">
        <f t="shared" si="13"/>
        <v>0.85</v>
      </c>
      <c r="G86" s="119">
        <f t="shared" si="14"/>
        <v>1300</v>
      </c>
      <c r="H86" s="120">
        <f t="shared" si="15"/>
        <v>1105</v>
      </c>
    </row>
    <row r="87" spans="1:8" ht="14.25" customHeight="1" x14ac:dyDescent="0.3">
      <c r="A87" s="270" t="s">
        <v>13</v>
      </c>
      <c r="B87" s="323" t="str">
        <f t="shared" si="11"/>
        <v>Orange - برتقال</v>
      </c>
      <c r="C87" s="323" t="str">
        <f t="shared" si="11"/>
        <v>gm</v>
      </c>
      <c r="D87" s="323">
        <f t="shared" si="11"/>
        <v>200</v>
      </c>
      <c r="E87" s="197">
        <f t="shared" si="12"/>
        <v>10</v>
      </c>
      <c r="F87" s="127">
        <f t="shared" si="13"/>
        <v>0.85</v>
      </c>
      <c r="G87" s="119">
        <f t="shared" si="14"/>
        <v>2000</v>
      </c>
      <c r="H87" s="120">
        <f t="shared" si="15"/>
        <v>1700</v>
      </c>
    </row>
    <row r="88" spans="1:8" ht="14.25" customHeight="1" x14ac:dyDescent="0.3">
      <c r="A88" s="270" t="s">
        <v>210</v>
      </c>
      <c r="B88" s="323" t="str">
        <f t="shared" si="11"/>
        <v>Rose Water - ماء الورد</v>
      </c>
      <c r="C88" s="323" t="str">
        <f t="shared" si="11"/>
        <v>gm</v>
      </c>
      <c r="D88" s="323">
        <f t="shared" si="11"/>
        <v>35</v>
      </c>
      <c r="E88" s="197">
        <f t="shared" si="12"/>
        <v>10</v>
      </c>
      <c r="F88" s="127">
        <f t="shared" si="13"/>
        <v>0.75</v>
      </c>
      <c r="G88" s="119">
        <f t="shared" si="14"/>
        <v>350</v>
      </c>
      <c r="H88" s="120">
        <f t="shared" si="15"/>
        <v>262.5</v>
      </c>
    </row>
    <row r="89" spans="1:8" ht="14.25" customHeight="1" x14ac:dyDescent="0.3">
      <c r="A89" s="270" t="s">
        <v>210</v>
      </c>
      <c r="B89" s="323" t="str">
        <f t="shared" si="11"/>
        <v>Water - ماء</v>
      </c>
      <c r="C89" s="323" t="str">
        <f t="shared" si="11"/>
        <v>gm</v>
      </c>
      <c r="D89" s="323">
        <f t="shared" si="11"/>
        <v>800</v>
      </c>
      <c r="E89" s="197">
        <f t="shared" si="12"/>
        <v>10</v>
      </c>
      <c r="F89" s="127">
        <f t="shared" si="13"/>
        <v>1</v>
      </c>
      <c r="G89" s="119">
        <f t="shared" si="14"/>
        <v>8000</v>
      </c>
      <c r="H89" s="120">
        <f t="shared" si="15"/>
        <v>8000</v>
      </c>
    </row>
    <row r="90" spans="1:8" ht="14.25" customHeight="1" x14ac:dyDescent="0.3">
      <c r="A90" s="270" t="s">
        <v>13</v>
      </c>
      <c r="B90" s="323" t="str">
        <f t="shared" si="11"/>
        <v>Garlic - ثوم مقشر</v>
      </c>
      <c r="C90" s="323" t="str">
        <f t="shared" si="11"/>
        <v>gm</v>
      </c>
      <c r="D90" s="323">
        <f t="shared" si="11"/>
        <v>30</v>
      </c>
      <c r="E90" s="197">
        <f t="shared" si="12"/>
        <v>10</v>
      </c>
      <c r="F90" s="127">
        <f t="shared" si="13"/>
        <v>0.4</v>
      </c>
      <c r="G90" s="119">
        <f t="shared" si="14"/>
        <v>300</v>
      </c>
      <c r="H90" s="120">
        <f t="shared" si="15"/>
        <v>120</v>
      </c>
    </row>
    <row r="91" spans="1:8" ht="14.25" customHeight="1" x14ac:dyDescent="0.3">
      <c r="A91" s="270" t="s">
        <v>158</v>
      </c>
      <c r="B91" s="323" t="str">
        <f t="shared" si="11"/>
        <v>Yogurt - زبادي</v>
      </c>
      <c r="C91" s="323" t="str">
        <f t="shared" si="11"/>
        <v>gm</v>
      </c>
      <c r="D91" s="323">
        <f t="shared" si="11"/>
        <v>300</v>
      </c>
      <c r="E91" s="197">
        <f t="shared" si="12"/>
        <v>10</v>
      </c>
      <c r="F91" s="127">
        <f t="shared" si="13"/>
        <v>0.5</v>
      </c>
      <c r="G91" s="119">
        <f t="shared" si="14"/>
        <v>3000</v>
      </c>
      <c r="H91" s="120">
        <f t="shared" si="15"/>
        <v>1500</v>
      </c>
    </row>
    <row r="92" spans="1:8" ht="14.25" customHeight="1" x14ac:dyDescent="0.3">
      <c r="A92" s="270" t="s">
        <v>186</v>
      </c>
      <c r="B92" s="323" t="str">
        <f t="shared" si="11"/>
        <v>Raisin - زبيب</v>
      </c>
      <c r="C92" s="323" t="str">
        <f t="shared" si="11"/>
        <v>gm</v>
      </c>
      <c r="D92" s="323">
        <f t="shared" si="11"/>
        <v>35</v>
      </c>
      <c r="E92" s="197">
        <f t="shared" si="12"/>
        <v>10</v>
      </c>
      <c r="F92" s="127">
        <f t="shared" si="13"/>
        <v>0.5</v>
      </c>
      <c r="G92" s="119">
        <f t="shared" si="14"/>
        <v>350</v>
      </c>
      <c r="H92" s="120">
        <f t="shared" si="15"/>
        <v>175</v>
      </c>
    </row>
    <row r="93" spans="1:8" ht="20.25" customHeight="1" x14ac:dyDescent="0.3">
      <c r="A93" s="211"/>
      <c r="B93" s="198" t="s">
        <v>299</v>
      </c>
      <c r="C93" s="200" t="s">
        <v>285</v>
      </c>
      <c r="D93" s="14"/>
      <c r="E93" s="200" t="s">
        <v>300</v>
      </c>
      <c r="F93" s="14"/>
      <c r="G93" s="890" t="s">
        <v>276</v>
      </c>
      <c r="H93" s="890" t="s">
        <v>733</v>
      </c>
    </row>
    <row r="94" spans="1:8" ht="20" x14ac:dyDescent="0.4">
      <c r="A94" s="211"/>
      <c r="B94" s="199">
        <f>$J$54</f>
        <v>10000</v>
      </c>
      <c r="C94" s="199">
        <f>E94+G94</f>
        <v>0</v>
      </c>
      <c r="D94" s="930"/>
      <c r="E94" s="199">
        <f>$C$54*$S$44</f>
        <v>0</v>
      </c>
      <c r="F94" s="934"/>
      <c r="G94" s="199">
        <f>$C$54*$T$44</f>
        <v>0</v>
      </c>
      <c r="H94" s="199">
        <f>B94+E94</f>
        <v>10000</v>
      </c>
    </row>
    <row r="98" spans="1:8" ht="17.75" customHeight="1" x14ac:dyDescent="0.3">
      <c r="A98" s="322"/>
      <c r="B98" s="1413" t="str">
        <f>"كابلى لحم 3 / " &amp; COUNTIF($H$53:$H$58, "&gt;0")</f>
        <v>كابلى لحم 3 / 4</v>
      </c>
      <c r="C98" s="1413"/>
      <c r="D98" s="1413"/>
      <c r="E98" s="1413"/>
      <c r="F98" s="1413"/>
      <c r="G98" s="1413"/>
      <c r="H98" s="1413"/>
    </row>
    <row r="99" spans="1:8" ht="17.75" customHeight="1" x14ac:dyDescent="0.3">
      <c r="A99" s="322"/>
      <c r="B99" s="1382" t="str">
        <f>"Beef Kabli 3 / " &amp; COUNTIF($H$53:$H$58, "&gt;0")</f>
        <v>Beef Kabli 3 / 4</v>
      </c>
      <c r="C99" s="1382"/>
      <c r="D99" s="1382"/>
      <c r="E99" s="1382"/>
      <c r="F99" s="1382"/>
      <c r="G99" s="1382"/>
      <c r="H99" s="1382"/>
    </row>
    <row r="100" spans="1:8" ht="35.25" customHeight="1" x14ac:dyDescent="0.3">
      <c r="A100" s="91"/>
      <c r="B100" s="91" t="s">
        <v>747</v>
      </c>
      <c r="C100" s="307" t="s">
        <v>329</v>
      </c>
      <c r="D100" s="91" t="s">
        <v>330</v>
      </c>
      <c r="E100" s="108" t="s">
        <v>331</v>
      </c>
      <c r="F100" s="108" t="s">
        <v>332</v>
      </c>
      <c r="G100" s="308" t="s">
        <v>333</v>
      </c>
      <c r="H100" s="109" t="s">
        <v>334</v>
      </c>
    </row>
    <row r="101" spans="1:8" ht="14.25" customHeight="1" x14ac:dyDescent="0.3">
      <c r="A101" s="219" t="s">
        <v>230</v>
      </c>
      <c r="B101" s="81" t="str">
        <f t="shared" ref="B101:D111" si="16">B5</f>
        <v>Indian Meat Alana  - لحم هندى ألانا</v>
      </c>
      <c r="C101" s="81" t="str">
        <f t="shared" si="16"/>
        <v>gm</v>
      </c>
      <c r="D101" s="119">
        <f t="shared" si="16"/>
        <v>1721.7927305910914</v>
      </c>
      <c r="E101" s="197">
        <f t="shared" ref="E101:E111" si="17">$H$55</f>
        <v>10</v>
      </c>
      <c r="F101" s="118">
        <f t="shared" ref="F101:F111" si="18">F5</f>
        <v>1</v>
      </c>
      <c r="G101" s="119">
        <f t="shared" ref="G101:G111" si="19">D101*E101</f>
        <v>17217.927305910915</v>
      </c>
      <c r="H101" s="120">
        <f t="shared" ref="H101:H111" si="20">G101*F101</f>
        <v>17217.927305910915</v>
      </c>
    </row>
    <row r="102" spans="1:8" ht="14.25" customHeight="1" x14ac:dyDescent="0.3">
      <c r="A102" s="219" t="s">
        <v>13</v>
      </c>
      <c r="B102" s="81" t="str">
        <f t="shared" si="16"/>
        <v>Tomato - طماطم</v>
      </c>
      <c r="C102" s="81" t="str">
        <f t="shared" si="16"/>
        <v>gm</v>
      </c>
      <c r="D102" s="81">
        <f t="shared" si="16"/>
        <v>100</v>
      </c>
      <c r="E102" s="197">
        <f t="shared" si="17"/>
        <v>10</v>
      </c>
      <c r="F102" s="118">
        <f t="shared" si="18"/>
        <v>1</v>
      </c>
      <c r="G102" s="119">
        <f t="shared" si="19"/>
        <v>1000</v>
      </c>
      <c r="H102" s="120">
        <f t="shared" si="20"/>
        <v>1000</v>
      </c>
    </row>
    <row r="103" spans="1:8" ht="14.25" customHeight="1" x14ac:dyDescent="0.3">
      <c r="A103" s="219" t="s">
        <v>97</v>
      </c>
      <c r="B103" s="81" t="str">
        <f t="shared" si="16"/>
        <v>Kabsa Spices Powder - توابل كبسة بودر</v>
      </c>
      <c r="C103" s="81" t="str">
        <f t="shared" si="16"/>
        <v>gm</v>
      </c>
      <c r="D103" s="81">
        <f t="shared" si="16"/>
        <v>19</v>
      </c>
      <c r="E103" s="197">
        <f t="shared" si="17"/>
        <v>10</v>
      </c>
      <c r="F103" s="118">
        <f t="shared" si="18"/>
        <v>0.7</v>
      </c>
      <c r="G103" s="119">
        <f t="shared" si="19"/>
        <v>190</v>
      </c>
      <c r="H103" s="120">
        <f t="shared" si="20"/>
        <v>133</v>
      </c>
    </row>
    <row r="104" spans="1:8" ht="14.25" customHeight="1" x14ac:dyDescent="0.3">
      <c r="A104" s="219" t="s">
        <v>97</v>
      </c>
      <c r="B104" s="81" t="str">
        <f t="shared" si="16"/>
        <v>Cumin Powder - كمون مطحون</v>
      </c>
      <c r="C104" s="81" t="str">
        <f t="shared" si="16"/>
        <v>gm</v>
      </c>
      <c r="D104" s="81">
        <f t="shared" si="16"/>
        <v>20</v>
      </c>
      <c r="E104" s="197">
        <f t="shared" si="17"/>
        <v>10</v>
      </c>
      <c r="F104" s="118">
        <f t="shared" si="18"/>
        <v>0.7</v>
      </c>
      <c r="G104" s="119">
        <f t="shared" si="19"/>
        <v>200</v>
      </c>
      <c r="H104" s="120">
        <f t="shared" si="20"/>
        <v>140</v>
      </c>
    </row>
    <row r="105" spans="1:8" ht="14.25" customHeight="1" x14ac:dyDescent="0.3">
      <c r="A105" s="219" t="s">
        <v>196</v>
      </c>
      <c r="B105" s="81" t="str">
        <f t="shared" si="16"/>
        <v>Tomato Paste - صلصة طماطم</v>
      </c>
      <c r="C105" s="81" t="str">
        <f t="shared" si="16"/>
        <v>gm</v>
      </c>
      <c r="D105" s="81">
        <f t="shared" si="16"/>
        <v>130</v>
      </c>
      <c r="E105" s="197">
        <f t="shared" si="17"/>
        <v>10</v>
      </c>
      <c r="F105" s="118">
        <f t="shared" si="18"/>
        <v>0.85</v>
      </c>
      <c r="G105" s="119">
        <f t="shared" si="19"/>
        <v>1300</v>
      </c>
      <c r="H105" s="120">
        <f t="shared" si="20"/>
        <v>1105</v>
      </c>
    </row>
    <row r="106" spans="1:8" ht="14.25" customHeight="1" x14ac:dyDescent="0.3">
      <c r="A106" s="219" t="s">
        <v>13</v>
      </c>
      <c r="B106" s="81" t="str">
        <f t="shared" si="16"/>
        <v>Orange - برتقال</v>
      </c>
      <c r="C106" s="81" t="str">
        <f t="shared" si="16"/>
        <v>gm</v>
      </c>
      <c r="D106" s="81">
        <f t="shared" si="16"/>
        <v>200</v>
      </c>
      <c r="E106" s="197">
        <f t="shared" si="17"/>
        <v>10</v>
      </c>
      <c r="F106" s="118">
        <f t="shared" si="18"/>
        <v>0.85</v>
      </c>
      <c r="G106" s="119">
        <f t="shared" si="19"/>
        <v>2000</v>
      </c>
      <c r="H106" s="120">
        <f t="shared" si="20"/>
        <v>1700</v>
      </c>
    </row>
    <row r="107" spans="1:8" ht="14.25" customHeight="1" x14ac:dyDescent="0.3">
      <c r="A107" s="219" t="s">
        <v>210</v>
      </c>
      <c r="B107" s="81" t="str">
        <f t="shared" si="16"/>
        <v>Rose Water - ماء الورد</v>
      </c>
      <c r="C107" s="81" t="str">
        <f t="shared" si="16"/>
        <v>gm</v>
      </c>
      <c r="D107" s="81">
        <f t="shared" si="16"/>
        <v>35</v>
      </c>
      <c r="E107" s="197">
        <f t="shared" si="17"/>
        <v>10</v>
      </c>
      <c r="F107" s="118">
        <f t="shared" si="18"/>
        <v>0.75</v>
      </c>
      <c r="G107" s="119">
        <f t="shared" si="19"/>
        <v>350</v>
      </c>
      <c r="H107" s="120">
        <f t="shared" si="20"/>
        <v>262.5</v>
      </c>
    </row>
    <row r="108" spans="1:8" ht="14.25" customHeight="1" x14ac:dyDescent="0.3">
      <c r="A108" s="219" t="s">
        <v>210</v>
      </c>
      <c r="B108" s="81" t="str">
        <f t="shared" si="16"/>
        <v>Water - ماء</v>
      </c>
      <c r="C108" s="81" t="str">
        <f t="shared" si="16"/>
        <v>gm</v>
      </c>
      <c r="D108" s="81">
        <f t="shared" si="16"/>
        <v>800</v>
      </c>
      <c r="E108" s="197">
        <f t="shared" si="17"/>
        <v>10</v>
      </c>
      <c r="F108" s="118">
        <f t="shared" si="18"/>
        <v>1</v>
      </c>
      <c r="G108" s="119">
        <f t="shared" si="19"/>
        <v>8000</v>
      </c>
      <c r="H108" s="120">
        <f t="shared" si="20"/>
        <v>8000</v>
      </c>
    </row>
    <row r="109" spans="1:8" ht="14.25" customHeight="1" x14ac:dyDescent="0.3">
      <c r="A109" s="219" t="s">
        <v>13</v>
      </c>
      <c r="B109" s="81" t="str">
        <f t="shared" si="16"/>
        <v>Garlic - ثوم مقشر</v>
      </c>
      <c r="C109" s="81" t="str">
        <f t="shared" si="16"/>
        <v>gm</v>
      </c>
      <c r="D109" s="81">
        <f t="shared" si="16"/>
        <v>30</v>
      </c>
      <c r="E109" s="197">
        <f t="shared" si="17"/>
        <v>10</v>
      </c>
      <c r="F109" s="118">
        <f t="shared" si="18"/>
        <v>0.4</v>
      </c>
      <c r="G109" s="119">
        <f t="shared" si="19"/>
        <v>300</v>
      </c>
      <c r="H109" s="120">
        <f t="shared" si="20"/>
        <v>120</v>
      </c>
    </row>
    <row r="110" spans="1:8" ht="14.25" customHeight="1" x14ac:dyDescent="0.3">
      <c r="A110" s="219" t="s">
        <v>158</v>
      </c>
      <c r="B110" s="81" t="str">
        <f t="shared" si="16"/>
        <v>Yogurt - زبادي</v>
      </c>
      <c r="C110" s="81" t="str">
        <f t="shared" si="16"/>
        <v>gm</v>
      </c>
      <c r="D110" s="81">
        <f t="shared" si="16"/>
        <v>300</v>
      </c>
      <c r="E110" s="197">
        <f t="shared" si="17"/>
        <v>10</v>
      </c>
      <c r="F110" s="118">
        <f t="shared" si="18"/>
        <v>0.5</v>
      </c>
      <c r="G110" s="119">
        <f t="shared" si="19"/>
        <v>3000</v>
      </c>
      <c r="H110" s="120">
        <f t="shared" si="20"/>
        <v>1500</v>
      </c>
    </row>
    <row r="111" spans="1:8" ht="14.25" customHeight="1" x14ac:dyDescent="0.3">
      <c r="A111" s="219" t="s">
        <v>186</v>
      </c>
      <c r="B111" s="81" t="str">
        <f t="shared" si="16"/>
        <v>Raisin - زبيب</v>
      </c>
      <c r="C111" s="81" t="str">
        <f t="shared" si="16"/>
        <v>gm</v>
      </c>
      <c r="D111" s="81">
        <f t="shared" si="16"/>
        <v>35</v>
      </c>
      <c r="E111" s="197">
        <f t="shared" si="17"/>
        <v>10</v>
      </c>
      <c r="F111" s="118">
        <f t="shared" si="18"/>
        <v>0.5</v>
      </c>
      <c r="G111" s="119">
        <f t="shared" si="19"/>
        <v>350</v>
      </c>
      <c r="H111" s="120">
        <f t="shared" si="20"/>
        <v>175</v>
      </c>
    </row>
    <row r="112" spans="1:8" ht="20.25" customHeight="1" x14ac:dyDescent="0.3">
      <c r="A112" s="211"/>
      <c r="B112" s="198" t="s">
        <v>299</v>
      </c>
      <c r="C112" s="200" t="s">
        <v>285</v>
      </c>
      <c r="D112" s="14"/>
      <c r="E112" s="200" t="s">
        <v>300</v>
      </c>
      <c r="F112" s="14"/>
      <c r="G112" s="890" t="s">
        <v>276</v>
      </c>
      <c r="H112" s="890" t="s">
        <v>733</v>
      </c>
    </row>
    <row r="113" spans="1:8" ht="20.75" customHeight="1" x14ac:dyDescent="0.4">
      <c r="A113" s="211"/>
      <c r="B113" s="199">
        <f>$J$55</f>
        <v>10000</v>
      </c>
      <c r="C113" s="199">
        <f>E113+G113</f>
        <v>0</v>
      </c>
      <c r="D113" s="930"/>
      <c r="E113" s="199">
        <f>$C$55*$S$44</f>
        <v>0</v>
      </c>
      <c r="F113" s="934"/>
      <c r="G113" s="199">
        <f>$C$55*$T$44</f>
        <v>0</v>
      </c>
      <c r="H113" s="199">
        <f>B113+E113</f>
        <v>10000</v>
      </c>
    </row>
    <row r="115" spans="1:8" ht="17.75" customHeight="1" x14ac:dyDescent="0.3">
      <c r="A115" s="322"/>
      <c r="B115" s="1413" t="str">
        <f>"كابلى لحم 4 / " &amp; COUNTIF($H$53:$H$58, "&gt;0")</f>
        <v>كابلى لحم 4 / 4</v>
      </c>
      <c r="C115" s="1421"/>
      <c r="D115" s="1421"/>
      <c r="E115" s="1421"/>
      <c r="F115" s="1421"/>
      <c r="G115" s="1421"/>
      <c r="H115" s="1421"/>
    </row>
    <row r="116" spans="1:8" ht="17.75" customHeight="1" x14ac:dyDescent="0.3">
      <c r="A116" s="322"/>
      <c r="B116" s="1413" t="str">
        <f>"Beef Kabli 4 / " &amp; COUNTIF($H$53:$H$58, "&gt;0")</f>
        <v>Beef Kabli 4 / 4</v>
      </c>
      <c r="C116" s="1421"/>
      <c r="D116" s="1421"/>
      <c r="E116" s="1421"/>
      <c r="F116" s="1421"/>
      <c r="G116" s="1421"/>
      <c r="H116" s="1421"/>
    </row>
    <row r="117" spans="1:8" ht="35.25" customHeight="1" x14ac:dyDescent="0.3">
      <c r="A117" s="91"/>
      <c r="B117" s="91" t="s">
        <v>747</v>
      </c>
      <c r="C117" s="307" t="s">
        <v>329</v>
      </c>
      <c r="D117" s="91" t="s">
        <v>330</v>
      </c>
      <c r="E117" s="108" t="s">
        <v>331</v>
      </c>
      <c r="F117" s="108" t="s">
        <v>332</v>
      </c>
      <c r="G117" s="308" t="s">
        <v>333</v>
      </c>
      <c r="H117" s="109" t="s">
        <v>334</v>
      </c>
    </row>
    <row r="118" spans="1:8" ht="14.25" customHeight="1" x14ac:dyDescent="0.3">
      <c r="A118" s="219" t="s">
        <v>230</v>
      </c>
      <c r="B118" s="81" t="str">
        <f t="shared" ref="B118:D128" si="21">B5</f>
        <v>Indian Meat Alana  - لحم هندى ألانا</v>
      </c>
      <c r="C118" s="81" t="str">
        <f t="shared" si="21"/>
        <v>gm</v>
      </c>
      <c r="D118" s="119">
        <f t="shared" si="21"/>
        <v>1721.7927305910914</v>
      </c>
      <c r="E118" s="197">
        <f t="shared" ref="E118:E128" si="22">$H$56</f>
        <v>2.6199999999999974</v>
      </c>
      <c r="F118" s="118">
        <f t="shared" ref="F118:F128" si="23">F5</f>
        <v>1</v>
      </c>
      <c r="G118" s="119">
        <f t="shared" ref="G118:G128" si="24">D118*E118</f>
        <v>4511.0969541486547</v>
      </c>
      <c r="H118" s="120">
        <f t="shared" ref="H118:H128" si="25">G118*F118</f>
        <v>4511.0969541486547</v>
      </c>
    </row>
    <row r="119" spans="1:8" ht="14.25" customHeight="1" x14ac:dyDescent="0.3">
      <c r="A119" s="219" t="s">
        <v>13</v>
      </c>
      <c r="B119" s="81" t="str">
        <f t="shared" si="21"/>
        <v>Tomato - طماطم</v>
      </c>
      <c r="C119" s="81" t="str">
        <f t="shared" si="21"/>
        <v>gm</v>
      </c>
      <c r="D119" s="81">
        <f t="shared" si="21"/>
        <v>100</v>
      </c>
      <c r="E119" s="197">
        <f t="shared" si="22"/>
        <v>2.6199999999999974</v>
      </c>
      <c r="F119" s="118">
        <f t="shared" si="23"/>
        <v>1</v>
      </c>
      <c r="G119" s="119">
        <f t="shared" si="24"/>
        <v>261.99999999999977</v>
      </c>
      <c r="H119" s="120">
        <f t="shared" si="25"/>
        <v>261.99999999999977</v>
      </c>
    </row>
    <row r="120" spans="1:8" ht="14.25" customHeight="1" x14ac:dyDescent="0.3">
      <c r="A120" s="219" t="s">
        <v>97</v>
      </c>
      <c r="B120" s="81" t="str">
        <f t="shared" si="21"/>
        <v>Kabsa Spices Powder - توابل كبسة بودر</v>
      </c>
      <c r="C120" s="81" t="str">
        <f t="shared" si="21"/>
        <v>gm</v>
      </c>
      <c r="D120" s="81">
        <f t="shared" si="21"/>
        <v>19</v>
      </c>
      <c r="E120" s="197">
        <f t="shared" si="22"/>
        <v>2.6199999999999974</v>
      </c>
      <c r="F120" s="118">
        <f t="shared" si="23"/>
        <v>0.7</v>
      </c>
      <c r="G120" s="119">
        <f t="shared" si="24"/>
        <v>49.779999999999951</v>
      </c>
      <c r="H120" s="120">
        <f t="shared" si="25"/>
        <v>34.845999999999961</v>
      </c>
    </row>
    <row r="121" spans="1:8" ht="14.25" customHeight="1" x14ac:dyDescent="0.3">
      <c r="A121" s="219" t="s">
        <v>97</v>
      </c>
      <c r="B121" s="81" t="str">
        <f t="shared" si="21"/>
        <v>Cumin Powder - كمون مطحون</v>
      </c>
      <c r="C121" s="81" t="str">
        <f t="shared" si="21"/>
        <v>gm</v>
      </c>
      <c r="D121" s="81">
        <f t="shared" si="21"/>
        <v>20</v>
      </c>
      <c r="E121" s="197">
        <f t="shared" si="22"/>
        <v>2.6199999999999974</v>
      </c>
      <c r="F121" s="118">
        <f t="shared" si="23"/>
        <v>0.7</v>
      </c>
      <c r="G121" s="119">
        <f t="shared" si="24"/>
        <v>52.399999999999949</v>
      </c>
      <c r="H121" s="120">
        <f t="shared" si="25"/>
        <v>36.679999999999964</v>
      </c>
    </row>
    <row r="122" spans="1:8" ht="14.25" customHeight="1" x14ac:dyDescent="0.3">
      <c r="A122" s="219" t="s">
        <v>196</v>
      </c>
      <c r="B122" s="81" t="str">
        <f t="shared" si="21"/>
        <v>Tomato Paste - صلصة طماطم</v>
      </c>
      <c r="C122" s="81" t="str">
        <f t="shared" si="21"/>
        <v>gm</v>
      </c>
      <c r="D122" s="81">
        <f t="shared" si="21"/>
        <v>130</v>
      </c>
      <c r="E122" s="197">
        <f t="shared" si="22"/>
        <v>2.6199999999999974</v>
      </c>
      <c r="F122" s="118">
        <f t="shared" si="23"/>
        <v>0.85</v>
      </c>
      <c r="G122" s="119">
        <f t="shared" si="24"/>
        <v>340.59999999999968</v>
      </c>
      <c r="H122" s="120">
        <f t="shared" si="25"/>
        <v>289.50999999999971</v>
      </c>
    </row>
    <row r="123" spans="1:8" ht="14.25" customHeight="1" x14ac:dyDescent="0.3">
      <c r="A123" s="219" t="s">
        <v>13</v>
      </c>
      <c r="B123" s="81" t="str">
        <f t="shared" si="21"/>
        <v>Orange - برتقال</v>
      </c>
      <c r="C123" s="81" t="str">
        <f t="shared" si="21"/>
        <v>gm</v>
      </c>
      <c r="D123" s="81">
        <f t="shared" si="21"/>
        <v>200</v>
      </c>
      <c r="E123" s="197">
        <f t="shared" si="22"/>
        <v>2.6199999999999974</v>
      </c>
      <c r="F123" s="118">
        <f t="shared" si="23"/>
        <v>0.85</v>
      </c>
      <c r="G123" s="119">
        <f t="shared" si="24"/>
        <v>523.99999999999955</v>
      </c>
      <c r="H123" s="120">
        <f t="shared" si="25"/>
        <v>445.39999999999958</v>
      </c>
    </row>
    <row r="124" spans="1:8" ht="14.25" customHeight="1" x14ac:dyDescent="0.3">
      <c r="A124" s="219" t="s">
        <v>210</v>
      </c>
      <c r="B124" s="81" t="str">
        <f t="shared" si="21"/>
        <v>Rose Water - ماء الورد</v>
      </c>
      <c r="C124" s="81" t="str">
        <f t="shared" si="21"/>
        <v>gm</v>
      </c>
      <c r="D124" s="81">
        <f t="shared" si="21"/>
        <v>35</v>
      </c>
      <c r="E124" s="197">
        <f t="shared" si="22"/>
        <v>2.6199999999999974</v>
      </c>
      <c r="F124" s="118">
        <f t="shared" si="23"/>
        <v>0.75</v>
      </c>
      <c r="G124" s="119">
        <f t="shared" si="24"/>
        <v>91.699999999999903</v>
      </c>
      <c r="H124" s="120">
        <f t="shared" si="25"/>
        <v>68.77499999999992</v>
      </c>
    </row>
    <row r="125" spans="1:8" ht="14.25" customHeight="1" x14ac:dyDescent="0.3">
      <c r="A125" s="219" t="s">
        <v>210</v>
      </c>
      <c r="B125" s="81" t="str">
        <f t="shared" si="21"/>
        <v>Water - ماء</v>
      </c>
      <c r="C125" s="81" t="str">
        <f t="shared" si="21"/>
        <v>gm</v>
      </c>
      <c r="D125" s="81">
        <f t="shared" si="21"/>
        <v>800</v>
      </c>
      <c r="E125" s="197">
        <f t="shared" si="22"/>
        <v>2.6199999999999974</v>
      </c>
      <c r="F125" s="118">
        <f t="shared" si="23"/>
        <v>1</v>
      </c>
      <c r="G125" s="119">
        <f t="shared" si="24"/>
        <v>2095.9999999999982</v>
      </c>
      <c r="H125" s="120">
        <f t="shared" si="25"/>
        <v>2095.9999999999982</v>
      </c>
    </row>
    <row r="126" spans="1:8" ht="14.25" customHeight="1" x14ac:dyDescent="0.3">
      <c r="A126" s="219" t="s">
        <v>13</v>
      </c>
      <c r="B126" s="81" t="str">
        <f t="shared" si="21"/>
        <v>Garlic - ثوم مقشر</v>
      </c>
      <c r="C126" s="81" t="str">
        <f t="shared" si="21"/>
        <v>gm</v>
      </c>
      <c r="D126" s="81">
        <f t="shared" si="21"/>
        <v>30</v>
      </c>
      <c r="E126" s="197">
        <f t="shared" si="22"/>
        <v>2.6199999999999974</v>
      </c>
      <c r="F126" s="118">
        <f t="shared" si="23"/>
        <v>0.4</v>
      </c>
      <c r="G126" s="119">
        <f t="shared" si="24"/>
        <v>78.599999999999923</v>
      </c>
      <c r="H126" s="120">
        <f t="shared" si="25"/>
        <v>31.439999999999969</v>
      </c>
    </row>
    <row r="127" spans="1:8" ht="14.25" customHeight="1" x14ac:dyDescent="0.3">
      <c r="A127" s="219" t="s">
        <v>158</v>
      </c>
      <c r="B127" s="81" t="str">
        <f t="shared" si="21"/>
        <v>Yogurt - زبادي</v>
      </c>
      <c r="C127" s="81" t="str">
        <f t="shared" si="21"/>
        <v>gm</v>
      </c>
      <c r="D127" s="81">
        <f t="shared" si="21"/>
        <v>300</v>
      </c>
      <c r="E127" s="197">
        <f t="shared" si="22"/>
        <v>2.6199999999999974</v>
      </c>
      <c r="F127" s="118">
        <f t="shared" si="23"/>
        <v>0.5</v>
      </c>
      <c r="G127" s="119">
        <f t="shared" si="24"/>
        <v>785.9999999999992</v>
      </c>
      <c r="H127" s="120">
        <f t="shared" si="25"/>
        <v>392.9999999999996</v>
      </c>
    </row>
    <row r="128" spans="1:8" ht="14.25" customHeight="1" x14ac:dyDescent="0.3">
      <c r="A128" s="219" t="s">
        <v>186</v>
      </c>
      <c r="B128" s="81" t="str">
        <f t="shared" si="21"/>
        <v>Raisin - زبيب</v>
      </c>
      <c r="C128" s="81" t="str">
        <f t="shared" si="21"/>
        <v>gm</v>
      </c>
      <c r="D128" s="81">
        <f t="shared" si="21"/>
        <v>35</v>
      </c>
      <c r="E128" s="197">
        <f t="shared" si="22"/>
        <v>2.6199999999999974</v>
      </c>
      <c r="F128" s="118">
        <f t="shared" si="23"/>
        <v>0.5</v>
      </c>
      <c r="G128" s="119">
        <f t="shared" si="24"/>
        <v>91.699999999999903</v>
      </c>
      <c r="H128" s="120">
        <f t="shared" si="25"/>
        <v>45.849999999999952</v>
      </c>
    </row>
    <row r="129" spans="1:8" ht="20.25" customHeight="1" x14ac:dyDescent="0.3">
      <c r="A129" s="211"/>
      <c r="B129" s="198" t="s">
        <v>299</v>
      </c>
      <c r="C129" s="200" t="s">
        <v>285</v>
      </c>
      <c r="D129" s="14"/>
      <c r="E129" s="200" t="s">
        <v>300</v>
      </c>
      <c r="F129" s="14"/>
      <c r="G129" s="890" t="s">
        <v>276</v>
      </c>
      <c r="H129" s="890" t="s">
        <v>733</v>
      </c>
    </row>
    <row r="130" spans="1:8" ht="20" x14ac:dyDescent="0.4">
      <c r="A130" s="211"/>
      <c r="B130" s="199">
        <f>$J$56</f>
        <v>2620</v>
      </c>
      <c r="C130" s="199">
        <f>E130+G130</f>
        <v>0</v>
      </c>
      <c r="D130" s="930"/>
      <c r="E130" s="199">
        <f>$C$55*$S$44</f>
        <v>0</v>
      </c>
      <c r="F130" s="934"/>
      <c r="G130" s="199">
        <f>$C$55*$T$44</f>
        <v>0</v>
      </c>
      <c r="H130" s="199">
        <f>B130+E130</f>
        <v>2620</v>
      </c>
    </row>
    <row r="132" spans="1:8" ht="18" x14ac:dyDescent="0.3">
      <c r="A132" s="322"/>
      <c r="B132" s="1413" t="str">
        <f>"كابلى لحم 5 / " &amp; COUNTIF($H$53:$H$58, "&gt;0")</f>
        <v>كابلى لحم 5 / 4</v>
      </c>
      <c r="C132" s="1422"/>
      <c r="D132" s="1422"/>
      <c r="E132" s="1422"/>
      <c r="F132" s="1422"/>
      <c r="G132" s="1422"/>
      <c r="H132" s="1422"/>
    </row>
    <row r="133" spans="1:8" ht="18" x14ac:dyDescent="0.3">
      <c r="A133" s="322"/>
      <c r="B133" s="1413" t="str">
        <f>"Beef Kabli 5 / " &amp; COUNTIF($H$53:$H$58, "&gt;0")</f>
        <v>Beef Kabli 5 / 4</v>
      </c>
      <c r="C133" s="1422"/>
      <c r="D133" s="1422"/>
      <c r="E133" s="1422"/>
      <c r="F133" s="1422"/>
      <c r="G133" s="1422"/>
      <c r="H133" s="1422"/>
    </row>
    <row r="134" spans="1:8" ht="39" x14ac:dyDescent="0.3">
      <c r="A134" s="91"/>
      <c r="B134" s="91" t="s">
        <v>747</v>
      </c>
      <c r="C134" s="307" t="s">
        <v>329</v>
      </c>
      <c r="D134" s="91" t="s">
        <v>330</v>
      </c>
      <c r="E134" s="108" t="s">
        <v>331</v>
      </c>
      <c r="F134" s="108" t="s">
        <v>332</v>
      </c>
      <c r="G134" s="308" t="s">
        <v>333</v>
      </c>
      <c r="H134" s="109" t="s">
        <v>334</v>
      </c>
    </row>
    <row r="135" spans="1:8" x14ac:dyDescent="0.3">
      <c r="A135" s="219" t="s">
        <v>230</v>
      </c>
      <c r="B135" s="81" t="str">
        <f t="shared" ref="B135:D145" si="26">B5</f>
        <v>Indian Meat Alana  - لحم هندى ألانا</v>
      </c>
      <c r="C135" s="81" t="str">
        <f t="shared" si="26"/>
        <v>gm</v>
      </c>
      <c r="D135" s="119">
        <f t="shared" si="26"/>
        <v>1721.7927305910914</v>
      </c>
      <c r="E135" s="197">
        <f t="shared" ref="E135:E145" si="27">$H$57</f>
        <v>0</v>
      </c>
      <c r="F135" s="118">
        <f>F5</f>
        <v>1</v>
      </c>
      <c r="G135" s="119">
        <f t="shared" ref="G135:G145" si="28">D135*E135</f>
        <v>0</v>
      </c>
      <c r="H135" s="120">
        <f t="shared" ref="H135:H145" si="29">G135*F135</f>
        <v>0</v>
      </c>
    </row>
    <row r="136" spans="1:8" x14ac:dyDescent="0.3">
      <c r="A136" s="219" t="s">
        <v>13</v>
      </c>
      <c r="B136" s="81" t="str">
        <f t="shared" si="26"/>
        <v>Tomato - طماطم</v>
      </c>
      <c r="C136" s="81" t="str">
        <f t="shared" si="26"/>
        <v>gm</v>
      </c>
      <c r="D136" s="81">
        <f t="shared" si="26"/>
        <v>100</v>
      </c>
      <c r="E136" s="197">
        <f t="shared" si="27"/>
        <v>0</v>
      </c>
      <c r="F136" s="118">
        <f t="shared" ref="F136:F145" si="30">F6</f>
        <v>1</v>
      </c>
      <c r="G136" s="119">
        <f t="shared" si="28"/>
        <v>0</v>
      </c>
      <c r="H136" s="120">
        <f t="shared" si="29"/>
        <v>0</v>
      </c>
    </row>
    <row r="137" spans="1:8" x14ac:dyDescent="0.3">
      <c r="A137" s="219" t="s">
        <v>97</v>
      </c>
      <c r="B137" s="81" t="str">
        <f t="shared" si="26"/>
        <v>Kabsa Spices Powder - توابل كبسة بودر</v>
      </c>
      <c r="C137" s="81" t="str">
        <f t="shared" si="26"/>
        <v>gm</v>
      </c>
      <c r="D137" s="81">
        <f t="shared" si="26"/>
        <v>19</v>
      </c>
      <c r="E137" s="197">
        <f t="shared" si="27"/>
        <v>0</v>
      </c>
      <c r="F137" s="118">
        <f t="shared" si="30"/>
        <v>0.7</v>
      </c>
      <c r="G137" s="119">
        <f t="shared" si="28"/>
        <v>0</v>
      </c>
      <c r="H137" s="120">
        <f t="shared" si="29"/>
        <v>0</v>
      </c>
    </row>
    <row r="138" spans="1:8" x14ac:dyDescent="0.3">
      <c r="A138" s="219" t="s">
        <v>97</v>
      </c>
      <c r="B138" s="81" t="str">
        <f t="shared" si="26"/>
        <v>Cumin Powder - كمون مطحون</v>
      </c>
      <c r="C138" s="81" t="str">
        <f t="shared" si="26"/>
        <v>gm</v>
      </c>
      <c r="D138" s="81">
        <f t="shared" si="26"/>
        <v>20</v>
      </c>
      <c r="E138" s="197">
        <f t="shared" si="27"/>
        <v>0</v>
      </c>
      <c r="F138" s="118">
        <f t="shared" si="30"/>
        <v>0.7</v>
      </c>
      <c r="G138" s="119">
        <f t="shared" si="28"/>
        <v>0</v>
      </c>
      <c r="H138" s="120">
        <f t="shared" si="29"/>
        <v>0</v>
      </c>
    </row>
    <row r="139" spans="1:8" x14ac:dyDescent="0.3">
      <c r="A139" s="219" t="s">
        <v>196</v>
      </c>
      <c r="B139" s="81" t="str">
        <f t="shared" si="26"/>
        <v>Tomato Paste - صلصة طماطم</v>
      </c>
      <c r="C139" s="81" t="str">
        <f t="shared" si="26"/>
        <v>gm</v>
      </c>
      <c r="D139" s="81">
        <f t="shared" si="26"/>
        <v>130</v>
      </c>
      <c r="E139" s="197">
        <f t="shared" si="27"/>
        <v>0</v>
      </c>
      <c r="F139" s="118">
        <f t="shared" si="30"/>
        <v>0.85</v>
      </c>
      <c r="G139" s="119">
        <f t="shared" si="28"/>
        <v>0</v>
      </c>
      <c r="H139" s="120">
        <f t="shared" si="29"/>
        <v>0</v>
      </c>
    </row>
    <row r="140" spans="1:8" x14ac:dyDescent="0.3">
      <c r="A140" s="219" t="s">
        <v>13</v>
      </c>
      <c r="B140" s="81" t="str">
        <f t="shared" si="26"/>
        <v>Orange - برتقال</v>
      </c>
      <c r="C140" s="81" t="str">
        <f t="shared" si="26"/>
        <v>gm</v>
      </c>
      <c r="D140" s="81">
        <f t="shared" si="26"/>
        <v>200</v>
      </c>
      <c r="E140" s="197">
        <f t="shared" si="27"/>
        <v>0</v>
      </c>
      <c r="F140" s="118">
        <f t="shared" si="30"/>
        <v>0.85</v>
      </c>
      <c r="G140" s="119">
        <f t="shared" si="28"/>
        <v>0</v>
      </c>
      <c r="H140" s="120">
        <f t="shared" si="29"/>
        <v>0</v>
      </c>
    </row>
    <row r="141" spans="1:8" x14ac:dyDescent="0.3">
      <c r="A141" s="219" t="s">
        <v>210</v>
      </c>
      <c r="B141" s="81" t="str">
        <f t="shared" si="26"/>
        <v>Rose Water - ماء الورد</v>
      </c>
      <c r="C141" s="81" t="str">
        <f t="shared" si="26"/>
        <v>gm</v>
      </c>
      <c r="D141" s="81">
        <f t="shared" si="26"/>
        <v>35</v>
      </c>
      <c r="E141" s="197">
        <f t="shared" si="27"/>
        <v>0</v>
      </c>
      <c r="F141" s="118">
        <f t="shared" si="30"/>
        <v>0.75</v>
      </c>
      <c r="G141" s="119">
        <f t="shared" si="28"/>
        <v>0</v>
      </c>
      <c r="H141" s="120">
        <f t="shared" si="29"/>
        <v>0</v>
      </c>
    </row>
    <row r="142" spans="1:8" x14ac:dyDescent="0.3">
      <c r="A142" s="219" t="s">
        <v>210</v>
      </c>
      <c r="B142" s="81" t="str">
        <f t="shared" si="26"/>
        <v>Water - ماء</v>
      </c>
      <c r="C142" s="81" t="str">
        <f t="shared" si="26"/>
        <v>gm</v>
      </c>
      <c r="D142" s="81">
        <f t="shared" si="26"/>
        <v>800</v>
      </c>
      <c r="E142" s="197">
        <f t="shared" si="27"/>
        <v>0</v>
      </c>
      <c r="F142" s="118">
        <f t="shared" si="30"/>
        <v>1</v>
      </c>
      <c r="G142" s="119">
        <f t="shared" si="28"/>
        <v>0</v>
      </c>
      <c r="H142" s="120">
        <f t="shared" si="29"/>
        <v>0</v>
      </c>
    </row>
    <row r="143" spans="1:8" x14ac:dyDescent="0.3">
      <c r="A143" s="219" t="s">
        <v>13</v>
      </c>
      <c r="B143" s="81" t="str">
        <f t="shared" si="26"/>
        <v>Garlic - ثوم مقشر</v>
      </c>
      <c r="C143" s="81" t="str">
        <f t="shared" si="26"/>
        <v>gm</v>
      </c>
      <c r="D143" s="81">
        <f t="shared" si="26"/>
        <v>30</v>
      </c>
      <c r="E143" s="197">
        <f t="shared" si="27"/>
        <v>0</v>
      </c>
      <c r="F143" s="118">
        <f t="shared" si="30"/>
        <v>0.4</v>
      </c>
      <c r="G143" s="119">
        <f t="shared" si="28"/>
        <v>0</v>
      </c>
      <c r="H143" s="120">
        <f t="shared" si="29"/>
        <v>0</v>
      </c>
    </row>
    <row r="144" spans="1:8" x14ac:dyDescent="0.3">
      <c r="A144" s="219" t="s">
        <v>158</v>
      </c>
      <c r="B144" s="81" t="str">
        <f t="shared" si="26"/>
        <v>Yogurt - زبادي</v>
      </c>
      <c r="C144" s="81" t="str">
        <f t="shared" si="26"/>
        <v>gm</v>
      </c>
      <c r="D144" s="81">
        <f t="shared" si="26"/>
        <v>300</v>
      </c>
      <c r="E144" s="197">
        <f t="shared" si="27"/>
        <v>0</v>
      </c>
      <c r="F144" s="118">
        <f t="shared" si="30"/>
        <v>0.5</v>
      </c>
      <c r="G144" s="119">
        <f t="shared" si="28"/>
        <v>0</v>
      </c>
      <c r="H144" s="120">
        <f t="shared" si="29"/>
        <v>0</v>
      </c>
    </row>
    <row r="145" spans="1:8" x14ac:dyDescent="0.3">
      <c r="A145" s="219" t="s">
        <v>186</v>
      </c>
      <c r="B145" s="81" t="str">
        <f t="shared" si="26"/>
        <v>Raisin - زبيب</v>
      </c>
      <c r="C145" s="81" t="str">
        <f t="shared" si="26"/>
        <v>gm</v>
      </c>
      <c r="D145" s="81">
        <f t="shared" si="26"/>
        <v>35</v>
      </c>
      <c r="E145" s="197">
        <f t="shared" si="27"/>
        <v>0</v>
      </c>
      <c r="F145" s="118">
        <f t="shared" si="30"/>
        <v>0.5</v>
      </c>
      <c r="G145" s="119">
        <f t="shared" si="28"/>
        <v>0</v>
      </c>
      <c r="H145" s="120">
        <f t="shared" si="29"/>
        <v>0</v>
      </c>
    </row>
    <row r="146" spans="1:8" ht="18" x14ac:dyDescent="0.3">
      <c r="A146" s="211"/>
      <c r="B146" s="198" t="s">
        <v>299</v>
      </c>
      <c r="C146" s="200" t="s">
        <v>285</v>
      </c>
      <c r="D146" s="14"/>
      <c r="E146" s="200" t="s">
        <v>300</v>
      </c>
      <c r="F146" s="14"/>
      <c r="G146" s="890" t="s">
        <v>276</v>
      </c>
      <c r="H146" s="890" t="s">
        <v>733</v>
      </c>
    </row>
    <row r="147" spans="1:8" ht="20" x14ac:dyDescent="0.4">
      <c r="A147" s="211"/>
      <c r="B147" s="199">
        <f>$J$57</f>
        <v>0</v>
      </c>
      <c r="C147" s="199">
        <f>E147+G147</f>
        <v>0</v>
      </c>
      <c r="D147" s="930"/>
      <c r="E147" s="199">
        <f>$C$55*$S$44</f>
        <v>0</v>
      </c>
      <c r="F147" s="934"/>
      <c r="G147" s="199">
        <f>$C$55*$T$44</f>
        <v>0</v>
      </c>
      <c r="H147" s="199">
        <f>B147+E147</f>
        <v>0</v>
      </c>
    </row>
  </sheetData>
  <mergeCells count="15">
    <mergeCell ref="B116:H116"/>
    <mergeCell ref="B132:H132"/>
    <mergeCell ref="B133:H133"/>
    <mergeCell ref="B63:H63"/>
    <mergeCell ref="B79:H79"/>
    <mergeCell ref="B80:H80"/>
    <mergeCell ref="B98:H98"/>
    <mergeCell ref="B99:H99"/>
    <mergeCell ref="B115:H115"/>
    <mergeCell ref="B62:H62"/>
    <mergeCell ref="B2:K3"/>
    <mergeCell ref="AE2:AG3"/>
    <mergeCell ref="R25:T25"/>
    <mergeCell ref="R26:T26"/>
    <mergeCell ref="B35:F35"/>
  </mergeCells>
  <printOptions horizontalCentered="1"/>
  <pageMargins left="0.5" right="0.5" top="1" bottom="0.5" header="0.3" footer="0.511811023622047"/>
  <pageSetup paperSize="9" scale="27" orientation="portrait" r:id="rId1"/>
  <legacy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A41A1-5A6F-4B86-B2F7-92AB0543EBD4}">
  <sheetPr codeName="Sheet86">
    <tabColor rgb="FFFFFF00"/>
    <outlinePr summaryBelow="0" summaryRight="0"/>
    <pageSetUpPr fitToPage="1"/>
  </sheetPr>
  <dimension ref="A1:AD962"/>
  <sheetViews>
    <sheetView topLeftCell="I1" zoomScale="70" zoomScaleNormal="70" zoomScaleSheetLayoutView="55" workbookViewId="0">
      <selection activeCell="Z24" sqref="Z24"/>
    </sheetView>
  </sheetViews>
  <sheetFormatPr defaultColWidth="12.5" defaultRowHeight="13" x14ac:dyDescent="0.3"/>
  <cols>
    <col min="1" max="1" width="12.5" style="667"/>
    <col min="2" max="2" width="31.33203125" style="667" bestFit="1" customWidth="1"/>
    <col min="3" max="3" width="24" style="667" customWidth="1"/>
    <col min="4" max="4" width="19" style="667" customWidth="1"/>
    <col min="5" max="5" width="16.1640625" style="667" bestFit="1" customWidth="1"/>
    <col min="6" max="6" width="23" style="667" customWidth="1"/>
    <col min="7" max="7" width="25.1640625" style="667" customWidth="1"/>
    <col min="8" max="8" width="36.1640625" style="667" bestFit="1" customWidth="1"/>
    <col min="9" max="10" width="12.5" style="667"/>
    <col min="11" max="11" width="7.08203125" style="667" customWidth="1"/>
    <col min="12" max="12" width="8.33203125" style="667" customWidth="1"/>
    <col min="13" max="17" width="2.4140625" style="667" customWidth="1"/>
    <col min="18" max="16384" width="12.5" style="667"/>
  </cols>
  <sheetData>
    <row r="1" spans="1:30" ht="28.5" customHeight="1" x14ac:dyDescent="0.3">
      <c r="A1" s="14"/>
      <c r="B1" s="658" t="s">
        <v>243</v>
      </c>
      <c r="C1" s="663">
        <v>1000</v>
      </c>
      <c r="D1" s="664" t="s">
        <v>244</v>
      </c>
      <c r="E1" s="665">
        <f>S29</f>
        <v>34270</v>
      </c>
      <c r="F1" s="658" t="s">
        <v>245</v>
      </c>
      <c r="G1" s="665">
        <f>E1/C1</f>
        <v>34.270000000000003</v>
      </c>
      <c r="H1" s="658" t="s">
        <v>246</v>
      </c>
      <c r="I1" s="770">
        <f>G1/K1</f>
        <v>33.930693069306933</v>
      </c>
      <c r="J1" s="771" t="s">
        <v>247</v>
      </c>
      <c r="K1" s="772">
        <v>1.01</v>
      </c>
      <c r="L1" s="666"/>
      <c r="M1" s="666"/>
      <c r="N1" s="666"/>
      <c r="O1" s="666"/>
      <c r="P1" s="666"/>
      <c r="Q1" s="666"/>
      <c r="R1" s="666"/>
      <c r="S1" s="666"/>
      <c r="T1" s="666"/>
      <c r="U1" s="666"/>
      <c r="V1" s="666"/>
      <c r="Y1" s="91" t="s">
        <v>479</v>
      </c>
      <c r="Z1" s="847">
        <v>34270</v>
      </c>
      <c r="AA1" s="91" t="s">
        <v>600</v>
      </c>
      <c r="AB1" s="847">
        <v>0</v>
      </c>
      <c r="AC1" s="91" t="s">
        <v>587</v>
      </c>
      <c r="AD1" s="847">
        <v>225</v>
      </c>
    </row>
    <row r="2" spans="1:30" ht="12.75" customHeight="1" x14ac:dyDescent="0.3">
      <c r="A2" s="330"/>
      <c r="B2" s="1441" t="s">
        <v>554</v>
      </c>
      <c r="C2" s="1441"/>
      <c r="D2" s="1441"/>
      <c r="E2" s="1441"/>
      <c r="F2" s="1441"/>
      <c r="G2" s="1441"/>
      <c r="H2" s="1441"/>
      <c r="I2" s="773"/>
      <c r="J2" s="773"/>
      <c r="K2" s="773"/>
      <c r="L2" s="666"/>
      <c r="M2" s="666"/>
      <c r="N2" s="666"/>
      <c r="O2" s="666"/>
      <c r="P2" s="666"/>
      <c r="Q2" s="666"/>
      <c r="R2" s="666"/>
      <c r="S2" s="666"/>
      <c r="T2" s="666"/>
      <c r="U2" s="666"/>
    </row>
    <row r="3" spans="1:30" ht="12.75" customHeight="1" x14ac:dyDescent="0.3">
      <c r="A3" s="330"/>
      <c r="B3" s="1442"/>
      <c r="C3" s="1442"/>
      <c r="D3" s="1442"/>
      <c r="E3" s="1442"/>
      <c r="F3" s="1442"/>
      <c r="G3" s="1442"/>
      <c r="H3" s="1442"/>
      <c r="I3" s="773"/>
      <c r="J3" s="773"/>
      <c r="K3" s="773"/>
      <c r="L3" s="666"/>
      <c r="M3" s="666"/>
      <c r="N3" s="666"/>
      <c r="O3" s="666"/>
      <c r="P3" s="666"/>
      <c r="Q3" s="666"/>
      <c r="R3" s="666"/>
      <c r="S3" s="666"/>
      <c r="T3" s="666"/>
      <c r="U3" s="666"/>
    </row>
    <row r="4" spans="1:30" ht="68.75" customHeight="1" x14ac:dyDescent="0.3">
      <c r="A4" s="91" t="s">
        <v>1</v>
      </c>
      <c r="B4" s="668" t="s">
        <v>253</v>
      </c>
      <c r="C4" s="669" t="s">
        <v>254</v>
      </c>
      <c r="D4" s="668" t="s">
        <v>243</v>
      </c>
      <c r="E4" s="670" t="s">
        <v>246</v>
      </c>
      <c r="F4" s="671" t="s">
        <v>255</v>
      </c>
      <c r="G4" s="668" t="s">
        <v>256</v>
      </c>
      <c r="H4" s="768" t="s">
        <v>550</v>
      </c>
      <c r="I4" s="91" t="s">
        <v>258</v>
      </c>
      <c r="J4" s="91" t="s">
        <v>259</v>
      </c>
      <c r="K4" s="91" t="s">
        <v>260</v>
      </c>
      <c r="L4" s="91" t="s">
        <v>261</v>
      </c>
      <c r="M4" s="666"/>
      <c r="N4" s="666"/>
      <c r="O4" s="666"/>
      <c r="P4" s="666"/>
      <c r="Q4" s="666"/>
      <c r="R4" s="666"/>
      <c r="S4" s="666"/>
      <c r="T4" s="666"/>
      <c r="U4" s="666"/>
    </row>
    <row r="5" spans="1:30" x14ac:dyDescent="0.3">
      <c r="A5" s="219"/>
      <c r="B5" s="774"/>
      <c r="C5" s="775"/>
      <c r="D5" s="774"/>
      <c r="E5" s="776"/>
      <c r="F5" s="774"/>
      <c r="G5" s="774"/>
      <c r="H5" s="777"/>
      <c r="I5" s="81"/>
      <c r="J5" s="119"/>
      <c r="K5" s="122"/>
      <c r="L5" s="122"/>
    </row>
    <row r="6" spans="1:30" ht="14.5" x14ac:dyDescent="0.3">
      <c r="A6" s="935"/>
      <c r="B6" s="672" t="s">
        <v>555</v>
      </c>
      <c r="C6" s="673" t="s">
        <v>14</v>
      </c>
      <c r="D6" s="674">
        <v>330</v>
      </c>
      <c r="E6" s="675">
        <f>$I$1</f>
        <v>33.930693069306933</v>
      </c>
      <c r="F6" s="676">
        <v>1</v>
      </c>
      <c r="G6" s="677">
        <f>D6*E6</f>
        <v>11197.128712871288</v>
      </c>
      <c r="H6" s="769">
        <f>G6*F6</f>
        <v>11197.128712871288</v>
      </c>
      <c r="I6" s="81">
        <f>VLOOKUP(B6,All_Ingredients!$A$1:$F$151,6,FALSE())</f>
        <v>1</v>
      </c>
      <c r="J6" s="119">
        <f>VLOOKUP(B6,All_Ingredients!$A$1:$J$151,10,FALSE())</f>
        <v>9.0740740740740726</v>
      </c>
      <c r="K6" s="122">
        <f t="shared" ref="K6:K9" si="0">(H6/I6)/1000</f>
        <v>11.197128712871288</v>
      </c>
      <c r="L6" s="122">
        <f t="shared" ref="L6:L9" si="1">K6*J6</f>
        <v>101.60357535753575</v>
      </c>
    </row>
    <row r="7" spans="1:30" ht="14.5" x14ac:dyDescent="0.3">
      <c r="A7" s="935"/>
      <c r="B7" s="672" t="s">
        <v>209</v>
      </c>
      <c r="C7" s="673" t="s">
        <v>211</v>
      </c>
      <c r="D7" s="674">
        <v>8</v>
      </c>
      <c r="E7" s="674">
        <f>$I$1</f>
        <v>33.930693069306933</v>
      </c>
      <c r="F7" s="676">
        <v>0.5</v>
      </c>
      <c r="G7" s="677">
        <f>D7*E7</f>
        <v>271.44554455445547</v>
      </c>
      <c r="H7" s="769">
        <f>G7*F7</f>
        <v>135.72277227722773</v>
      </c>
      <c r="I7" s="81">
        <f>VLOOKUP(B7,All_Ingredients!$A$1:$F$151,6,FALSE())</f>
        <v>1</v>
      </c>
      <c r="J7" s="119">
        <f>VLOOKUP(B7,All_Ingredients!$A$1:$J$151,10,FALSE())</f>
        <v>0</v>
      </c>
      <c r="K7" s="122">
        <f t="shared" si="0"/>
        <v>0.13572277227722773</v>
      </c>
      <c r="L7" s="122">
        <f t="shared" si="1"/>
        <v>0</v>
      </c>
    </row>
    <row r="8" spans="1:30" ht="14.5" x14ac:dyDescent="0.3">
      <c r="A8" s="935"/>
      <c r="B8" s="672" t="s">
        <v>96</v>
      </c>
      <c r="C8" s="673" t="s">
        <v>14</v>
      </c>
      <c r="D8" s="674">
        <v>10</v>
      </c>
      <c r="E8" s="674">
        <f>$I$1</f>
        <v>33.930693069306933</v>
      </c>
      <c r="F8" s="676">
        <v>1</v>
      </c>
      <c r="G8" s="677">
        <f>D8*E8</f>
        <v>339.30693069306932</v>
      </c>
      <c r="H8" s="769">
        <f>G8*F8</f>
        <v>339.30693069306932</v>
      </c>
      <c r="I8" s="81">
        <f>VLOOKUP(B8,All_Ingredients!$A$1:$F$151,6,FALSE())</f>
        <v>1</v>
      </c>
      <c r="J8" s="119">
        <f>VLOOKUP(B8,All_Ingredients!$A$1:$J$151,10,FALSE())</f>
        <v>0.74</v>
      </c>
      <c r="K8" s="122">
        <f t="shared" si="0"/>
        <v>0.33930693069306933</v>
      </c>
      <c r="L8" s="122">
        <f t="shared" si="1"/>
        <v>0.25108712871287131</v>
      </c>
    </row>
    <row r="9" spans="1:30" ht="14.5" x14ac:dyDescent="0.3">
      <c r="A9" s="935"/>
      <c r="B9" s="672" t="s">
        <v>218</v>
      </c>
      <c r="C9" s="673" t="s">
        <v>14</v>
      </c>
      <c r="D9" s="674">
        <v>5</v>
      </c>
      <c r="E9" s="674">
        <f>$I$1</f>
        <v>33.930693069306933</v>
      </c>
      <c r="F9" s="676">
        <v>1</v>
      </c>
      <c r="G9" s="677">
        <f>D9*E9</f>
        <v>169.65346534653466</v>
      </c>
      <c r="H9" s="769">
        <f>G9*F9</f>
        <v>169.65346534653466</v>
      </c>
      <c r="I9" s="81">
        <f>VLOOKUP(B9,All_Ingredients!$A$1:$F$151,6,FALSE())</f>
        <v>1</v>
      </c>
      <c r="J9" s="119">
        <f>VLOOKUP(B9,All_Ingredients!$A$1:$J$151,10,FALSE())</f>
        <v>15.5</v>
      </c>
      <c r="K9" s="122">
        <f t="shared" si="0"/>
        <v>0.16965346534653467</v>
      </c>
      <c r="L9" s="122">
        <f t="shared" si="1"/>
        <v>2.6296287128712872</v>
      </c>
    </row>
    <row r="10" spans="1:30" ht="14.5" x14ac:dyDescent="0.3">
      <c r="B10" s="679"/>
      <c r="C10" s="680"/>
      <c r="D10" s="681"/>
      <c r="E10" s="682"/>
      <c r="F10" s="683"/>
      <c r="G10" s="684"/>
      <c r="H10" s="685"/>
    </row>
    <row r="11" spans="1:30" x14ac:dyDescent="0.3">
      <c r="E11" s="666"/>
      <c r="F11" s="666"/>
    </row>
    <row r="12" spans="1:30" x14ac:dyDescent="0.3">
      <c r="E12" s="666"/>
      <c r="F12" s="666"/>
    </row>
    <row r="13" spans="1:30" x14ac:dyDescent="0.3">
      <c r="E13" s="666"/>
      <c r="F13" s="666"/>
    </row>
    <row r="14" spans="1:30" x14ac:dyDescent="0.3">
      <c r="E14" s="666"/>
      <c r="F14" s="666"/>
    </row>
    <row r="15" spans="1:30" x14ac:dyDescent="0.3">
      <c r="E15" s="666"/>
      <c r="F15" s="666"/>
    </row>
    <row r="16" spans="1:30" x14ac:dyDescent="0.3">
      <c r="E16" s="666"/>
      <c r="F16" s="666"/>
    </row>
    <row r="17" spans="2:29" x14ac:dyDescent="0.3">
      <c r="E17" s="666"/>
      <c r="F17" s="666"/>
    </row>
    <row r="18" spans="2:29" x14ac:dyDescent="0.3">
      <c r="B18" s="666"/>
      <c r="E18" s="666"/>
      <c r="F18" s="666"/>
    </row>
    <row r="24" spans="2:29" x14ac:dyDescent="0.3">
      <c r="Z24" s="1305"/>
    </row>
    <row r="25" spans="2:29" ht="14" x14ac:dyDescent="0.3">
      <c r="R25" s="1443" t="s">
        <v>556</v>
      </c>
      <c r="S25" s="1443"/>
      <c r="Z25" s="141" t="s">
        <v>14</v>
      </c>
      <c r="AA25" s="142">
        <v>34270</v>
      </c>
      <c r="AB25" s="141" t="s">
        <v>261</v>
      </c>
      <c r="AC25" s="143">
        <f>(S30/S29)*AA25</f>
        <v>104.48429119911989</v>
      </c>
    </row>
    <row r="26" spans="2:29" ht="14" x14ac:dyDescent="0.3">
      <c r="R26" s="687" t="s">
        <v>266</v>
      </c>
      <c r="S26" s="687" t="s">
        <v>589</v>
      </c>
    </row>
    <row r="27" spans="2:29" ht="14" x14ac:dyDescent="0.3">
      <c r="R27" s="687" t="s">
        <v>549</v>
      </c>
      <c r="S27" s="795">
        <f>Z1</f>
        <v>34270</v>
      </c>
    </row>
    <row r="28" spans="2:29" ht="14" x14ac:dyDescent="0.3">
      <c r="R28" s="687" t="s">
        <v>277</v>
      </c>
      <c r="S28" s="833">
        <f>AB1</f>
        <v>0</v>
      </c>
    </row>
    <row r="29" spans="2:29" ht="15" thickBot="1" x14ac:dyDescent="0.35">
      <c r="R29" s="687" t="s">
        <v>269</v>
      </c>
      <c r="S29" s="689">
        <f>S27+S28</f>
        <v>34270</v>
      </c>
    </row>
    <row r="30" spans="2:29" ht="13.5" thickBot="1" x14ac:dyDescent="0.35">
      <c r="R30" s="163" t="s">
        <v>261</v>
      </c>
      <c r="S30" s="1144">
        <f>SUM(L5:L9)</f>
        <v>104.48429119911989</v>
      </c>
    </row>
    <row r="35" ht="14" customHeight="1" x14ac:dyDescent="0.3"/>
    <row r="36" ht="14" customHeight="1" x14ac:dyDescent="0.3"/>
    <row r="50" spans="1:8" ht="14.5" x14ac:dyDescent="0.35">
      <c r="B50" s="686"/>
      <c r="C50" s="686" t="s">
        <v>245</v>
      </c>
      <c r="D50" s="686" t="s">
        <v>291</v>
      </c>
    </row>
    <row r="51" spans="1:8" ht="14" x14ac:dyDescent="0.3">
      <c r="B51" s="180" t="s">
        <v>295</v>
      </c>
      <c r="C51" s="181">
        <f>10/$K$1</f>
        <v>9.9009900990099009</v>
      </c>
      <c r="D51" s="182">
        <f>$C$1*10</f>
        <v>10000</v>
      </c>
    </row>
    <row r="52" spans="1:8" ht="14.5" x14ac:dyDescent="0.35">
      <c r="B52" s="688" t="s">
        <v>269</v>
      </c>
      <c r="C52" s="659">
        <f>G1</f>
        <v>34.270000000000003</v>
      </c>
      <c r="D52" s="659">
        <f>E1</f>
        <v>34270</v>
      </c>
    </row>
    <row r="53" spans="1:8" ht="14.5" x14ac:dyDescent="0.35">
      <c r="B53" s="688" t="s">
        <v>296</v>
      </c>
      <c r="C53" s="660">
        <f>MIN($C$52, C51)</f>
        <v>9.9009900990099009</v>
      </c>
      <c r="D53" s="925">
        <f>(C53*$K$1)*$C$1</f>
        <v>10000</v>
      </c>
    </row>
    <row r="54" spans="1:8" ht="14.5" x14ac:dyDescent="0.35">
      <c r="B54" s="688" t="s">
        <v>297</v>
      </c>
      <c r="C54" s="660">
        <f>MIN(MAX($C$52-C53,0),$C$51)</f>
        <v>9.9009900990099009</v>
      </c>
      <c r="D54" s="925">
        <f>(C54*$K$1)*$C$1</f>
        <v>10000</v>
      </c>
    </row>
    <row r="55" spans="1:8" ht="14.5" x14ac:dyDescent="0.35">
      <c r="B55" s="688" t="s">
        <v>298</v>
      </c>
      <c r="C55" s="660">
        <f>MIN(MAX($C$52-C53-C54,0),$C$51)</f>
        <v>9.9009900990099009</v>
      </c>
      <c r="D55" s="925">
        <f>(C55*$K$1)*$C$1</f>
        <v>10000</v>
      </c>
    </row>
    <row r="56" spans="1:8" ht="14.5" x14ac:dyDescent="0.35">
      <c r="B56" s="688" t="s">
        <v>305</v>
      </c>
      <c r="C56" s="660">
        <f>MIN(MAX($C$52-C53-C54-C55,0),$C$51)</f>
        <v>4.5670297029702986</v>
      </c>
      <c r="D56" s="661">
        <f>C56*$K$1</f>
        <v>4.612700000000002</v>
      </c>
    </row>
    <row r="57" spans="1:8" ht="14" customHeight="1" x14ac:dyDescent="0.3"/>
    <row r="58" spans="1:8" ht="14" customHeight="1" x14ac:dyDescent="0.3"/>
    <row r="62" spans="1:8" ht="14" customHeight="1" x14ac:dyDescent="0.3">
      <c r="A62" s="942"/>
      <c r="B62" s="1382" t="s">
        <v>844</v>
      </c>
      <c r="C62" s="1383"/>
      <c r="D62" s="1383"/>
      <c r="E62" s="1383"/>
      <c r="F62" s="1383"/>
      <c r="G62" s="1383"/>
      <c r="H62" s="1383"/>
    </row>
    <row r="63" spans="1:8" ht="14" customHeight="1" x14ac:dyDescent="0.3">
      <c r="A63" s="942"/>
      <c r="B63" s="1382" t="s">
        <v>845</v>
      </c>
      <c r="C63" s="1383"/>
      <c r="D63" s="1383"/>
      <c r="E63" s="1383"/>
      <c r="F63" s="1383"/>
      <c r="G63" s="1383"/>
      <c r="H63" s="1383"/>
    </row>
    <row r="64" spans="1:8" ht="26" x14ac:dyDescent="0.3">
      <c r="A64" s="91" t="s">
        <v>1</v>
      </c>
      <c r="B64" s="243" t="s">
        <v>253</v>
      </c>
      <c r="C64" s="244" t="s">
        <v>254</v>
      </c>
      <c r="D64" s="245" t="s">
        <v>243</v>
      </c>
      <c r="E64" s="218" t="s">
        <v>246</v>
      </c>
      <c r="F64" s="218" t="s">
        <v>255</v>
      </c>
      <c r="G64" s="245" t="s">
        <v>256</v>
      </c>
      <c r="H64" s="218" t="s">
        <v>257</v>
      </c>
    </row>
    <row r="65" spans="1:8" ht="14.5" x14ac:dyDescent="0.3">
      <c r="A65" s="935"/>
      <c r="B65" s="672" t="str">
        <f t="shared" ref="B65:D68" si="2">B6</f>
        <v>Pasta Spaghettini  - مكرونة اسباجيتي</v>
      </c>
      <c r="C65" s="673" t="str">
        <f t="shared" si="2"/>
        <v>gm</v>
      </c>
      <c r="D65" s="690">
        <f t="shared" si="2"/>
        <v>330</v>
      </c>
      <c r="E65" s="674">
        <f>$C$52</f>
        <v>34.270000000000003</v>
      </c>
      <c r="F65" s="676">
        <f>F6</f>
        <v>1</v>
      </c>
      <c r="G65" s="677">
        <f>D65*E65</f>
        <v>11309.1</v>
      </c>
      <c r="H65" s="678">
        <f>G65*F65</f>
        <v>11309.1</v>
      </c>
    </row>
    <row r="66" spans="1:8" ht="14.5" x14ac:dyDescent="0.3">
      <c r="A66" s="935"/>
      <c r="B66" s="672" t="str">
        <f t="shared" si="2"/>
        <v>Water - ماء</v>
      </c>
      <c r="C66" s="673" t="str">
        <f t="shared" si="2"/>
        <v>L</v>
      </c>
      <c r="D66" s="690">
        <f t="shared" si="2"/>
        <v>8</v>
      </c>
      <c r="E66" s="674">
        <f t="shared" ref="E66:E68" si="3">$C$52</f>
        <v>34.270000000000003</v>
      </c>
      <c r="F66" s="676">
        <f>F7</f>
        <v>0.5</v>
      </c>
      <c r="G66" s="677">
        <f>D66*E66</f>
        <v>274.16000000000003</v>
      </c>
      <c r="H66" s="678">
        <f>G66*F66</f>
        <v>137.08000000000001</v>
      </c>
    </row>
    <row r="67" spans="1:8" ht="14.5" x14ac:dyDescent="0.3">
      <c r="A67" s="935"/>
      <c r="B67" s="672" t="str">
        <f t="shared" si="2"/>
        <v>Salt - ملح</v>
      </c>
      <c r="C67" s="673" t="str">
        <f t="shared" si="2"/>
        <v>gm</v>
      </c>
      <c r="D67" s="690">
        <f t="shared" si="2"/>
        <v>10</v>
      </c>
      <c r="E67" s="674">
        <f t="shared" si="3"/>
        <v>34.270000000000003</v>
      </c>
      <c r="F67" s="676">
        <f>F8</f>
        <v>1</v>
      </c>
      <c r="G67" s="677">
        <f>D67*E67</f>
        <v>342.70000000000005</v>
      </c>
      <c r="H67" s="678">
        <f>G67*F67</f>
        <v>342.70000000000005</v>
      </c>
    </row>
    <row r="68" spans="1:8" ht="14.5" x14ac:dyDescent="0.3">
      <c r="A68" s="935"/>
      <c r="B68" s="672" t="str">
        <f t="shared" si="2"/>
        <v>Olive Oil - زيت زيتون</v>
      </c>
      <c r="C68" s="673" t="str">
        <f t="shared" si="2"/>
        <v>gm</v>
      </c>
      <c r="D68" s="690">
        <f t="shared" si="2"/>
        <v>5</v>
      </c>
      <c r="E68" s="674">
        <f t="shared" si="3"/>
        <v>34.270000000000003</v>
      </c>
      <c r="F68" s="676">
        <f>F9</f>
        <v>1</v>
      </c>
      <c r="G68" s="677">
        <f>D68*E68</f>
        <v>171.35000000000002</v>
      </c>
      <c r="H68" s="678">
        <f>G68*F68</f>
        <v>171.35000000000002</v>
      </c>
    </row>
    <row r="69" spans="1:8" ht="15.5" x14ac:dyDescent="0.3">
      <c r="B69" s="198" t="s">
        <v>766</v>
      </c>
      <c r="C69" s="666"/>
      <c r="D69" s="666"/>
      <c r="E69" s="666"/>
      <c r="F69" s="666"/>
    </row>
    <row r="70" spans="1:8" ht="20" x14ac:dyDescent="0.4">
      <c r="B70" s="199">
        <f>$D$52</f>
        <v>34270</v>
      </c>
      <c r="F70" s="691"/>
    </row>
    <row r="71" spans="1:8" x14ac:dyDescent="0.3">
      <c r="B71" s="666"/>
      <c r="E71" s="666"/>
      <c r="F71" s="666"/>
    </row>
    <row r="72" spans="1:8" x14ac:dyDescent="0.3">
      <c r="A72" s="1254"/>
      <c r="B72" s="1255"/>
      <c r="C72" s="1255"/>
      <c r="D72" s="1255"/>
      <c r="E72" s="1255"/>
      <c r="F72" s="1255"/>
      <c r="G72" s="1255"/>
      <c r="H72" s="1255"/>
    </row>
    <row r="73" spans="1:8" ht="14" customHeight="1" x14ac:dyDescent="0.3">
      <c r="A73" s="1253"/>
      <c r="B73" s="1439"/>
      <c r="C73" s="1440"/>
      <c r="D73" s="1440"/>
      <c r="E73" s="1440"/>
      <c r="F73" s="1440"/>
      <c r="G73" s="1440"/>
      <c r="H73" s="1440"/>
    </row>
    <row r="74" spans="1:8" ht="14" customHeight="1" x14ac:dyDescent="0.3">
      <c r="A74" s="1253"/>
      <c r="B74" s="1439"/>
      <c r="C74" s="1440"/>
      <c r="D74" s="1440"/>
      <c r="E74" s="1440"/>
      <c r="F74" s="1440"/>
      <c r="G74" s="1440"/>
      <c r="H74" s="1440"/>
    </row>
    <row r="75" spans="1:8" x14ac:dyDescent="0.3">
      <c r="A75" s="1258"/>
      <c r="B75" s="1259"/>
      <c r="C75" s="1260"/>
      <c r="D75" s="1259"/>
      <c r="E75" s="1259"/>
      <c r="F75" s="1259"/>
      <c r="G75" s="1259"/>
      <c r="H75" s="1259"/>
    </row>
    <row r="76" spans="1:8" ht="14.5" x14ac:dyDescent="0.3">
      <c r="A76" s="1254"/>
      <c r="B76" s="1261"/>
      <c r="C76" s="1261"/>
      <c r="D76" s="1261"/>
      <c r="E76" s="1262"/>
      <c r="F76" s="1263"/>
      <c r="G76" s="1264"/>
      <c r="H76" s="1265"/>
    </row>
    <row r="77" spans="1:8" ht="14.5" x14ac:dyDescent="0.3">
      <c r="A77" s="1254"/>
      <c r="B77" s="1261"/>
      <c r="C77" s="1261"/>
      <c r="D77" s="1261"/>
      <c r="E77" s="1262"/>
      <c r="F77" s="1263"/>
      <c r="G77" s="1264"/>
      <c r="H77" s="1265"/>
    </row>
    <row r="78" spans="1:8" ht="14.5" x14ac:dyDescent="0.3">
      <c r="A78" s="1254"/>
      <c r="B78" s="1261"/>
      <c r="C78" s="1261"/>
      <c r="D78" s="1261"/>
      <c r="E78" s="1262"/>
      <c r="F78" s="1263"/>
      <c r="G78" s="1264"/>
      <c r="H78" s="1265"/>
    </row>
    <row r="79" spans="1:8" ht="14.5" x14ac:dyDescent="0.3">
      <c r="A79" s="1254"/>
      <c r="B79" s="1261"/>
      <c r="C79" s="1261"/>
      <c r="D79" s="1261"/>
      <c r="E79" s="1262"/>
      <c r="F79" s="1263"/>
      <c r="G79" s="1264"/>
      <c r="H79" s="1265"/>
    </row>
    <row r="80" spans="1:8" ht="15.5" x14ac:dyDescent="0.3">
      <c r="A80" s="1254"/>
      <c r="B80" s="900"/>
      <c r="C80" s="1254"/>
      <c r="D80" s="1254"/>
      <c r="E80" s="1255"/>
      <c r="F80" s="1255"/>
      <c r="G80" s="1254"/>
      <c r="H80" s="1254"/>
    </row>
    <row r="81" spans="1:8" ht="20" x14ac:dyDescent="0.4">
      <c r="A81" s="1254"/>
      <c r="B81" s="901"/>
      <c r="C81" s="1255"/>
      <c r="D81" s="1255"/>
      <c r="E81" s="1255"/>
      <c r="F81" s="1256"/>
      <c r="G81" s="1254"/>
      <c r="H81" s="1254"/>
    </row>
    <row r="82" spans="1:8" x14ac:dyDescent="0.3">
      <c r="A82" s="1254"/>
      <c r="B82" s="1255"/>
      <c r="C82" s="1255"/>
      <c r="D82" s="1255"/>
      <c r="E82" s="1255"/>
      <c r="F82" s="1255"/>
      <c r="G82" s="1255"/>
      <c r="H82" s="1255"/>
    </row>
    <row r="83" spans="1:8" x14ac:dyDescent="0.3">
      <c r="A83" s="1254"/>
      <c r="B83" s="1255"/>
      <c r="C83" s="1255"/>
      <c r="D83" s="1255"/>
      <c r="E83" s="1255"/>
      <c r="F83" s="1255"/>
      <c r="G83" s="1255"/>
      <c r="H83" s="1255"/>
    </row>
    <row r="84" spans="1:8" ht="14" customHeight="1" x14ac:dyDescent="0.3">
      <c r="A84" s="1253"/>
      <c r="B84" s="1439"/>
      <c r="C84" s="1440"/>
      <c r="D84" s="1440"/>
      <c r="E84" s="1440"/>
      <c r="F84" s="1440"/>
      <c r="G84" s="1440"/>
      <c r="H84" s="1440"/>
    </row>
    <row r="85" spans="1:8" ht="14" customHeight="1" x14ac:dyDescent="0.3">
      <c r="A85" s="1253"/>
      <c r="B85" s="1439"/>
      <c r="C85" s="1440"/>
      <c r="D85" s="1440"/>
      <c r="E85" s="1440"/>
      <c r="F85" s="1440"/>
      <c r="G85" s="1440"/>
      <c r="H85" s="1440"/>
    </row>
    <row r="86" spans="1:8" x14ac:dyDescent="0.3">
      <c r="A86" s="1258"/>
      <c r="B86" s="1259"/>
      <c r="C86" s="1260"/>
      <c r="D86" s="1259"/>
      <c r="E86" s="1259"/>
      <c r="F86" s="1259"/>
      <c r="G86" s="1259"/>
      <c r="H86" s="1259"/>
    </row>
    <row r="87" spans="1:8" ht="14.5" x14ac:dyDescent="0.3">
      <c r="A87" s="1254"/>
      <c r="B87" s="1261"/>
      <c r="C87" s="1261"/>
      <c r="D87" s="1261"/>
      <c r="E87" s="1266"/>
      <c r="F87" s="1267"/>
      <c r="G87" s="1264"/>
      <c r="H87" s="1265"/>
    </row>
    <row r="88" spans="1:8" ht="14.5" x14ac:dyDescent="0.3">
      <c r="A88" s="1254"/>
      <c r="B88" s="1261"/>
      <c r="C88" s="1261"/>
      <c r="D88" s="1261"/>
      <c r="E88" s="1266"/>
      <c r="F88" s="1267"/>
      <c r="G88" s="1264"/>
      <c r="H88" s="1265"/>
    </row>
    <row r="89" spans="1:8" ht="14.5" x14ac:dyDescent="0.3">
      <c r="A89" s="1254"/>
      <c r="B89" s="1261"/>
      <c r="C89" s="1261"/>
      <c r="D89" s="1261"/>
      <c r="E89" s="1266"/>
      <c r="F89" s="1267"/>
      <c r="G89" s="1264"/>
      <c r="H89" s="1265"/>
    </row>
    <row r="90" spans="1:8" ht="14.5" x14ac:dyDescent="0.3">
      <c r="A90" s="1254"/>
      <c r="B90" s="1261"/>
      <c r="C90" s="1261"/>
      <c r="D90" s="1261"/>
      <c r="E90" s="1266"/>
      <c r="F90" s="1267"/>
      <c r="G90" s="1264"/>
      <c r="H90" s="1265"/>
    </row>
    <row r="91" spans="1:8" ht="15.5" x14ac:dyDescent="0.3">
      <c r="A91" s="1254"/>
      <c r="B91" s="900"/>
      <c r="C91" s="1254"/>
      <c r="D91" s="1254"/>
      <c r="E91" s="1255"/>
      <c r="F91" s="1255"/>
      <c r="G91" s="1254"/>
      <c r="H91" s="1254"/>
    </row>
    <row r="92" spans="1:8" ht="20" x14ac:dyDescent="0.4">
      <c r="A92" s="1254"/>
      <c r="B92" s="901"/>
      <c r="C92" s="1254"/>
      <c r="D92" s="1254"/>
      <c r="E92" s="1254"/>
      <c r="F92" s="1254"/>
      <c r="G92" s="1254"/>
      <c r="H92" s="1254"/>
    </row>
    <row r="93" spans="1:8" ht="14" customHeight="1" x14ac:dyDescent="0.3">
      <c r="A93" s="1253"/>
      <c r="B93" s="1439"/>
      <c r="C93" s="1440"/>
      <c r="D93" s="1440"/>
      <c r="E93" s="1440"/>
      <c r="F93" s="1440"/>
      <c r="G93" s="1440"/>
      <c r="H93" s="1440"/>
    </row>
    <row r="94" spans="1:8" ht="14" customHeight="1" x14ac:dyDescent="0.3">
      <c r="A94" s="1253"/>
      <c r="B94" s="1439"/>
      <c r="C94" s="1440"/>
      <c r="D94" s="1440"/>
      <c r="E94" s="1440"/>
      <c r="F94" s="1440"/>
      <c r="G94" s="1440"/>
      <c r="H94" s="1440"/>
    </row>
    <row r="95" spans="1:8" x14ac:dyDescent="0.3">
      <c r="A95" s="1258"/>
      <c r="B95" s="1259"/>
      <c r="C95" s="1260"/>
      <c r="D95" s="1259"/>
      <c r="E95" s="1259"/>
      <c r="F95" s="1259"/>
      <c r="G95" s="1259"/>
      <c r="H95" s="1259"/>
    </row>
    <row r="96" spans="1:8" ht="14.5" x14ac:dyDescent="0.3">
      <c r="A96" s="1254"/>
      <c r="B96" s="1261"/>
      <c r="C96" s="1261"/>
      <c r="D96" s="1261"/>
      <c r="E96" s="1266"/>
      <c r="F96" s="1267"/>
      <c r="G96" s="1264"/>
      <c r="H96" s="1265"/>
    </row>
    <row r="97" spans="1:8" ht="14.5" x14ac:dyDescent="0.3">
      <c r="A97" s="1254"/>
      <c r="B97" s="1261"/>
      <c r="C97" s="1261"/>
      <c r="D97" s="1261"/>
      <c r="E97" s="1266"/>
      <c r="F97" s="1267"/>
      <c r="G97" s="1264"/>
      <c r="H97" s="1265"/>
    </row>
    <row r="98" spans="1:8" ht="14.5" x14ac:dyDescent="0.3">
      <c r="A98" s="1254"/>
      <c r="B98" s="1261"/>
      <c r="C98" s="1261"/>
      <c r="D98" s="1261"/>
      <c r="E98" s="1266"/>
      <c r="F98" s="1267"/>
      <c r="G98" s="1264"/>
      <c r="H98" s="1265"/>
    </row>
    <row r="99" spans="1:8" ht="14.5" x14ac:dyDescent="0.3">
      <c r="A99" s="1254"/>
      <c r="B99" s="1261"/>
      <c r="C99" s="1261"/>
      <c r="D99" s="1261"/>
      <c r="E99" s="1266"/>
      <c r="F99" s="1267"/>
      <c r="G99" s="1264"/>
      <c r="H99" s="1265"/>
    </row>
    <row r="100" spans="1:8" ht="15.5" x14ac:dyDescent="0.3">
      <c r="A100" s="1254"/>
      <c r="B100" s="900"/>
      <c r="C100" s="1254"/>
      <c r="D100" s="1254"/>
      <c r="E100" s="1255"/>
      <c r="F100" s="1255"/>
      <c r="G100" s="1254"/>
      <c r="H100" s="1254"/>
    </row>
    <row r="101" spans="1:8" ht="20" x14ac:dyDescent="0.4">
      <c r="A101" s="1254"/>
      <c r="B101" s="901"/>
      <c r="C101" s="1254"/>
      <c r="D101" s="1254"/>
      <c r="E101" s="1255"/>
      <c r="F101" s="1255"/>
      <c r="G101" s="1254"/>
      <c r="H101" s="1254"/>
    </row>
    <row r="102" spans="1:8" x14ac:dyDescent="0.3">
      <c r="A102" s="1254"/>
      <c r="B102" s="1255"/>
      <c r="C102" s="1254"/>
      <c r="D102" s="1254"/>
      <c r="E102" s="1255"/>
      <c r="F102" s="1255"/>
      <c r="G102" s="1254"/>
      <c r="H102" s="1254"/>
    </row>
    <row r="103" spans="1:8" x14ac:dyDescent="0.3">
      <c r="A103" s="1254"/>
      <c r="B103" s="1255"/>
      <c r="C103" s="1254"/>
      <c r="D103" s="1254"/>
      <c r="E103" s="1255"/>
      <c r="F103" s="1255"/>
      <c r="G103" s="1254"/>
      <c r="H103" s="1254"/>
    </row>
    <row r="104" spans="1:8" x14ac:dyDescent="0.3">
      <c r="A104" s="1254"/>
      <c r="B104" s="1255"/>
      <c r="C104" s="1254"/>
      <c r="D104" s="1254"/>
      <c r="E104" s="1255"/>
      <c r="F104" s="1255"/>
      <c r="G104" s="1254"/>
      <c r="H104" s="1254"/>
    </row>
    <row r="105" spans="1:8" x14ac:dyDescent="0.3">
      <c r="A105" s="1254"/>
      <c r="B105" s="1255"/>
      <c r="C105" s="1254"/>
      <c r="D105" s="1254"/>
      <c r="E105" s="1255"/>
      <c r="F105" s="1255"/>
      <c r="G105" s="1254"/>
      <c r="H105" s="1254"/>
    </row>
    <row r="106" spans="1:8" x14ac:dyDescent="0.3">
      <c r="A106" s="1254"/>
      <c r="B106" s="1255"/>
      <c r="C106" s="1254"/>
      <c r="D106" s="1254"/>
      <c r="E106" s="1255"/>
      <c r="F106" s="1255"/>
      <c r="G106" s="1254"/>
      <c r="H106" s="1254"/>
    </row>
    <row r="107" spans="1:8" x14ac:dyDescent="0.3">
      <c r="A107" s="1254"/>
      <c r="B107" s="1255"/>
      <c r="C107" s="1254"/>
      <c r="D107" s="1254"/>
      <c r="E107" s="1255"/>
      <c r="F107" s="1255"/>
      <c r="G107" s="1254"/>
      <c r="H107" s="1254"/>
    </row>
    <row r="108" spans="1:8" x14ac:dyDescent="0.3">
      <c r="A108" s="1254"/>
      <c r="B108" s="1255"/>
      <c r="C108" s="1254"/>
      <c r="D108" s="1254"/>
      <c r="E108" s="1255"/>
      <c r="F108" s="1255"/>
      <c r="G108" s="1254"/>
      <c r="H108" s="1254"/>
    </row>
    <row r="109" spans="1:8" x14ac:dyDescent="0.3">
      <c r="A109" s="1254"/>
      <c r="B109" s="1255"/>
      <c r="C109" s="1254"/>
      <c r="D109" s="1254"/>
      <c r="E109" s="1255"/>
      <c r="F109" s="1255"/>
      <c r="G109" s="1254"/>
      <c r="H109" s="1254"/>
    </row>
    <row r="110" spans="1:8" x14ac:dyDescent="0.3">
      <c r="A110" s="1254"/>
      <c r="B110" s="1255"/>
      <c r="C110" s="1254"/>
      <c r="D110" s="1254"/>
      <c r="E110" s="1255"/>
      <c r="F110" s="1255"/>
      <c r="G110" s="1254"/>
      <c r="H110" s="1254"/>
    </row>
    <row r="111" spans="1:8" x14ac:dyDescent="0.3">
      <c r="A111" s="1254"/>
      <c r="B111" s="1255"/>
      <c r="C111" s="1254"/>
      <c r="D111" s="1254"/>
      <c r="E111" s="1255"/>
      <c r="F111" s="1255"/>
      <c r="G111" s="1254"/>
      <c r="H111" s="1254"/>
    </row>
    <row r="112" spans="1:8" x14ac:dyDescent="0.3">
      <c r="A112" s="1254"/>
      <c r="B112" s="1255"/>
      <c r="C112" s="1254"/>
      <c r="D112" s="1254"/>
      <c r="E112" s="1255"/>
      <c r="F112" s="1255"/>
      <c r="G112" s="1254"/>
      <c r="H112" s="1254"/>
    </row>
    <row r="113" spans="1:8" x14ac:dyDescent="0.3">
      <c r="A113" s="1254"/>
      <c r="B113" s="1255"/>
      <c r="C113" s="1254"/>
      <c r="D113" s="1254"/>
      <c r="E113" s="1255"/>
      <c r="F113" s="1255"/>
      <c r="G113" s="1254"/>
      <c r="H113" s="1254"/>
    </row>
    <row r="114" spans="1:8" x14ac:dyDescent="0.3">
      <c r="A114" s="1254"/>
      <c r="B114" s="1255"/>
      <c r="C114" s="1254"/>
      <c r="D114" s="1254"/>
      <c r="E114" s="1255"/>
      <c r="F114" s="1255"/>
      <c r="G114" s="1254"/>
      <c r="H114" s="1254"/>
    </row>
    <row r="115" spans="1:8" x14ac:dyDescent="0.3">
      <c r="A115" s="1254"/>
      <c r="B115" s="1255"/>
      <c r="C115" s="1254"/>
      <c r="D115" s="1254"/>
      <c r="E115" s="1255"/>
      <c r="F115" s="1255"/>
      <c r="G115" s="1254"/>
      <c r="H115" s="1254"/>
    </row>
    <row r="116" spans="1:8" x14ac:dyDescent="0.3">
      <c r="A116" s="1254"/>
      <c r="B116" s="1255"/>
      <c r="C116" s="1254"/>
      <c r="D116" s="1254"/>
      <c r="E116" s="1255"/>
      <c r="F116" s="1255"/>
      <c r="G116" s="1254"/>
      <c r="H116" s="1254"/>
    </row>
    <row r="117" spans="1:8" x14ac:dyDescent="0.3">
      <c r="A117" s="1254"/>
      <c r="B117" s="1255"/>
      <c r="C117" s="1254"/>
      <c r="D117" s="1254"/>
      <c r="E117" s="1255"/>
      <c r="F117" s="1255"/>
      <c r="G117" s="1254"/>
      <c r="H117" s="1254"/>
    </row>
    <row r="118" spans="1:8" x14ac:dyDescent="0.3">
      <c r="A118" s="1254"/>
      <c r="B118" s="1255"/>
      <c r="C118" s="1254"/>
      <c r="D118" s="1254"/>
      <c r="E118" s="1255"/>
      <c r="F118" s="1255"/>
      <c r="G118" s="1254"/>
      <c r="H118" s="1254"/>
    </row>
    <row r="119" spans="1:8" x14ac:dyDescent="0.3">
      <c r="A119" s="1254"/>
      <c r="B119" s="1255"/>
      <c r="C119" s="1254"/>
      <c r="D119" s="1254"/>
      <c r="E119" s="1255"/>
      <c r="F119" s="1255"/>
      <c r="G119" s="1254"/>
      <c r="H119" s="1254"/>
    </row>
    <row r="120" spans="1:8" x14ac:dyDescent="0.3">
      <c r="A120" s="1254"/>
      <c r="B120" s="1255"/>
      <c r="C120" s="1254"/>
      <c r="D120" s="1254"/>
      <c r="E120" s="1255"/>
      <c r="F120" s="1255"/>
      <c r="G120" s="1254"/>
      <c r="H120" s="1254"/>
    </row>
    <row r="121" spans="1:8" x14ac:dyDescent="0.3">
      <c r="A121" s="1254"/>
      <c r="B121" s="1255"/>
      <c r="C121" s="1254"/>
      <c r="D121" s="1254"/>
      <c r="E121" s="1255"/>
      <c r="F121" s="1255"/>
      <c r="G121" s="1254"/>
      <c r="H121" s="1254"/>
    </row>
    <row r="122" spans="1:8" x14ac:dyDescent="0.3">
      <c r="A122" s="1254"/>
      <c r="B122" s="1255"/>
      <c r="C122" s="1254"/>
      <c r="D122" s="1254"/>
      <c r="E122" s="1255"/>
      <c r="F122" s="1255"/>
      <c r="G122" s="1254"/>
      <c r="H122" s="1254"/>
    </row>
    <row r="123" spans="1:8" x14ac:dyDescent="0.3">
      <c r="A123" s="1254"/>
      <c r="B123" s="1255"/>
      <c r="C123" s="1254"/>
      <c r="D123" s="1254"/>
      <c r="E123" s="1255"/>
      <c r="F123" s="1255"/>
      <c r="G123" s="1254"/>
      <c r="H123" s="1254"/>
    </row>
    <row r="124" spans="1:8" x14ac:dyDescent="0.3">
      <c r="A124" s="1254"/>
      <c r="B124" s="1255"/>
      <c r="C124" s="1254"/>
      <c r="D124" s="1254"/>
      <c r="E124" s="1255"/>
      <c r="F124" s="1255"/>
      <c r="G124" s="1254"/>
      <c r="H124" s="1254"/>
    </row>
    <row r="125" spans="1:8" x14ac:dyDescent="0.3">
      <c r="A125" s="1254"/>
      <c r="B125" s="1255"/>
      <c r="C125" s="1254"/>
      <c r="D125" s="1254"/>
      <c r="E125" s="1255"/>
      <c r="F125" s="1255"/>
      <c r="G125" s="1254"/>
      <c r="H125" s="1254"/>
    </row>
    <row r="126" spans="1:8" x14ac:dyDescent="0.3">
      <c r="A126" s="1254"/>
      <c r="B126" s="1255"/>
      <c r="C126" s="1254"/>
      <c r="D126" s="1254"/>
      <c r="E126" s="1255"/>
      <c r="F126" s="1255"/>
      <c r="G126" s="1254"/>
      <c r="H126" s="1254"/>
    </row>
    <row r="127" spans="1:8" x14ac:dyDescent="0.3">
      <c r="A127" s="1254"/>
      <c r="B127" s="1255"/>
      <c r="C127" s="1254"/>
      <c r="D127" s="1254"/>
      <c r="E127" s="1255"/>
      <c r="F127" s="1255"/>
      <c r="G127" s="1254"/>
      <c r="H127" s="1254"/>
    </row>
    <row r="128" spans="1:8" x14ac:dyDescent="0.3">
      <c r="A128" s="1254"/>
      <c r="B128" s="1255"/>
      <c r="C128" s="1254"/>
      <c r="D128" s="1254"/>
      <c r="E128" s="1255"/>
      <c r="F128" s="1255"/>
      <c r="G128" s="1254"/>
      <c r="H128" s="1254"/>
    </row>
    <row r="129" spans="1:8" x14ac:dyDescent="0.3">
      <c r="A129" s="1254"/>
      <c r="B129" s="1255"/>
      <c r="C129" s="1254"/>
      <c r="D129" s="1254"/>
      <c r="E129" s="1255"/>
      <c r="F129" s="1255"/>
      <c r="G129" s="1254"/>
      <c r="H129" s="1254"/>
    </row>
    <row r="130" spans="1:8" x14ac:dyDescent="0.3">
      <c r="A130" s="1254"/>
      <c r="B130" s="1255"/>
      <c r="C130" s="1254"/>
      <c r="D130" s="1254"/>
      <c r="E130" s="1255"/>
      <c r="F130" s="1255"/>
      <c r="G130" s="1254"/>
      <c r="H130" s="1254"/>
    </row>
    <row r="131" spans="1:8" x14ac:dyDescent="0.3">
      <c r="A131" s="1254"/>
      <c r="B131" s="1255"/>
      <c r="C131" s="1254"/>
      <c r="D131" s="1254"/>
      <c r="E131" s="1255"/>
      <c r="F131" s="1255"/>
      <c r="G131" s="1254"/>
      <c r="H131" s="1254"/>
    </row>
    <row r="132" spans="1:8" x14ac:dyDescent="0.3">
      <c r="A132" s="1254"/>
      <c r="B132" s="1255"/>
      <c r="C132" s="1254"/>
      <c r="D132" s="1254"/>
      <c r="E132" s="1255"/>
      <c r="F132" s="1255"/>
      <c r="G132" s="1254"/>
      <c r="H132" s="1254"/>
    </row>
    <row r="133" spans="1:8" x14ac:dyDescent="0.3">
      <c r="A133" s="1254"/>
      <c r="B133" s="1255"/>
      <c r="C133" s="1254"/>
      <c r="D133" s="1254"/>
      <c r="E133" s="1255"/>
      <c r="F133" s="1255"/>
      <c r="G133" s="1254"/>
      <c r="H133" s="1254"/>
    </row>
    <row r="134" spans="1:8" x14ac:dyDescent="0.3">
      <c r="A134" s="1254"/>
      <c r="B134" s="1255"/>
      <c r="C134" s="1254"/>
      <c r="D134" s="1254"/>
      <c r="E134" s="1255"/>
      <c r="F134" s="1255"/>
      <c r="G134" s="1254"/>
      <c r="H134" s="1254"/>
    </row>
    <row r="135" spans="1:8" x14ac:dyDescent="0.3">
      <c r="A135" s="1254"/>
      <c r="B135" s="1255"/>
      <c r="C135" s="1254"/>
      <c r="D135" s="1254"/>
      <c r="E135" s="1255"/>
      <c r="F135" s="1255"/>
      <c r="G135" s="1254"/>
      <c r="H135" s="1254"/>
    </row>
    <row r="136" spans="1:8" x14ac:dyDescent="0.3">
      <c r="A136" s="1254"/>
      <c r="B136" s="1255"/>
      <c r="C136" s="1254"/>
      <c r="D136" s="1254"/>
      <c r="E136" s="1255"/>
      <c r="F136" s="1255"/>
      <c r="G136" s="1254"/>
      <c r="H136" s="1254"/>
    </row>
    <row r="137" spans="1:8" x14ac:dyDescent="0.3">
      <c r="A137" s="1254"/>
      <c r="B137" s="1255"/>
      <c r="C137" s="1254"/>
      <c r="D137" s="1254"/>
      <c r="E137" s="1255"/>
      <c r="F137" s="1255"/>
      <c r="G137" s="1254"/>
      <c r="H137" s="1254"/>
    </row>
    <row r="138" spans="1:8" x14ac:dyDescent="0.3">
      <c r="A138" s="1254"/>
      <c r="B138" s="1255"/>
      <c r="C138" s="1254"/>
      <c r="D138" s="1254"/>
      <c r="E138" s="1255"/>
      <c r="F138" s="1255"/>
      <c r="G138" s="1254"/>
      <c r="H138" s="1254"/>
    </row>
    <row r="139" spans="1:8" x14ac:dyDescent="0.3">
      <c r="A139" s="1254"/>
      <c r="B139" s="1255"/>
      <c r="C139" s="1254"/>
      <c r="D139" s="1254"/>
      <c r="E139" s="1255"/>
      <c r="F139" s="1255"/>
      <c r="G139" s="1254"/>
      <c r="H139" s="1254"/>
    </row>
    <row r="140" spans="1:8" x14ac:dyDescent="0.3">
      <c r="A140" s="1254"/>
      <c r="B140" s="1255"/>
      <c r="C140" s="1254"/>
      <c r="D140" s="1254"/>
      <c r="E140" s="1255"/>
      <c r="F140" s="1255"/>
      <c r="G140" s="1254"/>
      <c r="H140" s="1254"/>
    </row>
    <row r="141" spans="1:8" x14ac:dyDescent="0.3">
      <c r="A141" s="1254"/>
      <c r="B141" s="1255"/>
      <c r="C141" s="1254"/>
      <c r="D141" s="1254"/>
      <c r="E141" s="1255"/>
      <c r="F141" s="1255"/>
      <c r="G141" s="1254"/>
      <c r="H141" s="1254"/>
    </row>
    <row r="142" spans="1:8" x14ac:dyDescent="0.3">
      <c r="A142" s="1254"/>
      <c r="B142" s="1255"/>
      <c r="C142" s="1254"/>
      <c r="D142" s="1254"/>
      <c r="E142" s="1255"/>
      <c r="F142" s="1255"/>
      <c r="G142" s="1254"/>
      <c r="H142" s="1254"/>
    </row>
    <row r="143" spans="1:8" x14ac:dyDescent="0.3">
      <c r="A143" s="1254"/>
      <c r="B143" s="1255"/>
      <c r="C143" s="1254"/>
      <c r="D143" s="1254"/>
      <c r="E143" s="1255"/>
      <c r="F143" s="1255"/>
      <c r="G143" s="1254"/>
      <c r="H143" s="1254"/>
    </row>
    <row r="144" spans="1:8" x14ac:dyDescent="0.3">
      <c r="A144" s="1254"/>
      <c r="B144" s="1255"/>
      <c r="C144" s="1254"/>
      <c r="D144" s="1254"/>
      <c r="E144" s="1255"/>
      <c r="F144" s="1255"/>
      <c r="G144" s="1254"/>
      <c r="H144" s="1254"/>
    </row>
    <row r="145" spans="1:8" x14ac:dyDescent="0.3">
      <c r="A145" s="1254"/>
      <c r="B145" s="1255"/>
      <c r="C145" s="1254"/>
      <c r="D145" s="1254"/>
      <c r="E145" s="1255"/>
      <c r="F145" s="1255"/>
      <c r="G145" s="1254"/>
      <c r="H145" s="1254"/>
    </row>
    <row r="146" spans="1:8" x14ac:dyDescent="0.3">
      <c r="A146" s="1254"/>
      <c r="B146" s="1255"/>
      <c r="C146" s="1254"/>
      <c r="D146" s="1254"/>
      <c r="E146" s="1255"/>
      <c r="F146" s="1255"/>
      <c r="G146" s="1254"/>
      <c r="H146" s="1254"/>
    </row>
    <row r="147" spans="1:8" x14ac:dyDescent="0.3">
      <c r="A147" s="1254"/>
      <c r="B147" s="1255"/>
      <c r="C147" s="1254"/>
      <c r="D147" s="1254"/>
      <c r="E147" s="1255"/>
      <c r="F147" s="1255"/>
      <c r="G147" s="1254"/>
      <c r="H147" s="1254"/>
    </row>
    <row r="148" spans="1:8" x14ac:dyDescent="0.3">
      <c r="A148" s="1254"/>
      <c r="B148" s="1255"/>
      <c r="C148" s="1254"/>
      <c r="D148" s="1254"/>
      <c r="E148" s="1255"/>
      <c r="F148" s="1255"/>
      <c r="G148" s="1254"/>
      <c r="H148" s="1254"/>
    </row>
    <row r="149" spans="1:8" x14ac:dyDescent="0.3">
      <c r="A149" s="1254"/>
      <c r="B149" s="1255"/>
      <c r="C149" s="1254"/>
      <c r="D149" s="1254"/>
      <c r="E149" s="1255"/>
      <c r="F149" s="1255"/>
      <c r="G149" s="1254"/>
      <c r="H149" s="1254"/>
    </row>
    <row r="150" spans="1:8" x14ac:dyDescent="0.3">
      <c r="A150" s="1254"/>
      <c r="B150" s="1255"/>
      <c r="C150" s="1254"/>
      <c r="D150" s="1254"/>
      <c r="E150" s="1255"/>
      <c r="F150" s="1255"/>
      <c r="G150" s="1254"/>
      <c r="H150" s="1254"/>
    </row>
    <row r="151" spans="1:8" x14ac:dyDescent="0.3">
      <c r="A151" s="1254"/>
      <c r="B151" s="1255"/>
      <c r="C151" s="1254"/>
      <c r="D151" s="1254"/>
      <c r="E151" s="1255"/>
      <c r="F151" s="1255"/>
      <c r="G151" s="1254"/>
      <c r="H151" s="1254"/>
    </row>
    <row r="152" spans="1:8" x14ac:dyDescent="0.3">
      <c r="A152" s="1254"/>
      <c r="B152" s="1255"/>
      <c r="C152" s="1254"/>
      <c r="D152" s="1254"/>
      <c r="E152" s="1255"/>
      <c r="F152" s="1255"/>
      <c r="G152" s="1254"/>
      <c r="H152" s="1254"/>
    </row>
    <row r="153" spans="1:8" x14ac:dyDescent="0.3">
      <c r="A153" s="1254"/>
      <c r="B153" s="1255"/>
      <c r="C153" s="1254"/>
      <c r="D153" s="1254"/>
      <c r="E153" s="1255"/>
      <c r="F153" s="1255"/>
      <c r="G153" s="1254"/>
      <c r="H153" s="1254"/>
    </row>
    <row r="154" spans="1:8" x14ac:dyDescent="0.3">
      <c r="A154" s="1254"/>
      <c r="B154" s="1255"/>
      <c r="C154" s="1254"/>
      <c r="D154" s="1254"/>
      <c r="E154" s="1255"/>
      <c r="F154" s="1255"/>
      <c r="G154" s="1254"/>
      <c r="H154" s="1254"/>
    </row>
    <row r="155" spans="1:8" x14ac:dyDescent="0.3">
      <c r="A155" s="1254"/>
      <c r="B155" s="1255"/>
      <c r="C155" s="1254"/>
      <c r="D155" s="1254"/>
      <c r="E155" s="1255"/>
      <c r="F155" s="1255"/>
      <c r="G155" s="1254"/>
      <c r="H155" s="1254"/>
    </row>
    <row r="156" spans="1:8" x14ac:dyDescent="0.3">
      <c r="A156" s="1254"/>
      <c r="B156" s="1255"/>
      <c r="C156" s="1254"/>
      <c r="D156" s="1254"/>
      <c r="E156" s="1255"/>
      <c r="F156" s="1255"/>
      <c r="G156" s="1254"/>
      <c r="H156" s="1254"/>
    </row>
    <row r="157" spans="1:8" x14ac:dyDescent="0.3">
      <c r="A157" s="1254"/>
      <c r="B157" s="1255"/>
      <c r="C157" s="1254"/>
      <c r="D157" s="1254"/>
      <c r="E157" s="1255"/>
      <c r="F157" s="1255"/>
      <c r="G157" s="1254"/>
      <c r="H157" s="1254"/>
    </row>
    <row r="158" spans="1:8" x14ac:dyDescent="0.3">
      <c r="A158" s="1254"/>
      <c r="B158" s="1255"/>
      <c r="C158" s="1254"/>
      <c r="D158" s="1254"/>
      <c r="E158" s="1255"/>
      <c r="F158" s="1255"/>
      <c r="G158" s="1254"/>
      <c r="H158" s="1254"/>
    </row>
    <row r="159" spans="1:8" x14ac:dyDescent="0.3">
      <c r="A159" s="1254"/>
      <c r="B159" s="1255"/>
      <c r="C159" s="1254"/>
      <c r="D159" s="1254"/>
      <c r="E159" s="1255"/>
      <c r="F159" s="1255"/>
      <c r="G159" s="1254"/>
      <c r="H159" s="1254"/>
    </row>
    <row r="160" spans="1:8" x14ac:dyDescent="0.3">
      <c r="A160" s="1254"/>
      <c r="B160" s="1255"/>
      <c r="C160" s="1254"/>
      <c r="D160" s="1254"/>
      <c r="E160" s="1255"/>
      <c r="F160" s="1255"/>
      <c r="G160" s="1254"/>
      <c r="H160" s="1254"/>
    </row>
    <row r="161" spans="1:8" x14ac:dyDescent="0.3">
      <c r="A161" s="1254"/>
      <c r="B161" s="1255"/>
      <c r="C161" s="1254"/>
      <c r="D161" s="1254"/>
      <c r="E161" s="1255"/>
      <c r="F161" s="1255"/>
      <c r="G161" s="1254"/>
      <c r="H161" s="1254"/>
    </row>
    <row r="162" spans="1:8" x14ac:dyDescent="0.3">
      <c r="A162" s="1254"/>
      <c r="B162" s="1255"/>
      <c r="C162" s="1254"/>
      <c r="D162" s="1254"/>
      <c r="E162" s="1255"/>
      <c r="F162" s="1255"/>
      <c r="G162" s="1254"/>
      <c r="H162" s="1254"/>
    </row>
    <row r="163" spans="1:8" x14ac:dyDescent="0.3">
      <c r="A163" s="1254"/>
      <c r="B163" s="1255"/>
      <c r="C163" s="1254"/>
      <c r="D163" s="1254"/>
      <c r="E163" s="1255"/>
      <c r="F163" s="1255"/>
      <c r="G163" s="1254"/>
      <c r="H163" s="1254"/>
    </row>
    <row r="164" spans="1:8" x14ac:dyDescent="0.3">
      <c r="A164" s="1254"/>
      <c r="B164" s="1255"/>
      <c r="C164" s="1254"/>
      <c r="D164" s="1254"/>
      <c r="E164" s="1255"/>
      <c r="F164" s="1255"/>
      <c r="G164" s="1254"/>
      <c r="H164" s="1254"/>
    </row>
    <row r="165" spans="1:8" x14ac:dyDescent="0.3">
      <c r="A165" s="1254"/>
      <c r="B165" s="1255"/>
      <c r="C165" s="1254"/>
      <c r="D165" s="1254"/>
      <c r="E165" s="1255"/>
      <c r="F165" s="1255"/>
      <c r="G165" s="1254"/>
      <c r="H165" s="1254"/>
    </row>
    <row r="166" spans="1:8" x14ac:dyDescent="0.3">
      <c r="A166" s="1254"/>
      <c r="B166" s="1255"/>
      <c r="C166" s="1254"/>
      <c r="D166" s="1254"/>
      <c r="E166" s="1255"/>
      <c r="F166" s="1255"/>
      <c r="G166" s="1254"/>
      <c r="H166" s="1254"/>
    </row>
    <row r="167" spans="1:8" x14ac:dyDescent="0.3">
      <c r="A167" s="1254"/>
      <c r="B167" s="1255"/>
      <c r="C167" s="1254"/>
      <c r="D167" s="1254"/>
      <c r="E167" s="1255"/>
      <c r="F167" s="1255"/>
      <c r="G167" s="1254"/>
      <c r="H167" s="1254"/>
    </row>
    <row r="168" spans="1:8" x14ac:dyDescent="0.3">
      <c r="A168" s="1254"/>
      <c r="B168" s="1255"/>
      <c r="C168" s="1254"/>
      <c r="D168" s="1254"/>
      <c r="E168" s="1255"/>
      <c r="F168" s="1255"/>
      <c r="G168" s="1254"/>
      <c r="H168" s="1254"/>
    </row>
    <row r="169" spans="1:8" x14ac:dyDescent="0.3">
      <c r="A169" s="1254"/>
      <c r="B169" s="1255"/>
      <c r="C169" s="1254"/>
      <c r="D169" s="1254"/>
      <c r="E169" s="1255"/>
      <c r="F169" s="1255"/>
      <c r="G169" s="1254"/>
      <c r="H169" s="1254"/>
    </row>
    <row r="170" spans="1:8" x14ac:dyDescent="0.3">
      <c r="A170" s="1254"/>
      <c r="B170" s="1255"/>
      <c r="C170" s="1254"/>
      <c r="D170" s="1254"/>
      <c r="E170" s="1255"/>
      <c r="F170" s="1255"/>
      <c r="G170" s="1254"/>
      <c r="H170" s="1254"/>
    </row>
    <row r="171" spans="1:8" x14ac:dyDescent="0.3">
      <c r="A171" s="1254"/>
      <c r="B171" s="1255"/>
      <c r="C171" s="1254"/>
      <c r="D171" s="1254"/>
      <c r="E171" s="1255"/>
      <c r="F171" s="1255"/>
      <c r="G171" s="1254"/>
      <c r="H171" s="1254"/>
    </row>
    <row r="172" spans="1:8" x14ac:dyDescent="0.3">
      <c r="A172" s="1254"/>
      <c r="B172" s="1255"/>
      <c r="C172" s="1254"/>
      <c r="D172" s="1254"/>
      <c r="E172" s="1255"/>
      <c r="F172" s="1255"/>
      <c r="G172" s="1254"/>
      <c r="H172" s="1254"/>
    </row>
    <row r="173" spans="1:8" x14ac:dyDescent="0.3">
      <c r="A173" s="1254"/>
      <c r="B173" s="1255"/>
      <c r="C173" s="1254"/>
      <c r="D173" s="1254"/>
      <c r="E173" s="1255"/>
      <c r="F173" s="1255"/>
      <c r="G173" s="1254"/>
      <c r="H173" s="1254"/>
    </row>
    <row r="174" spans="1:8" x14ac:dyDescent="0.3">
      <c r="A174" s="1254"/>
      <c r="B174" s="1255"/>
      <c r="C174" s="1254"/>
      <c r="D174" s="1254"/>
      <c r="E174" s="1255"/>
      <c r="F174" s="1255"/>
      <c r="G174" s="1254"/>
      <c r="H174" s="1254"/>
    </row>
    <row r="175" spans="1:8" x14ac:dyDescent="0.3">
      <c r="A175" s="1254"/>
      <c r="B175" s="1255"/>
      <c r="C175" s="1254"/>
      <c r="D175" s="1254"/>
      <c r="E175" s="1255"/>
      <c r="F175" s="1255"/>
      <c r="G175" s="1254"/>
      <c r="H175" s="1254"/>
    </row>
    <row r="176" spans="1:8" x14ac:dyDescent="0.3">
      <c r="A176" s="1254"/>
      <c r="B176" s="1255"/>
      <c r="C176" s="1254"/>
      <c r="D176" s="1254"/>
      <c r="E176" s="1255"/>
      <c r="F176" s="1255"/>
      <c r="G176" s="1254"/>
      <c r="H176" s="1254"/>
    </row>
    <row r="177" spans="1:8" x14ac:dyDescent="0.3">
      <c r="A177" s="1254"/>
      <c r="B177" s="1255"/>
      <c r="C177" s="1254"/>
      <c r="D177" s="1254"/>
      <c r="E177" s="1255"/>
      <c r="F177" s="1255"/>
      <c r="G177" s="1254"/>
      <c r="H177" s="1254"/>
    </row>
    <row r="178" spans="1:8" x14ac:dyDescent="0.3">
      <c r="A178" s="1254"/>
      <c r="B178" s="1255"/>
      <c r="C178" s="1254"/>
      <c r="D178" s="1254"/>
      <c r="E178" s="1255"/>
      <c r="F178" s="1255"/>
      <c r="G178" s="1254"/>
      <c r="H178" s="1254"/>
    </row>
    <row r="179" spans="1:8" x14ac:dyDescent="0.3">
      <c r="A179" s="1254"/>
      <c r="B179" s="1255"/>
      <c r="C179" s="1254"/>
      <c r="D179" s="1254"/>
      <c r="E179" s="1255"/>
      <c r="F179" s="1255"/>
      <c r="G179" s="1254"/>
      <c r="H179" s="1254"/>
    </row>
    <row r="180" spans="1:8" x14ac:dyDescent="0.3">
      <c r="A180" s="1254"/>
      <c r="B180" s="1255"/>
      <c r="C180" s="1254"/>
      <c r="D180" s="1254"/>
      <c r="E180" s="1255"/>
      <c r="F180" s="1255"/>
      <c r="G180" s="1254"/>
      <c r="H180" s="1254"/>
    </row>
    <row r="181" spans="1:8" x14ac:dyDescent="0.3">
      <c r="A181" s="1254"/>
      <c r="B181" s="1255"/>
      <c r="C181" s="1254"/>
      <c r="D181" s="1254"/>
      <c r="E181" s="1255"/>
      <c r="F181" s="1255"/>
      <c r="G181" s="1254"/>
      <c r="H181" s="1254"/>
    </row>
    <row r="182" spans="1:8" x14ac:dyDescent="0.3">
      <c r="A182" s="1254"/>
      <c r="B182" s="1255"/>
      <c r="C182" s="1254"/>
      <c r="D182" s="1254"/>
      <c r="E182" s="1255"/>
      <c r="F182" s="1255"/>
      <c r="G182" s="1254"/>
      <c r="H182" s="1254"/>
    </row>
    <row r="183" spans="1:8" x14ac:dyDescent="0.3">
      <c r="A183" s="1254"/>
      <c r="B183" s="1255"/>
      <c r="C183" s="1254"/>
      <c r="D183" s="1254"/>
      <c r="E183" s="1255"/>
      <c r="F183" s="1255"/>
      <c r="G183" s="1254"/>
      <c r="H183" s="1254"/>
    </row>
    <row r="184" spans="1:8" x14ac:dyDescent="0.3">
      <c r="A184" s="1254"/>
      <c r="B184" s="1255"/>
      <c r="C184" s="1254"/>
      <c r="D184" s="1254"/>
      <c r="E184" s="1255"/>
      <c r="F184" s="1255"/>
      <c r="G184" s="1254"/>
      <c r="H184" s="1254"/>
    </row>
    <row r="185" spans="1:8" x14ac:dyDescent="0.3">
      <c r="A185" s="1254"/>
      <c r="B185" s="1255"/>
      <c r="C185" s="1254"/>
      <c r="D185" s="1254"/>
      <c r="E185" s="1255"/>
      <c r="F185" s="1255"/>
      <c r="G185" s="1254"/>
      <c r="H185" s="1254"/>
    </row>
    <row r="186" spans="1:8" x14ac:dyDescent="0.3">
      <c r="A186" s="1254"/>
      <c r="B186" s="1255"/>
      <c r="C186" s="1254"/>
      <c r="D186" s="1254"/>
      <c r="E186" s="1255"/>
      <c r="F186" s="1255"/>
      <c r="G186" s="1254"/>
      <c r="H186" s="1254"/>
    </row>
    <row r="187" spans="1:8" x14ac:dyDescent="0.3">
      <c r="A187" s="1254"/>
      <c r="B187" s="1255"/>
      <c r="C187" s="1254"/>
      <c r="D187" s="1254"/>
      <c r="E187" s="1255"/>
      <c r="F187" s="1255"/>
      <c r="G187" s="1254"/>
      <c r="H187" s="1254"/>
    </row>
    <row r="188" spans="1:8" x14ac:dyDescent="0.3">
      <c r="A188" s="1254"/>
      <c r="B188" s="1255"/>
      <c r="C188" s="1254"/>
      <c r="D188" s="1254"/>
      <c r="E188" s="1255"/>
      <c r="F188" s="1255"/>
      <c r="G188" s="1254"/>
      <c r="H188" s="1254"/>
    </row>
    <row r="189" spans="1:8" x14ac:dyDescent="0.3">
      <c r="B189" s="666"/>
      <c r="E189" s="666"/>
      <c r="F189" s="666"/>
    </row>
    <row r="190" spans="1:8" x14ac:dyDescent="0.3">
      <c r="B190" s="666"/>
      <c r="E190" s="666"/>
      <c r="F190" s="666"/>
    </row>
    <row r="191" spans="1:8" x14ac:dyDescent="0.3">
      <c r="B191" s="666"/>
      <c r="E191" s="666"/>
      <c r="F191" s="666"/>
    </row>
    <row r="192" spans="1:8" x14ac:dyDescent="0.3">
      <c r="B192" s="666"/>
      <c r="E192" s="666"/>
      <c r="F192" s="666"/>
    </row>
    <row r="193" spans="2:6" x14ac:dyDescent="0.3">
      <c r="B193" s="666"/>
      <c r="E193" s="666"/>
      <c r="F193" s="666"/>
    </row>
    <row r="194" spans="2:6" x14ac:dyDescent="0.3">
      <c r="B194" s="666"/>
      <c r="E194" s="666"/>
      <c r="F194" s="666"/>
    </row>
    <row r="195" spans="2:6" x14ac:dyDescent="0.3">
      <c r="B195" s="666"/>
      <c r="E195" s="666"/>
      <c r="F195" s="666"/>
    </row>
    <row r="196" spans="2:6" x14ac:dyDescent="0.3">
      <c r="B196" s="666"/>
      <c r="E196" s="666"/>
      <c r="F196" s="666"/>
    </row>
    <row r="197" spans="2:6" x14ac:dyDescent="0.3">
      <c r="B197" s="666"/>
      <c r="E197" s="666"/>
      <c r="F197" s="666"/>
    </row>
    <row r="198" spans="2:6" x14ac:dyDescent="0.3">
      <c r="B198" s="666"/>
      <c r="E198" s="666"/>
      <c r="F198" s="666"/>
    </row>
    <row r="199" spans="2:6" x14ac:dyDescent="0.3">
      <c r="B199" s="666"/>
      <c r="E199" s="666"/>
      <c r="F199" s="666"/>
    </row>
    <row r="200" spans="2:6" x14ac:dyDescent="0.3">
      <c r="B200" s="666"/>
      <c r="E200" s="666"/>
      <c r="F200" s="666"/>
    </row>
    <row r="201" spans="2:6" x14ac:dyDescent="0.3">
      <c r="B201" s="666"/>
      <c r="E201" s="666"/>
      <c r="F201" s="666"/>
    </row>
    <row r="202" spans="2:6" x14ac:dyDescent="0.3">
      <c r="B202" s="666"/>
      <c r="E202" s="666"/>
      <c r="F202" s="666"/>
    </row>
    <row r="203" spans="2:6" x14ac:dyDescent="0.3">
      <c r="B203" s="666"/>
      <c r="E203" s="666"/>
      <c r="F203" s="666"/>
    </row>
    <row r="204" spans="2:6" x14ac:dyDescent="0.3">
      <c r="B204" s="666"/>
      <c r="E204" s="666"/>
      <c r="F204" s="666"/>
    </row>
    <row r="205" spans="2:6" x14ac:dyDescent="0.3">
      <c r="B205" s="666"/>
      <c r="E205" s="666"/>
      <c r="F205" s="666"/>
    </row>
    <row r="206" spans="2:6" x14ac:dyDescent="0.3">
      <c r="B206" s="666"/>
      <c r="E206" s="666"/>
      <c r="F206" s="666"/>
    </row>
    <row r="207" spans="2:6" x14ac:dyDescent="0.3">
      <c r="B207" s="666"/>
      <c r="E207" s="666"/>
      <c r="F207" s="666"/>
    </row>
    <row r="208" spans="2:6" x14ac:dyDescent="0.3">
      <c r="B208" s="666"/>
      <c r="E208" s="666"/>
      <c r="F208" s="666"/>
    </row>
    <row r="209" spans="2:6" x14ac:dyDescent="0.3">
      <c r="B209" s="666"/>
      <c r="E209" s="666"/>
      <c r="F209" s="666"/>
    </row>
    <row r="210" spans="2:6" x14ac:dyDescent="0.3">
      <c r="B210" s="666"/>
      <c r="E210" s="666"/>
      <c r="F210" s="666"/>
    </row>
    <row r="211" spans="2:6" x14ac:dyDescent="0.3">
      <c r="B211" s="666"/>
      <c r="E211" s="666"/>
      <c r="F211" s="666"/>
    </row>
    <row r="212" spans="2:6" x14ac:dyDescent="0.3">
      <c r="B212" s="666"/>
      <c r="E212" s="666"/>
      <c r="F212" s="666"/>
    </row>
    <row r="213" spans="2:6" x14ac:dyDescent="0.3">
      <c r="B213" s="666"/>
      <c r="E213" s="666"/>
      <c r="F213" s="666"/>
    </row>
    <row r="214" spans="2:6" x14ac:dyDescent="0.3">
      <c r="B214" s="666"/>
      <c r="E214" s="666"/>
      <c r="F214" s="666"/>
    </row>
    <row r="215" spans="2:6" x14ac:dyDescent="0.3">
      <c r="B215" s="666"/>
      <c r="E215" s="666"/>
      <c r="F215" s="666"/>
    </row>
    <row r="216" spans="2:6" x14ac:dyDescent="0.3">
      <c r="B216" s="666"/>
      <c r="E216" s="666"/>
      <c r="F216" s="666"/>
    </row>
    <row r="217" spans="2:6" x14ac:dyDescent="0.3">
      <c r="B217" s="666"/>
      <c r="E217" s="666"/>
      <c r="F217" s="666"/>
    </row>
    <row r="218" spans="2:6" x14ac:dyDescent="0.3">
      <c r="B218" s="666"/>
      <c r="E218" s="666"/>
      <c r="F218" s="666"/>
    </row>
    <row r="219" spans="2:6" x14ac:dyDescent="0.3">
      <c r="B219" s="666"/>
      <c r="E219" s="666"/>
      <c r="F219" s="666"/>
    </row>
    <row r="220" spans="2:6" x14ac:dyDescent="0.3">
      <c r="B220" s="666"/>
      <c r="E220" s="666"/>
      <c r="F220" s="666"/>
    </row>
    <row r="221" spans="2:6" x14ac:dyDescent="0.3">
      <c r="B221" s="666"/>
      <c r="E221" s="666"/>
      <c r="F221" s="666"/>
    </row>
    <row r="222" spans="2:6" x14ac:dyDescent="0.3">
      <c r="B222" s="666"/>
      <c r="E222" s="666"/>
      <c r="F222" s="666"/>
    </row>
    <row r="223" spans="2:6" x14ac:dyDescent="0.3">
      <c r="B223" s="666"/>
      <c r="E223" s="666"/>
      <c r="F223" s="666"/>
    </row>
    <row r="224" spans="2:6" x14ac:dyDescent="0.3">
      <c r="B224" s="666"/>
      <c r="E224" s="666"/>
      <c r="F224" s="666"/>
    </row>
    <row r="225" spans="2:6" x14ac:dyDescent="0.3">
      <c r="B225" s="666"/>
      <c r="E225" s="666"/>
      <c r="F225" s="666"/>
    </row>
    <row r="226" spans="2:6" x14ac:dyDescent="0.3">
      <c r="B226" s="666"/>
      <c r="E226" s="666"/>
      <c r="F226" s="666"/>
    </row>
    <row r="227" spans="2:6" x14ac:dyDescent="0.3">
      <c r="B227" s="666"/>
      <c r="E227" s="666"/>
      <c r="F227" s="666"/>
    </row>
    <row r="228" spans="2:6" x14ac:dyDescent="0.3">
      <c r="B228" s="666"/>
      <c r="E228" s="666"/>
      <c r="F228" s="666"/>
    </row>
    <row r="229" spans="2:6" x14ac:dyDescent="0.3">
      <c r="B229" s="666"/>
      <c r="E229" s="666"/>
      <c r="F229" s="666"/>
    </row>
    <row r="230" spans="2:6" x14ac:dyDescent="0.3">
      <c r="B230" s="666"/>
      <c r="E230" s="666"/>
      <c r="F230" s="666"/>
    </row>
    <row r="231" spans="2:6" x14ac:dyDescent="0.3">
      <c r="B231" s="666"/>
      <c r="E231" s="666"/>
      <c r="F231" s="666"/>
    </row>
    <row r="232" spans="2:6" x14ac:dyDescent="0.3">
      <c r="B232" s="666"/>
      <c r="E232" s="666"/>
      <c r="F232" s="666"/>
    </row>
    <row r="233" spans="2:6" x14ac:dyDescent="0.3">
      <c r="B233" s="666"/>
      <c r="E233" s="666"/>
      <c r="F233" s="666"/>
    </row>
    <row r="234" spans="2:6" x14ac:dyDescent="0.3">
      <c r="B234" s="666"/>
      <c r="E234" s="666"/>
      <c r="F234" s="666"/>
    </row>
    <row r="235" spans="2:6" x14ac:dyDescent="0.3">
      <c r="B235" s="666"/>
      <c r="E235" s="666"/>
      <c r="F235" s="666"/>
    </row>
    <row r="236" spans="2:6" x14ac:dyDescent="0.3">
      <c r="B236" s="666"/>
      <c r="E236" s="666"/>
      <c r="F236" s="666"/>
    </row>
    <row r="237" spans="2:6" x14ac:dyDescent="0.3">
      <c r="B237" s="666"/>
      <c r="E237" s="666"/>
      <c r="F237" s="666"/>
    </row>
    <row r="238" spans="2:6" x14ac:dyDescent="0.3">
      <c r="B238" s="666"/>
      <c r="E238" s="666"/>
      <c r="F238" s="666"/>
    </row>
    <row r="239" spans="2:6" x14ac:dyDescent="0.3">
      <c r="B239" s="666"/>
      <c r="E239" s="666"/>
      <c r="F239" s="666"/>
    </row>
    <row r="240" spans="2:6" x14ac:dyDescent="0.3">
      <c r="B240" s="666"/>
      <c r="E240" s="666"/>
      <c r="F240" s="666"/>
    </row>
    <row r="241" spans="2:6" x14ac:dyDescent="0.3">
      <c r="B241" s="666"/>
      <c r="E241" s="666"/>
      <c r="F241" s="666"/>
    </row>
    <row r="242" spans="2:6" x14ac:dyDescent="0.3">
      <c r="B242" s="666"/>
      <c r="E242" s="666"/>
      <c r="F242" s="666"/>
    </row>
    <row r="243" spans="2:6" x14ac:dyDescent="0.3">
      <c r="B243" s="666"/>
      <c r="E243" s="666"/>
      <c r="F243" s="666"/>
    </row>
    <row r="244" spans="2:6" x14ac:dyDescent="0.3">
      <c r="B244" s="666"/>
      <c r="E244" s="666"/>
      <c r="F244" s="666"/>
    </row>
    <row r="245" spans="2:6" x14ac:dyDescent="0.3">
      <c r="B245" s="666"/>
      <c r="E245" s="666"/>
      <c r="F245" s="666"/>
    </row>
    <row r="246" spans="2:6" x14ac:dyDescent="0.3">
      <c r="B246" s="666"/>
      <c r="E246" s="666"/>
      <c r="F246" s="666"/>
    </row>
    <row r="247" spans="2:6" x14ac:dyDescent="0.3">
      <c r="B247" s="666"/>
      <c r="E247" s="666"/>
      <c r="F247" s="666"/>
    </row>
    <row r="248" spans="2:6" x14ac:dyDescent="0.3">
      <c r="B248" s="666"/>
      <c r="E248" s="666"/>
      <c r="F248" s="666"/>
    </row>
    <row r="249" spans="2:6" x14ac:dyDescent="0.3">
      <c r="B249" s="666"/>
      <c r="E249" s="666"/>
      <c r="F249" s="666"/>
    </row>
    <row r="250" spans="2:6" x14ac:dyDescent="0.3">
      <c r="B250" s="666"/>
      <c r="E250" s="666"/>
      <c r="F250" s="666"/>
    </row>
    <row r="251" spans="2:6" x14ac:dyDescent="0.3">
      <c r="B251" s="666"/>
      <c r="E251" s="666"/>
      <c r="F251" s="666"/>
    </row>
    <row r="252" spans="2:6" x14ac:dyDescent="0.3">
      <c r="B252" s="666"/>
      <c r="E252" s="666"/>
      <c r="F252" s="666"/>
    </row>
    <row r="253" spans="2:6" x14ac:dyDescent="0.3">
      <c r="B253" s="666"/>
      <c r="E253" s="666"/>
      <c r="F253" s="666"/>
    </row>
    <row r="254" spans="2:6" x14ac:dyDescent="0.3">
      <c r="B254" s="666"/>
      <c r="E254" s="666"/>
      <c r="F254" s="666"/>
    </row>
    <row r="255" spans="2:6" x14ac:dyDescent="0.3">
      <c r="B255" s="666"/>
      <c r="E255" s="666"/>
      <c r="F255" s="666"/>
    </row>
    <row r="256" spans="2:6" x14ac:dyDescent="0.3">
      <c r="B256" s="666"/>
      <c r="E256" s="666"/>
      <c r="F256" s="666"/>
    </row>
    <row r="257" spans="2:6" x14ac:dyDescent="0.3">
      <c r="B257" s="666"/>
      <c r="E257" s="666"/>
      <c r="F257" s="666"/>
    </row>
    <row r="258" spans="2:6" x14ac:dyDescent="0.3">
      <c r="B258" s="666"/>
      <c r="E258" s="666"/>
      <c r="F258" s="666"/>
    </row>
    <row r="259" spans="2:6" x14ac:dyDescent="0.3">
      <c r="B259" s="666"/>
      <c r="E259" s="666"/>
      <c r="F259" s="666"/>
    </row>
    <row r="260" spans="2:6" x14ac:dyDescent="0.3">
      <c r="B260" s="666"/>
      <c r="E260" s="666"/>
      <c r="F260" s="666"/>
    </row>
    <row r="261" spans="2:6" x14ac:dyDescent="0.3">
      <c r="B261" s="666"/>
      <c r="E261" s="666"/>
      <c r="F261" s="666"/>
    </row>
    <row r="262" spans="2:6" x14ac:dyDescent="0.3">
      <c r="B262" s="666"/>
      <c r="E262" s="666"/>
      <c r="F262" s="666"/>
    </row>
    <row r="263" spans="2:6" x14ac:dyDescent="0.3">
      <c r="B263" s="666"/>
      <c r="E263" s="666"/>
      <c r="F263" s="666"/>
    </row>
    <row r="264" spans="2:6" x14ac:dyDescent="0.3">
      <c r="B264" s="666"/>
      <c r="E264" s="666"/>
      <c r="F264" s="666"/>
    </row>
    <row r="265" spans="2:6" x14ac:dyDescent="0.3">
      <c r="B265" s="666"/>
      <c r="E265" s="666"/>
      <c r="F265" s="666"/>
    </row>
    <row r="266" spans="2:6" x14ac:dyDescent="0.3">
      <c r="B266" s="666"/>
      <c r="E266" s="666"/>
      <c r="F266" s="666"/>
    </row>
    <row r="267" spans="2:6" x14ac:dyDescent="0.3">
      <c r="B267" s="666"/>
      <c r="E267" s="666"/>
      <c r="F267" s="666"/>
    </row>
    <row r="268" spans="2:6" x14ac:dyDescent="0.3">
      <c r="B268" s="666"/>
      <c r="E268" s="666"/>
      <c r="F268" s="666"/>
    </row>
    <row r="269" spans="2:6" x14ac:dyDescent="0.3">
      <c r="B269" s="666"/>
      <c r="E269" s="666"/>
      <c r="F269" s="666"/>
    </row>
    <row r="270" spans="2:6" x14ac:dyDescent="0.3">
      <c r="B270" s="666"/>
      <c r="E270" s="666"/>
      <c r="F270" s="666"/>
    </row>
    <row r="271" spans="2:6" x14ac:dyDescent="0.3">
      <c r="B271" s="666"/>
      <c r="E271" s="666"/>
      <c r="F271" s="666"/>
    </row>
    <row r="272" spans="2:6" x14ac:dyDescent="0.3">
      <c r="B272" s="666"/>
      <c r="E272" s="666"/>
      <c r="F272" s="666"/>
    </row>
    <row r="273" spans="2:6" x14ac:dyDescent="0.3">
      <c r="B273" s="666"/>
      <c r="E273" s="666"/>
      <c r="F273" s="666"/>
    </row>
    <row r="274" spans="2:6" x14ac:dyDescent="0.3">
      <c r="B274" s="666"/>
      <c r="E274" s="666"/>
      <c r="F274" s="666"/>
    </row>
    <row r="275" spans="2:6" x14ac:dyDescent="0.3">
      <c r="B275" s="666"/>
      <c r="E275" s="666"/>
      <c r="F275" s="666"/>
    </row>
    <row r="276" spans="2:6" x14ac:dyDescent="0.3">
      <c r="B276" s="666"/>
      <c r="E276" s="666"/>
      <c r="F276" s="666"/>
    </row>
    <row r="277" spans="2:6" x14ac:dyDescent="0.3">
      <c r="B277" s="666"/>
      <c r="E277" s="666"/>
      <c r="F277" s="666"/>
    </row>
    <row r="278" spans="2:6" x14ac:dyDescent="0.3">
      <c r="B278" s="666"/>
      <c r="E278" s="666"/>
      <c r="F278" s="666"/>
    </row>
    <row r="279" spans="2:6" x14ac:dyDescent="0.3">
      <c r="B279" s="666"/>
      <c r="E279" s="666"/>
      <c r="F279" s="666"/>
    </row>
    <row r="280" spans="2:6" x14ac:dyDescent="0.3">
      <c r="B280" s="666"/>
      <c r="E280" s="666"/>
      <c r="F280" s="666"/>
    </row>
    <row r="281" spans="2:6" x14ac:dyDescent="0.3">
      <c r="B281" s="666"/>
      <c r="E281" s="666"/>
      <c r="F281" s="666"/>
    </row>
    <row r="282" spans="2:6" x14ac:dyDescent="0.3">
      <c r="B282" s="666"/>
      <c r="E282" s="666"/>
      <c r="F282" s="666"/>
    </row>
    <row r="283" spans="2:6" x14ac:dyDescent="0.3">
      <c r="B283" s="666"/>
      <c r="E283" s="666"/>
      <c r="F283" s="666"/>
    </row>
    <row r="284" spans="2:6" x14ac:dyDescent="0.3">
      <c r="B284" s="666"/>
      <c r="E284" s="666"/>
      <c r="F284" s="666"/>
    </row>
    <row r="285" spans="2:6" x14ac:dyDescent="0.3">
      <c r="B285" s="666"/>
      <c r="E285" s="666"/>
      <c r="F285" s="666"/>
    </row>
    <row r="286" spans="2:6" x14ac:dyDescent="0.3">
      <c r="B286" s="666"/>
      <c r="E286" s="666"/>
      <c r="F286" s="666"/>
    </row>
    <row r="287" spans="2:6" x14ac:dyDescent="0.3">
      <c r="B287" s="666"/>
      <c r="E287" s="666"/>
      <c r="F287" s="666"/>
    </row>
    <row r="288" spans="2:6" x14ac:dyDescent="0.3">
      <c r="B288" s="666"/>
      <c r="E288" s="666"/>
      <c r="F288" s="666"/>
    </row>
    <row r="289" spans="2:6" x14ac:dyDescent="0.3">
      <c r="B289" s="666"/>
      <c r="E289" s="666"/>
      <c r="F289" s="666"/>
    </row>
    <row r="290" spans="2:6" x14ac:dyDescent="0.3">
      <c r="B290" s="666"/>
      <c r="E290" s="666"/>
      <c r="F290" s="666"/>
    </row>
    <row r="291" spans="2:6" x14ac:dyDescent="0.3">
      <c r="B291" s="666"/>
      <c r="E291" s="666"/>
      <c r="F291" s="666"/>
    </row>
    <row r="292" spans="2:6" x14ac:dyDescent="0.3">
      <c r="B292" s="666"/>
      <c r="E292" s="666"/>
      <c r="F292" s="666"/>
    </row>
    <row r="293" spans="2:6" x14ac:dyDescent="0.3">
      <c r="B293" s="666"/>
      <c r="E293" s="666"/>
      <c r="F293" s="666"/>
    </row>
    <row r="294" spans="2:6" x14ac:dyDescent="0.3">
      <c r="B294" s="666"/>
      <c r="E294" s="666"/>
      <c r="F294" s="666"/>
    </row>
    <row r="295" spans="2:6" x14ac:dyDescent="0.3">
      <c r="B295" s="666"/>
      <c r="E295" s="666"/>
      <c r="F295" s="666"/>
    </row>
    <row r="296" spans="2:6" x14ac:dyDescent="0.3">
      <c r="B296" s="666"/>
      <c r="E296" s="666"/>
      <c r="F296" s="666"/>
    </row>
    <row r="297" spans="2:6" x14ac:dyDescent="0.3">
      <c r="B297" s="666"/>
      <c r="E297" s="666"/>
      <c r="F297" s="666"/>
    </row>
    <row r="298" spans="2:6" x14ac:dyDescent="0.3">
      <c r="B298" s="666"/>
      <c r="E298" s="666"/>
      <c r="F298" s="666"/>
    </row>
    <row r="299" spans="2:6" x14ac:dyDescent="0.3">
      <c r="B299" s="666"/>
      <c r="E299" s="666"/>
      <c r="F299" s="666"/>
    </row>
    <row r="300" spans="2:6" x14ac:dyDescent="0.3">
      <c r="B300" s="666"/>
      <c r="E300" s="666"/>
      <c r="F300" s="666"/>
    </row>
    <row r="301" spans="2:6" x14ac:dyDescent="0.3">
      <c r="B301" s="666"/>
      <c r="E301" s="666"/>
      <c r="F301" s="666"/>
    </row>
    <row r="302" spans="2:6" x14ac:dyDescent="0.3">
      <c r="B302" s="666"/>
      <c r="E302" s="666"/>
      <c r="F302" s="666"/>
    </row>
    <row r="303" spans="2:6" x14ac:dyDescent="0.3">
      <c r="B303" s="666"/>
      <c r="E303" s="666"/>
      <c r="F303" s="666"/>
    </row>
    <row r="304" spans="2:6" x14ac:dyDescent="0.3">
      <c r="B304" s="666"/>
      <c r="E304" s="666"/>
      <c r="F304" s="666"/>
    </row>
    <row r="305" spans="2:6" x14ac:dyDescent="0.3">
      <c r="B305" s="666"/>
      <c r="E305" s="666"/>
      <c r="F305" s="666"/>
    </row>
    <row r="306" spans="2:6" x14ac:dyDescent="0.3">
      <c r="B306" s="666"/>
      <c r="E306" s="666"/>
      <c r="F306" s="666"/>
    </row>
    <row r="307" spans="2:6" x14ac:dyDescent="0.3">
      <c r="B307" s="666"/>
      <c r="E307" s="666"/>
      <c r="F307" s="666"/>
    </row>
    <row r="308" spans="2:6" x14ac:dyDescent="0.3">
      <c r="B308" s="666"/>
      <c r="E308" s="666"/>
      <c r="F308" s="666"/>
    </row>
    <row r="309" spans="2:6" x14ac:dyDescent="0.3">
      <c r="B309" s="666"/>
      <c r="E309" s="666"/>
      <c r="F309" s="666"/>
    </row>
    <row r="310" spans="2:6" x14ac:dyDescent="0.3">
      <c r="B310" s="666"/>
      <c r="E310" s="666"/>
      <c r="F310" s="666"/>
    </row>
    <row r="311" spans="2:6" x14ac:dyDescent="0.3">
      <c r="B311" s="666"/>
      <c r="E311" s="666"/>
      <c r="F311" s="666"/>
    </row>
    <row r="312" spans="2:6" x14ac:dyDescent="0.3">
      <c r="B312" s="666"/>
      <c r="E312" s="666"/>
      <c r="F312" s="666"/>
    </row>
    <row r="313" spans="2:6" x14ac:dyDescent="0.3">
      <c r="B313" s="666"/>
      <c r="E313" s="666"/>
      <c r="F313" s="666"/>
    </row>
    <row r="314" spans="2:6" x14ac:dyDescent="0.3">
      <c r="B314" s="666"/>
      <c r="E314" s="666"/>
      <c r="F314" s="666"/>
    </row>
    <row r="315" spans="2:6" x14ac:dyDescent="0.3">
      <c r="B315" s="666"/>
      <c r="E315" s="666"/>
      <c r="F315" s="666"/>
    </row>
    <row r="316" spans="2:6" x14ac:dyDescent="0.3">
      <c r="B316" s="666"/>
      <c r="E316" s="666"/>
      <c r="F316" s="666"/>
    </row>
    <row r="317" spans="2:6" x14ac:dyDescent="0.3">
      <c r="B317" s="666"/>
      <c r="E317" s="666"/>
      <c r="F317" s="666"/>
    </row>
    <row r="318" spans="2:6" x14ac:dyDescent="0.3">
      <c r="B318" s="666"/>
      <c r="E318" s="666"/>
      <c r="F318" s="666"/>
    </row>
    <row r="319" spans="2:6" x14ac:dyDescent="0.3">
      <c r="B319" s="666"/>
      <c r="E319" s="666"/>
      <c r="F319" s="666"/>
    </row>
    <row r="320" spans="2:6" x14ac:dyDescent="0.3">
      <c r="B320" s="666"/>
      <c r="E320" s="666"/>
      <c r="F320" s="666"/>
    </row>
    <row r="321" spans="2:6" x14ac:dyDescent="0.3">
      <c r="B321" s="666"/>
      <c r="E321" s="666"/>
      <c r="F321" s="666"/>
    </row>
    <row r="322" spans="2:6" x14ac:dyDescent="0.3">
      <c r="B322" s="666"/>
      <c r="E322" s="666"/>
      <c r="F322" s="666"/>
    </row>
    <row r="323" spans="2:6" x14ac:dyDescent="0.3">
      <c r="B323" s="666"/>
      <c r="E323" s="666"/>
      <c r="F323" s="666"/>
    </row>
    <row r="324" spans="2:6" x14ac:dyDescent="0.3">
      <c r="B324" s="666"/>
      <c r="E324" s="666"/>
      <c r="F324" s="666"/>
    </row>
    <row r="325" spans="2:6" x14ac:dyDescent="0.3">
      <c r="B325" s="666"/>
      <c r="E325" s="666"/>
      <c r="F325" s="666"/>
    </row>
    <row r="326" spans="2:6" x14ac:dyDescent="0.3">
      <c r="B326" s="666"/>
      <c r="E326" s="666"/>
      <c r="F326" s="666"/>
    </row>
    <row r="327" spans="2:6" x14ac:dyDescent="0.3">
      <c r="B327" s="666"/>
      <c r="E327" s="666"/>
      <c r="F327" s="666"/>
    </row>
    <row r="328" spans="2:6" x14ac:dyDescent="0.3">
      <c r="B328" s="666"/>
      <c r="E328" s="666"/>
      <c r="F328" s="666"/>
    </row>
    <row r="329" spans="2:6" x14ac:dyDescent="0.3">
      <c r="B329" s="666"/>
      <c r="E329" s="666"/>
      <c r="F329" s="666"/>
    </row>
    <row r="330" spans="2:6" x14ac:dyDescent="0.3">
      <c r="B330" s="666"/>
      <c r="E330" s="666"/>
      <c r="F330" s="666"/>
    </row>
    <row r="331" spans="2:6" x14ac:dyDescent="0.3">
      <c r="B331" s="666"/>
      <c r="E331" s="666"/>
      <c r="F331" s="666"/>
    </row>
    <row r="332" spans="2:6" x14ac:dyDescent="0.3">
      <c r="B332" s="666"/>
      <c r="E332" s="666"/>
      <c r="F332" s="666"/>
    </row>
    <row r="333" spans="2:6" x14ac:dyDescent="0.3">
      <c r="B333" s="666"/>
      <c r="E333" s="666"/>
      <c r="F333" s="666"/>
    </row>
    <row r="334" spans="2:6" x14ac:dyDescent="0.3">
      <c r="B334" s="666"/>
      <c r="E334" s="666"/>
      <c r="F334" s="666"/>
    </row>
    <row r="335" spans="2:6" x14ac:dyDescent="0.3">
      <c r="B335" s="666"/>
      <c r="E335" s="666"/>
      <c r="F335" s="666"/>
    </row>
    <row r="336" spans="2:6" x14ac:dyDescent="0.3">
      <c r="B336" s="666"/>
      <c r="E336" s="666"/>
      <c r="F336" s="666"/>
    </row>
    <row r="337" spans="2:6" x14ac:dyDescent="0.3">
      <c r="B337" s="666"/>
      <c r="E337" s="666"/>
      <c r="F337" s="666"/>
    </row>
    <row r="338" spans="2:6" x14ac:dyDescent="0.3">
      <c r="B338" s="666"/>
      <c r="E338" s="666"/>
      <c r="F338" s="666"/>
    </row>
    <row r="339" spans="2:6" x14ac:dyDescent="0.3">
      <c r="B339" s="666"/>
      <c r="E339" s="666"/>
      <c r="F339" s="666"/>
    </row>
    <row r="340" spans="2:6" x14ac:dyDescent="0.3">
      <c r="B340" s="666"/>
      <c r="E340" s="666"/>
      <c r="F340" s="666"/>
    </row>
    <row r="341" spans="2:6" x14ac:dyDescent="0.3">
      <c r="B341" s="666"/>
      <c r="E341" s="666"/>
      <c r="F341" s="666"/>
    </row>
    <row r="342" spans="2:6" x14ac:dyDescent="0.3">
      <c r="B342" s="666"/>
      <c r="E342" s="666"/>
      <c r="F342" s="666"/>
    </row>
    <row r="343" spans="2:6" x14ac:dyDescent="0.3">
      <c r="B343" s="666"/>
      <c r="E343" s="666"/>
      <c r="F343" s="666"/>
    </row>
    <row r="344" spans="2:6" x14ac:dyDescent="0.3">
      <c r="B344" s="666"/>
      <c r="E344" s="666"/>
      <c r="F344" s="666"/>
    </row>
    <row r="345" spans="2:6" x14ac:dyDescent="0.3">
      <c r="B345" s="666"/>
      <c r="E345" s="666"/>
      <c r="F345" s="666"/>
    </row>
    <row r="346" spans="2:6" x14ac:dyDescent="0.3">
      <c r="B346" s="666"/>
      <c r="E346" s="666"/>
      <c r="F346" s="666"/>
    </row>
    <row r="347" spans="2:6" x14ac:dyDescent="0.3">
      <c r="B347" s="666"/>
      <c r="E347" s="666"/>
      <c r="F347" s="666"/>
    </row>
    <row r="348" spans="2:6" x14ac:dyDescent="0.3">
      <c r="B348" s="666"/>
      <c r="E348" s="666"/>
      <c r="F348" s="666"/>
    </row>
    <row r="349" spans="2:6" x14ac:dyDescent="0.3">
      <c r="B349" s="666"/>
      <c r="E349" s="666"/>
      <c r="F349" s="666"/>
    </row>
    <row r="350" spans="2:6" x14ac:dyDescent="0.3">
      <c r="B350" s="666"/>
      <c r="E350" s="666"/>
      <c r="F350" s="666"/>
    </row>
    <row r="351" spans="2:6" x14ac:dyDescent="0.3">
      <c r="B351" s="666"/>
      <c r="E351" s="666"/>
      <c r="F351" s="666"/>
    </row>
    <row r="352" spans="2:6" x14ac:dyDescent="0.3">
      <c r="B352" s="666"/>
      <c r="E352" s="666"/>
      <c r="F352" s="666"/>
    </row>
    <row r="353" spans="2:6" x14ac:dyDescent="0.3">
      <c r="B353" s="666"/>
      <c r="E353" s="666"/>
      <c r="F353" s="666"/>
    </row>
    <row r="354" spans="2:6" x14ac:dyDescent="0.3">
      <c r="B354" s="666"/>
      <c r="E354" s="666"/>
      <c r="F354" s="666"/>
    </row>
    <row r="355" spans="2:6" x14ac:dyDescent="0.3">
      <c r="B355" s="666"/>
      <c r="E355" s="666"/>
      <c r="F355" s="666"/>
    </row>
    <row r="356" spans="2:6" x14ac:dyDescent="0.3">
      <c r="B356" s="666"/>
      <c r="E356" s="666"/>
      <c r="F356" s="666"/>
    </row>
    <row r="357" spans="2:6" x14ac:dyDescent="0.3">
      <c r="B357" s="666"/>
      <c r="E357" s="666"/>
      <c r="F357" s="666"/>
    </row>
    <row r="358" spans="2:6" x14ac:dyDescent="0.3">
      <c r="B358" s="666"/>
      <c r="E358" s="666"/>
      <c r="F358" s="666"/>
    </row>
    <row r="359" spans="2:6" x14ac:dyDescent="0.3">
      <c r="B359" s="666"/>
      <c r="E359" s="666"/>
      <c r="F359" s="666"/>
    </row>
    <row r="360" spans="2:6" x14ac:dyDescent="0.3">
      <c r="B360" s="666"/>
      <c r="E360" s="666"/>
      <c r="F360" s="666"/>
    </row>
    <row r="361" spans="2:6" x14ac:dyDescent="0.3">
      <c r="B361" s="666"/>
      <c r="E361" s="666"/>
      <c r="F361" s="666"/>
    </row>
    <row r="362" spans="2:6" x14ac:dyDescent="0.3">
      <c r="B362" s="666"/>
      <c r="E362" s="666"/>
      <c r="F362" s="666"/>
    </row>
    <row r="363" spans="2:6" x14ac:dyDescent="0.3">
      <c r="B363" s="666"/>
      <c r="E363" s="666"/>
      <c r="F363" s="666"/>
    </row>
    <row r="364" spans="2:6" x14ac:dyDescent="0.3">
      <c r="B364" s="666"/>
      <c r="E364" s="666"/>
      <c r="F364" s="666"/>
    </row>
    <row r="365" spans="2:6" x14ac:dyDescent="0.3">
      <c r="B365" s="666"/>
      <c r="E365" s="666"/>
      <c r="F365" s="666"/>
    </row>
    <row r="366" spans="2:6" x14ac:dyDescent="0.3">
      <c r="B366" s="666"/>
      <c r="E366" s="666"/>
      <c r="F366" s="666"/>
    </row>
    <row r="367" spans="2:6" x14ac:dyDescent="0.3">
      <c r="B367" s="666"/>
      <c r="E367" s="666"/>
      <c r="F367" s="666"/>
    </row>
    <row r="368" spans="2:6" x14ac:dyDescent="0.3">
      <c r="B368" s="666"/>
      <c r="E368" s="666"/>
      <c r="F368" s="666"/>
    </row>
    <row r="369" spans="2:6" x14ac:dyDescent="0.3">
      <c r="B369" s="666"/>
      <c r="E369" s="666"/>
      <c r="F369" s="666"/>
    </row>
    <row r="370" spans="2:6" x14ac:dyDescent="0.3">
      <c r="B370" s="666"/>
      <c r="E370" s="666"/>
      <c r="F370" s="666"/>
    </row>
    <row r="371" spans="2:6" x14ac:dyDescent="0.3">
      <c r="B371" s="666"/>
      <c r="E371" s="666"/>
      <c r="F371" s="666"/>
    </row>
    <row r="372" spans="2:6" x14ac:dyDescent="0.3">
      <c r="B372" s="666"/>
      <c r="E372" s="666"/>
      <c r="F372" s="666"/>
    </row>
    <row r="373" spans="2:6" x14ac:dyDescent="0.3">
      <c r="B373" s="666"/>
      <c r="E373" s="666"/>
      <c r="F373" s="666"/>
    </row>
    <row r="374" spans="2:6" x14ac:dyDescent="0.3">
      <c r="B374" s="666"/>
      <c r="E374" s="666"/>
      <c r="F374" s="666"/>
    </row>
    <row r="375" spans="2:6" x14ac:dyDescent="0.3">
      <c r="B375" s="666"/>
      <c r="E375" s="666"/>
      <c r="F375" s="666"/>
    </row>
    <row r="376" spans="2:6" x14ac:dyDescent="0.3">
      <c r="B376" s="666"/>
      <c r="E376" s="666"/>
      <c r="F376" s="666"/>
    </row>
    <row r="377" spans="2:6" x14ac:dyDescent="0.3">
      <c r="B377" s="666"/>
      <c r="E377" s="666"/>
      <c r="F377" s="666"/>
    </row>
    <row r="378" spans="2:6" x14ac:dyDescent="0.3">
      <c r="B378" s="666"/>
      <c r="E378" s="666"/>
      <c r="F378" s="666"/>
    </row>
    <row r="379" spans="2:6" x14ac:dyDescent="0.3">
      <c r="B379" s="666"/>
      <c r="E379" s="666"/>
      <c r="F379" s="666"/>
    </row>
    <row r="380" spans="2:6" x14ac:dyDescent="0.3">
      <c r="B380" s="666"/>
      <c r="E380" s="666"/>
      <c r="F380" s="666"/>
    </row>
    <row r="381" spans="2:6" x14ac:dyDescent="0.3">
      <c r="B381" s="666"/>
      <c r="E381" s="666"/>
      <c r="F381" s="666"/>
    </row>
    <row r="382" spans="2:6" x14ac:dyDescent="0.3">
      <c r="B382" s="666"/>
      <c r="E382" s="666"/>
      <c r="F382" s="666"/>
    </row>
    <row r="383" spans="2:6" x14ac:dyDescent="0.3">
      <c r="B383" s="666"/>
      <c r="E383" s="666"/>
      <c r="F383" s="666"/>
    </row>
    <row r="384" spans="2:6" x14ac:dyDescent="0.3">
      <c r="B384" s="666"/>
      <c r="E384" s="666"/>
      <c r="F384" s="666"/>
    </row>
    <row r="385" spans="2:6" x14ac:dyDescent="0.3">
      <c r="B385" s="666"/>
      <c r="E385" s="666"/>
      <c r="F385" s="666"/>
    </row>
    <row r="386" spans="2:6" x14ac:dyDescent="0.3">
      <c r="B386" s="666"/>
      <c r="E386" s="666"/>
      <c r="F386" s="666"/>
    </row>
    <row r="387" spans="2:6" x14ac:dyDescent="0.3">
      <c r="B387" s="666"/>
      <c r="E387" s="666"/>
      <c r="F387" s="666"/>
    </row>
    <row r="388" spans="2:6" x14ac:dyDescent="0.3">
      <c r="B388" s="666"/>
      <c r="E388" s="666"/>
      <c r="F388" s="666"/>
    </row>
    <row r="389" spans="2:6" x14ac:dyDescent="0.3">
      <c r="B389" s="666"/>
      <c r="E389" s="666"/>
      <c r="F389" s="666"/>
    </row>
    <row r="390" spans="2:6" x14ac:dyDescent="0.3">
      <c r="B390" s="666"/>
      <c r="E390" s="666"/>
      <c r="F390" s="666"/>
    </row>
    <row r="391" spans="2:6" x14ac:dyDescent="0.3">
      <c r="B391" s="666"/>
      <c r="E391" s="666"/>
      <c r="F391" s="666"/>
    </row>
    <row r="392" spans="2:6" x14ac:dyDescent="0.3">
      <c r="B392" s="666"/>
      <c r="E392" s="666"/>
      <c r="F392" s="666"/>
    </row>
    <row r="393" spans="2:6" x14ac:dyDescent="0.3">
      <c r="B393" s="666"/>
      <c r="E393" s="666"/>
      <c r="F393" s="666"/>
    </row>
    <row r="394" spans="2:6" x14ac:dyDescent="0.3">
      <c r="B394" s="666"/>
      <c r="E394" s="666"/>
      <c r="F394" s="666"/>
    </row>
    <row r="395" spans="2:6" x14ac:dyDescent="0.3">
      <c r="B395" s="666"/>
      <c r="E395" s="666"/>
      <c r="F395" s="666"/>
    </row>
    <row r="396" spans="2:6" x14ac:dyDescent="0.3">
      <c r="B396" s="666"/>
      <c r="E396" s="666"/>
      <c r="F396" s="666"/>
    </row>
    <row r="397" spans="2:6" x14ac:dyDescent="0.3">
      <c r="B397" s="666"/>
      <c r="E397" s="666"/>
      <c r="F397" s="666"/>
    </row>
    <row r="398" spans="2:6" x14ac:dyDescent="0.3">
      <c r="B398" s="666"/>
      <c r="E398" s="666"/>
      <c r="F398" s="666"/>
    </row>
    <row r="399" spans="2:6" x14ac:dyDescent="0.3">
      <c r="B399" s="666"/>
      <c r="E399" s="666"/>
      <c r="F399" s="666"/>
    </row>
    <row r="400" spans="2:6" x14ac:dyDescent="0.3">
      <c r="B400" s="666"/>
      <c r="E400" s="666"/>
      <c r="F400" s="666"/>
    </row>
    <row r="401" spans="2:6" x14ac:dyDescent="0.3">
      <c r="B401" s="666"/>
      <c r="E401" s="666"/>
      <c r="F401" s="666"/>
    </row>
    <row r="402" spans="2:6" x14ac:dyDescent="0.3">
      <c r="B402" s="666"/>
      <c r="E402" s="666"/>
      <c r="F402" s="666"/>
    </row>
    <row r="403" spans="2:6" x14ac:dyDescent="0.3">
      <c r="B403" s="666"/>
      <c r="E403" s="666"/>
      <c r="F403" s="666"/>
    </row>
    <row r="404" spans="2:6" x14ac:dyDescent="0.3">
      <c r="B404" s="666"/>
      <c r="E404" s="666"/>
      <c r="F404" s="666"/>
    </row>
    <row r="405" spans="2:6" x14ac:dyDescent="0.3">
      <c r="B405" s="666"/>
      <c r="E405" s="666"/>
      <c r="F405" s="666"/>
    </row>
    <row r="406" spans="2:6" x14ac:dyDescent="0.3">
      <c r="B406" s="666"/>
      <c r="E406" s="666"/>
      <c r="F406" s="666"/>
    </row>
    <row r="407" spans="2:6" x14ac:dyDescent="0.3">
      <c r="B407" s="666"/>
      <c r="E407" s="666"/>
      <c r="F407" s="666"/>
    </row>
    <row r="408" spans="2:6" x14ac:dyDescent="0.3">
      <c r="B408" s="666"/>
      <c r="E408" s="666"/>
      <c r="F408" s="666"/>
    </row>
    <row r="409" spans="2:6" x14ac:dyDescent="0.3">
      <c r="B409" s="666"/>
      <c r="E409" s="666"/>
      <c r="F409" s="666"/>
    </row>
    <row r="410" spans="2:6" x14ac:dyDescent="0.3">
      <c r="B410" s="666"/>
      <c r="E410" s="666"/>
      <c r="F410" s="666"/>
    </row>
    <row r="411" spans="2:6" x14ac:dyDescent="0.3">
      <c r="B411" s="666"/>
      <c r="E411" s="666"/>
      <c r="F411" s="666"/>
    </row>
    <row r="412" spans="2:6" x14ac:dyDescent="0.3">
      <c r="B412" s="666"/>
      <c r="E412" s="666"/>
      <c r="F412" s="666"/>
    </row>
    <row r="413" spans="2:6" x14ac:dyDescent="0.3">
      <c r="B413" s="666"/>
      <c r="E413" s="666"/>
      <c r="F413" s="666"/>
    </row>
    <row r="414" spans="2:6" x14ac:dyDescent="0.3">
      <c r="B414" s="666"/>
      <c r="E414" s="666"/>
      <c r="F414" s="666"/>
    </row>
    <row r="415" spans="2:6" x14ac:dyDescent="0.3">
      <c r="B415" s="666"/>
      <c r="E415" s="666"/>
      <c r="F415" s="666"/>
    </row>
    <row r="416" spans="2:6" x14ac:dyDescent="0.3">
      <c r="B416" s="666"/>
      <c r="E416" s="666"/>
      <c r="F416" s="666"/>
    </row>
    <row r="417" spans="2:6" x14ac:dyDescent="0.3">
      <c r="B417" s="666"/>
      <c r="E417" s="666"/>
      <c r="F417" s="666"/>
    </row>
    <row r="418" spans="2:6" x14ac:dyDescent="0.3">
      <c r="B418" s="666"/>
      <c r="E418" s="666"/>
      <c r="F418" s="666"/>
    </row>
    <row r="419" spans="2:6" x14ac:dyDescent="0.3">
      <c r="B419" s="666"/>
      <c r="E419" s="666"/>
      <c r="F419" s="666"/>
    </row>
    <row r="420" spans="2:6" x14ac:dyDescent="0.3">
      <c r="B420" s="666"/>
      <c r="E420" s="666"/>
      <c r="F420" s="666"/>
    </row>
    <row r="421" spans="2:6" x14ac:dyDescent="0.3">
      <c r="B421" s="666"/>
      <c r="E421" s="666"/>
      <c r="F421" s="666"/>
    </row>
    <row r="422" spans="2:6" x14ac:dyDescent="0.3">
      <c r="B422" s="666"/>
      <c r="E422" s="666"/>
      <c r="F422" s="666"/>
    </row>
    <row r="423" spans="2:6" x14ac:dyDescent="0.3">
      <c r="B423" s="666"/>
      <c r="E423" s="666"/>
      <c r="F423" s="666"/>
    </row>
    <row r="424" spans="2:6" x14ac:dyDescent="0.3">
      <c r="B424" s="666"/>
      <c r="E424" s="666"/>
      <c r="F424" s="666"/>
    </row>
    <row r="425" spans="2:6" x14ac:dyDescent="0.3">
      <c r="B425" s="666"/>
      <c r="E425" s="666"/>
      <c r="F425" s="666"/>
    </row>
    <row r="426" spans="2:6" x14ac:dyDescent="0.3">
      <c r="B426" s="666"/>
      <c r="E426" s="666"/>
      <c r="F426" s="666"/>
    </row>
    <row r="427" spans="2:6" x14ac:dyDescent="0.3">
      <c r="B427" s="666"/>
      <c r="E427" s="666"/>
      <c r="F427" s="666"/>
    </row>
    <row r="428" spans="2:6" x14ac:dyDescent="0.3">
      <c r="B428" s="666"/>
      <c r="E428" s="666"/>
      <c r="F428" s="666"/>
    </row>
    <row r="429" spans="2:6" x14ac:dyDescent="0.3">
      <c r="B429" s="666"/>
      <c r="E429" s="666"/>
      <c r="F429" s="666"/>
    </row>
    <row r="430" spans="2:6" x14ac:dyDescent="0.3">
      <c r="B430" s="666"/>
      <c r="E430" s="666"/>
      <c r="F430" s="666"/>
    </row>
    <row r="431" spans="2:6" x14ac:dyDescent="0.3">
      <c r="B431" s="666"/>
      <c r="E431" s="666"/>
      <c r="F431" s="666"/>
    </row>
    <row r="432" spans="2:6" x14ac:dyDescent="0.3">
      <c r="B432" s="666"/>
      <c r="E432" s="666"/>
      <c r="F432" s="666"/>
    </row>
    <row r="433" spans="2:6" x14ac:dyDescent="0.3">
      <c r="B433" s="666"/>
      <c r="E433" s="666"/>
      <c r="F433" s="666"/>
    </row>
    <row r="434" spans="2:6" x14ac:dyDescent="0.3">
      <c r="B434" s="666"/>
      <c r="E434" s="666"/>
      <c r="F434" s="666"/>
    </row>
    <row r="435" spans="2:6" x14ac:dyDescent="0.3">
      <c r="B435" s="666"/>
      <c r="E435" s="666"/>
      <c r="F435" s="666"/>
    </row>
    <row r="436" spans="2:6" x14ac:dyDescent="0.3">
      <c r="B436" s="666"/>
      <c r="E436" s="666"/>
      <c r="F436" s="666"/>
    </row>
    <row r="437" spans="2:6" x14ac:dyDescent="0.3">
      <c r="B437" s="666"/>
      <c r="E437" s="666"/>
      <c r="F437" s="666"/>
    </row>
    <row r="438" spans="2:6" x14ac:dyDescent="0.3">
      <c r="B438" s="666"/>
      <c r="E438" s="666"/>
      <c r="F438" s="666"/>
    </row>
    <row r="439" spans="2:6" x14ac:dyDescent="0.3">
      <c r="B439" s="666"/>
      <c r="E439" s="666"/>
      <c r="F439" s="666"/>
    </row>
    <row r="440" spans="2:6" x14ac:dyDescent="0.3">
      <c r="B440" s="666"/>
      <c r="E440" s="666"/>
      <c r="F440" s="666"/>
    </row>
    <row r="441" spans="2:6" x14ac:dyDescent="0.3">
      <c r="B441" s="666"/>
      <c r="E441" s="666"/>
      <c r="F441" s="666"/>
    </row>
    <row r="442" spans="2:6" x14ac:dyDescent="0.3">
      <c r="B442" s="666"/>
      <c r="E442" s="666"/>
      <c r="F442" s="666"/>
    </row>
    <row r="443" spans="2:6" x14ac:dyDescent="0.3">
      <c r="B443" s="666"/>
      <c r="E443" s="666"/>
      <c r="F443" s="666"/>
    </row>
    <row r="444" spans="2:6" x14ac:dyDescent="0.3">
      <c r="B444" s="666"/>
      <c r="E444" s="666"/>
      <c r="F444" s="666"/>
    </row>
    <row r="445" spans="2:6" x14ac:dyDescent="0.3">
      <c r="B445" s="666"/>
      <c r="E445" s="666"/>
      <c r="F445" s="666"/>
    </row>
    <row r="446" spans="2:6" x14ac:dyDescent="0.3">
      <c r="B446" s="666"/>
      <c r="E446" s="666"/>
      <c r="F446" s="666"/>
    </row>
    <row r="447" spans="2:6" x14ac:dyDescent="0.3">
      <c r="B447" s="666"/>
      <c r="E447" s="666"/>
      <c r="F447" s="666"/>
    </row>
    <row r="448" spans="2:6" x14ac:dyDescent="0.3">
      <c r="B448" s="666"/>
      <c r="E448" s="666"/>
      <c r="F448" s="666"/>
    </row>
    <row r="449" spans="2:6" x14ac:dyDescent="0.3">
      <c r="B449" s="666"/>
      <c r="E449" s="666"/>
      <c r="F449" s="666"/>
    </row>
    <row r="450" spans="2:6" x14ac:dyDescent="0.3">
      <c r="B450" s="666"/>
      <c r="E450" s="666"/>
      <c r="F450" s="666"/>
    </row>
    <row r="451" spans="2:6" x14ac:dyDescent="0.3">
      <c r="B451" s="666"/>
      <c r="E451" s="666"/>
      <c r="F451" s="666"/>
    </row>
    <row r="452" spans="2:6" x14ac:dyDescent="0.3">
      <c r="B452" s="666"/>
      <c r="E452" s="666"/>
      <c r="F452" s="666"/>
    </row>
    <row r="453" spans="2:6" x14ac:dyDescent="0.3">
      <c r="B453" s="666"/>
      <c r="E453" s="666"/>
      <c r="F453" s="666"/>
    </row>
    <row r="454" spans="2:6" x14ac:dyDescent="0.3">
      <c r="B454" s="666"/>
      <c r="E454" s="666"/>
      <c r="F454" s="666"/>
    </row>
    <row r="455" spans="2:6" x14ac:dyDescent="0.3">
      <c r="B455" s="666"/>
      <c r="E455" s="666"/>
      <c r="F455" s="666"/>
    </row>
    <row r="456" spans="2:6" x14ac:dyDescent="0.3">
      <c r="B456" s="666"/>
      <c r="E456" s="666"/>
      <c r="F456" s="666"/>
    </row>
    <row r="457" spans="2:6" x14ac:dyDescent="0.3">
      <c r="B457" s="666"/>
      <c r="E457" s="666"/>
      <c r="F457" s="666"/>
    </row>
    <row r="458" spans="2:6" x14ac:dyDescent="0.3">
      <c r="B458" s="666"/>
      <c r="E458" s="666"/>
      <c r="F458" s="666"/>
    </row>
    <row r="459" spans="2:6" x14ac:dyDescent="0.3">
      <c r="B459" s="666"/>
      <c r="E459" s="666"/>
      <c r="F459" s="666"/>
    </row>
    <row r="460" spans="2:6" x14ac:dyDescent="0.3">
      <c r="B460" s="666"/>
      <c r="E460" s="666"/>
      <c r="F460" s="666"/>
    </row>
    <row r="461" spans="2:6" x14ac:dyDescent="0.3">
      <c r="B461" s="666"/>
      <c r="E461" s="666"/>
      <c r="F461" s="666"/>
    </row>
    <row r="462" spans="2:6" x14ac:dyDescent="0.3">
      <c r="B462" s="666"/>
      <c r="E462" s="666"/>
      <c r="F462" s="666"/>
    </row>
    <row r="463" spans="2:6" x14ac:dyDescent="0.3">
      <c r="B463" s="666"/>
      <c r="E463" s="666"/>
      <c r="F463" s="666"/>
    </row>
    <row r="464" spans="2:6" x14ac:dyDescent="0.3">
      <c r="B464" s="666"/>
      <c r="E464" s="666"/>
      <c r="F464" s="666"/>
    </row>
    <row r="465" spans="2:6" x14ac:dyDescent="0.3">
      <c r="B465" s="666"/>
      <c r="E465" s="666"/>
      <c r="F465" s="666"/>
    </row>
    <row r="466" spans="2:6" x14ac:dyDescent="0.3">
      <c r="B466" s="666"/>
      <c r="E466" s="666"/>
      <c r="F466" s="666"/>
    </row>
    <row r="467" spans="2:6" x14ac:dyDescent="0.3">
      <c r="B467" s="666"/>
      <c r="E467" s="666"/>
      <c r="F467" s="666"/>
    </row>
    <row r="468" spans="2:6" x14ac:dyDescent="0.3">
      <c r="B468" s="666"/>
      <c r="E468" s="666"/>
      <c r="F468" s="666"/>
    </row>
    <row r="469" spans="2:6" x14ac:dyDescent="0.3">
      <c r="B469" s="666"/>
      <c r="E469" s="666"/>
      <c r="F469" s="666"/>
    </row>
    <row r="470" spans="2:6" x14ac:dyDescent="0.3">
      <c r="B470" s="666"/>
      <c r="E470" s="666"/>
      <c r="F470" s="666"/>
    </row>
    <row r="471" spans="2:6" x14ac:dyDescent="0.3">
      <c r="B471" s="666"/>
      <c r="E471" s="666"/>
      <c r="F471" s="666"/>
    </row>
    <row r="472" spans="2:6" x14ac:dyDescent="0.3">
      <c r="B472" s="666"/>
      <c r="E472" s="666"/>
      <c r="F472" s="666"/>
    </row>
    <row r="473" spans="2:6" x14ac:dyDescent="0.3">
      <c r="B473" s="666"/>
      <c r="E473" s="666"/>
      <c r="F473" s="666"/>
    </row>
    <row r="474" spans="2:6" x14ac:dyDescent="0.3">
      <c r="B474" s="666"/>
      <c r="E474" s="666"/>
      <c r="F474" s="666"/>
    </row>
    <row r="475" spans="2:6" x14ac:dyDescent="0.3">
      <c r="B475" s="666"/>
      <c r="E475" s="666"/>
      <c r="F475" s="666"/>
    </row>
    <row r="476" spans="2:6" x14ac:dyDescent="0.3">
      <c r="B476" s="666"/>
      <c r="E476" s="666"/>
      <c r="F476" s="666"/>
    </row>
    <row r="477" spans="2:6" x14ac:dyDescent="0.3">
      <c r="B477" s="666"/>
      <c r="E477" s="666"/>
      <c r="F477" s="666"/>
    </row>
    <row r="478" spans="2:6" x14ac:dyDescent="0.3">
      <c r="B478" s="666"/>
      <c r="E478" s="666"/>
      <c r="F478" s="666"/>
    </row>
    <row r="479" spans="2:6" x14ac:dyDescent="0.3">
      <c r="B479" s="666"/>
      <c r="E479" s="666"/>
      <c r="F479" s="666"/>
    </row>
    <row r="480" spans="2:6" x14ac:dyDescent="0.3">
      <c r="B480" s="666"/>
      <c r="E480" s="666"/>
      <c r="F480" s="666"/>
    </row>
    <row r="481" spans="2:6" x14ac:dyDescent="0.3">
      <c r="B481" s="666"/>
      <c r="E481" s="666"/>
      <c r="F481" s="666"/>
    </row>
    <row r="482" spans="2:6" x14ac:dyDescent="0.3">
      <c r="B482" s="666"/>
      <c r="E482" s="666"/>
      <c r="F482" s="666"/>
    </row>
    <row r="483" spans="2:6" x14ac:dyDescent="0.3">
      <c r="B483" s="666"/>
      <c r="E483" s="666"/>
      <c r="F483" s="666"/>
    </row>
    <row r="484" spans="2:6" x14ac:dyDescent="0.3">
      <c r="B484" s="666"/>
      <c r="E484" s="666"/>
      <c r="F484" s="666"/>
    </row>
    <row r="485" spans="2:6" x14ac:dyDescent="0.3">
      <c r="B485" s="666"/>
      <c r="E485" s="666"/>
      <c r="F485" s="666"/>
    </row>
    <row r="486" spans="2:6" x14ac:dyDescent="0.3">
      <c r="B486" s="666"/>
      <c r="E486" s="666"/>
      <c r="F486" s="666"/>
    </row>
    <row r="487" spans="2:6" x14ac:dyDescent="0.3">
      <c r="B487" s="666"/>
      <c r="E487" s="666"/>
      <c r="F487" s="666"/>
    </row>
    <row r="488" spans="2:6" x14ac:dyDescent="0.3">
      <c r="B488" s="666"/>
      <c r="E488" s="666"/>
      <c r="F488" s="666"/>
    </row>
    <row r="489" spans="2:6" x14ac:dyDescent="0.3">
      <c r="B489" s="666"/>
      <c r="E489" s="666"/>
      <c r="F489" s="666"/>
    </row>
    <row r="490" spans="2:6" x14ac:dyDescent="0.3">
      <c r="B490" s="666"/>
      <c r="E490" s="666"/>
      <c r="F490" s="666"/>
    </row>
    <row r="491" spans="2:6" x14ac:dyDescent="0.3">
      <c r="B491" s="666"/>
      <c r="E491" s="666"/>
      <c r="F491" s="666"/>
    </row>
    <row r="492" spans="2:6" x14ac:dyDescent="0.3">
      <c r="B492" s="666"/>
      <c r="E492" s="666"/>
      <c r="F492" s="666"/>
    </row>
    <row r="493" spans="2:6" x14ac:dyDescent="0.3">
      <c r="B493" s="666"/>
      <c r="E493" s="666"/>
      <c r="F493" s="666"/>
    </row>
    <row r="494" spans="2:6" x14ac:dyDescent="0.3">
      <c r="B494" s="666"/>
      <c r="E494" s="666"/>
      <c r="F494" s="666"/>
    </row>
    <row r="495" spans="2:6" x14ac:dyDescent="0.3">
      <c r="B495" s="666"/>
      <c r="E495" s="666"/>
      <c r="F495" s="666"/>
    </row>
    <row r="496" spans="2:6" x14ac:dyDescent="0.3">
      <c r="B496" s="666"/>
      <c r="E496" s="666"/>
      <c r="F496" s="666"/>
    </row>
    <row r="497" spans="2:6" x14ac:dyDescent="0.3">
      <c r="B497" s="666"/>
      <c r="E497" s="666"/>
      <c r="F497" s="666"/>
    </row>
    <row r="498" spans="2:6" x14ac:dyDescent="0.3">
      <c r="B498" s="666"/>
      <c r="E498" s="666"/>
      <c r="F498" s="666"/>
    </row>
    <row r="499" spans="2:6" x14ac:dyDescent="0.3">
      <c r="B499" s="666"/>
      <c r="E499" s="666"/>
      <c r="F499" s="666"/>
    </row>
    <row r="500" spans="2:6" x14ac:dyDescent="0.3">
      <c r="B500" s="666"/>
      <c r="E500" s="666"/>
      <c r="F500" s="666"/>
    </row>
    <row r="501" spans="2:6" x14ac:dyDescent="0.3">
      <c r="B501" s="666"/>
      <c r="E501" s="666"/>
      <c r="F501" s="666"/>
    </row>
    <row r="502" spans="2:6" x14ac:dyDescent="0.3">
      <c r="B502" s="666"/>
      <c r="E502" s="666"/>
      <c r="F502" s="666"/>
    </row>
    <row r="503" spans="2:6" x14ac:dyDescent="0.3">
      <c r="B503" s="666"/>
      <c r="E503" s="666"/>
      <c r="F503" s="666"/>
    </row>
    <row r="504" spans="2:6" x14ac:dyDescent="0.3">
      <c r="B504" s="666"/>
      <c r="E504" s="666"/>
      <c r="F504" s="666"/>
    </row>
    <row r="505" spans="2:6" x14ac:dyDescent="0.3">
      <c r="B505" s="666"/>
      <c r="E505" s="666"/>
      <c r="F505" s="666"/>
    </row>
    <row r="506" spans="2:6" x14ac:dyDescent="0.3">
      <c r="B506" s="666"/>
      <c r="E506" s="666"/>
      <c r="F506" s="666"/>
    </row>
    <row r="507" spans="2:6" x14ac:dyDescent="0.3">
      <c r="B507" s="666"/>
      <c r="E507" s="666"/>
      <c r="F507" s="666"/>
    </row>
    <row r="508" spans="2:6" x14ac:dyDescent="0.3">
      <c r="B508" s="666"/>
      <c r="E508" s="666"/>
      <c r="F508" s="666"/>
    </row>
    <row r="509" spans="2:6" x14ac:dyDescent="0.3">
      <c r="B509" s="666"/>
      <c r="E509" s="666"/>
      <c r="F509" s="666"/>
    </row>
    <row r="510" spans="2:6" x14ac:dyDescent="0.3">
      <c r="B510" s="666"/>
      <c r="E510" s="666"/>
      <c r="F510" s="666"/>
    </row>
    <row r="511" spans="2:6" x14ac:dyDescent="0.3">
      <c r="B511" s="666"/>
      <c r="E511" s="666"/>
      <c r="F511" s="666"/>
    </row>
    <row r="512" spans="2:6" x14ac:dyDescent="0.3">
      <c r="B512" s="666"/>
      <c r="E512" s="666"/>
      <c r="F512" s="666"/>
    </row>
    <row r="513" spans="2:6" x14ac:dyDescent="0.3">
      <c r="B513" s="666"/>
      <c r="E513" s="666"/>
      <c r="F513" s="666"/>
    </row>
    <row r="514" spans="2:6" x14ac:dyDescent="0.3">
      <c r="B514" s="666"/>
      <c r="E514" s="666"/>
      <c r="F514" s="666"/>
    </row>
    <row r="515" spans="2:6" x14ac:dyDescent="0.3">
      <c r="B515" s="666"/>
      <c r="E515" s="666"/>
      <c r="F515" s="666"/>
    </row>
    <row r="516" spans="2:6" x14ac:dyDescent="0.3">
      <c r="B516" s="666"/>
      <c r="E516" s="666"/>
      <c r="F516" s="666"/>
    </row>
    <row r="517" spans="2:6" x14ac:dyDescent="0.3">
      <c r="B517" s="666"/>
      <c r="E517" s="666"/>
      <c r="F517" s="666"/>
    </row>
    <row r="518" spans="2:6" x14ac:dyDescent="0.3">
      <c r="B518" s="666"/>
      <c r="E518" s="666"/>
      <c r="F518" s="666"/>
    </row>
    <row r="519" spans="2:6" x14ac:dyDescent="0.3">
      <c r="B519" s="666"/>
      <c r="E519" s="666"/>
      <c r="F519" s="666"/>
    </row>
    <row r="520" spans="2:6" x14ac:dyDescent="0.3">
      <c r="B520" s="666"/>
      <c r="E520" s="666"/>
      <c r="F520" s="666"/>
    </row>
    <row r="521" spans="2:6" x14ac:dyDescent="0.3">
      <c r="B521" s="666"/>
      <c r="E521" s="666"/>
      <c r="F521" s="666"/>
    </row>
    <row r="522" spans="2:6" x14ac:dyDescent="0.3">
      <c r="B522" s="666"/>
      <c r="E522" s="666"/>
      <c r="F522" s="666"/>
    </row>
    <row r="523" spans="2:6" x14ac:dyDescent="0.3">
      <c r="B523" s="666"/>
      <c r="E523" s="666"/>
      <c r="F523" s="666"/>
    </row>
    <row r="524" spans="2:6" x14ac:dyDescent="0.3">
      <c r="B524" s="666"/>
      <c r="E524" s="666"/>
      <c r="F524" s="666"/>
    </row>
    <row r="525" spans="2:6" x14ac:dyDescent="0.3">
      <c r="B525" s="666"/>
      <c r="E525" s="666"/>
      <c r="F525" s="666"/>
    </row>
    <row r="526" spans="2:6" x14ac:dyDescent="0.3">
      <c r="B526" s="666"/>
      <c r="E526" s="666"/>
      <c r="F526" s="666"/>
    </row>
    <row r="527" spans="2:6" x14ac:dyDescent="0.3">
      <c r="B527" s="666"/>
      <c r="E527" s="666"/>
      <c r="F527" s="666"/>
    </row>
    <row r="528" spans="2:6" x14ac:dyDescent="0.3">
      <c r="B528" s="666"/>
      <c r="E528" s="666"/>
      <c r="F528" s="666"/>
    </row>
    <row r="529" spans="2:6" x14ac:dyDescent="0.3">
      <c r="B529" s="666"/>
      <c r="E529" s="666"/>
      <c r="F529" s="666"/>
    </row>
    <row r="530" spans="2:6" x14ac:dyDescent="0.3">
      <c r="B530" s="666"/>
      <c r="E530" s="666"/>
      <c r="F530" s="666"/>
    </row>
    <row r="531" spans="2:6" x14ac:dyDescent="0.3">
      <c r="B531" s="666"/>
      <c r="E531" s="666"/>
      <c r="F531" s="666"/>
    </row>
    <row r="532" spans="2:6" x14ac:dyDescent="0.3">
      <c r="B532" s="666"/>
      <c r="E532" s="666"/>
      <c r="F532" s="666"/>
    </row>
    <row r="533" spans="2:6" x14ac:dyDescent="0.3">
      <c r="B533" s="666"/>
      <c r="E533" s="666"/>
      <c r="F533" s="666"/>
    </row>
    <row r="534" spans="2:6" x14ac:dyDescent="0.3">
      <c r="B534" s="666"/>
      <c r="E534" s="666"/>
      <c r="F534" s="666"/>
    </row>
    <row r="535" spans="2:6" x14ac:dyDescent="0.3">
      <c r="B535" s="666"/>
      <c r="E535" s="666"/>
      <c r="F535" s="666"/>
    </row>
    <row r="536" spans="2:6" x14ac:dyDescent="0.3">
      <c r="B536" s="666"/>
      <c r="E536" s="666"/>
      <c r="F536" s="666"/>
    </row>
    <row r="537" spans="2:6" x14ac:dyDescent="0.3">
      <c r="B537" s="666"/>
      <c r="E537" s="666"/>
      <c r="F537" s="666"/>
    </row>
    <row r="538" spans="2:6" x14ac:dyDescent="0.3">
      <c r="B538" s="666"/>
      <c r="E538" s="666"/>
      <c r="F538" s="666"/>
    </row>
    <row r="539" spans="2:6" x14ac:dyDescent="0.3">
      <c r="B539" s="666"/>
      <c r="E539" s="666"/>
      <c r="F539" s="666"/>
    </row>
    <row r="540" spans="2:6" x14ac:dyDescent="0.3">
      <c r="B540" s="666"/>
      <c r="E540" s="666"/>
      <c r="F540" s="666"/>
    </row>
    <row r="541" spans="2:6" x14ac:dyDescent="0.3">
      <c r="B541" s="666"/>
      <c r="E541" s="666"/>
      <c r="F541" s="666"/>
    </row>
    <row r="542" spans="2:6" x14ac:dyDescent="0.3">
      <c r="B542" s="666"/>
      <c r="E542" s="666"/>
      <c r="F542" s="666"/>
    </row>
    <row r="543" spans="2:6" x14ac:dyDescent="0.3">
      <c r="B543" s="666"/>
      <c r="E543" s="666"/>
      <c r="F543" s="666"/>
    </row>
    <row r="544" spans="2:6" x14ac:dyDescent="0.3">
      <c r="B544" s="666"/>
      <c r="E544" s="666"/>
      <c r="F544" s="666"/>
    </row>
    <row r="545" spans="2:6" x14ac:dyDescent="0.3">
      <c r="B545" s="666"/>
      <c r="E545" s="666"/>
      <c r="F545" s="666"/>
    </row>
    <row r="546" spans="2:6" x14ac:dyDescent="0.3">
      <c r="B546" s="666"/>
      <c r="E546" s="666"/>
      <c r="F546" s="666"/>
    </row>
    <row r="547" spans="2:6" x14ac:dyDescent="0.3">
      <c r="B547" s="666"/>
      <c r="E547" s="666"/>
      <c r="F547" s="666"/>
    </row>
    <row r="548" spans="2:6" x14ac:dyDescent="0.3">
      <c r="B548" s="666"/>
      <c r="E548" s="666"/>
      <c r="F548" s="666"/>
    </row>
    <row r="549" spans="2:6" x14ac:dyDescent="0.3">
      <c r="B549" s="666"/>
      <c r="E549" s="666"/>
      <c r="F549" s="666"/>
    </row>
    <row r="550" spans="2:6" x14ac:dyDescent="0.3">
      <c r="B550" s="666"/>
      <c r="E550" s="666"/>
      <c r="F550" s="666"/>
    </row>
    <row r="551" spans="2:6" x14ac:dyDescent="0.3">
      <c r="B551" s="666"/>
      <c r="E551" s="666"/>
      <c r="F551" s="666"/>
    </row>
    <row r="552" spans="2:6" x14ac:dyDescent="0.3">
      <c r="B552" s="666"/>
      <c r="E552" s="666"/>
      <c r="F552" s="666"/>
    </row>
    <row r="553" spans="2:6" x14ac:dyDescent="0.3">
      <c r="B553" s="666"/>
      <c r="E553" s="666"/>
      <c r="F553" s="666"/>
    </row>
    <row r="554" spans="2:6" x14ac:dyDescent="0.3">
      <c r="B554" s="666"/>
      <c r="E554" s="666"/>
      <c r="F554" s="666"/>
    </row>
    <row r="555" spans="2:6" x14ac:dyDescent="0.3">
      <c r="B555" s="666"/>
      <c r="E555" s="666"/>
      <c r="F555" s="666"/>
    </row>
    <row r="556" spans="2:6" x14ac:dyDescent="0.3">
      <c r="B556" s="666"/>
      <c r="E556" s="666"/>
      <c r="F556" s="666"/>
    </row>
    <row r="557" spans="2:6" x14ac:dyDescent="0.3">
      <c r="B557" s="666"/>
      <c r="E557" s="666"/>
      <c r="F557" s="666"/>
    </row>
    <row r="558" spans="2:6" x14ac:dyDescent="0.3">
      <c r="B558" s="666"/>
      <c r="E558" s="666"/>
      <c r="F558" s="666"/>
    </row>
    <row r="559" spans="2:6" x14ac:dyDescent="0.3">
      <c r="B559" s="666"/>
      <c r="E559" s="666"/>
      <c r="F559" s="666"/>
    </row>
    <row r="560" spans="2:6" x14ac:dyDescent="0.3">
      <c r="B560" s="666"/>
      <c r="E560" s="666"/>
      <c r="F560" s="666"/>
    </row>
    <row r="561" spans="2:6" x14ac:dyDescent="0.3">
      <c r="B561" s="666"/>
      <c r="E561" s="666"/>
      <c r="F561" s="666"/>
    </row>
    <row r="562" spans="2:6" x14ac:dyDescent="0.3">
      <c r="B562" s="666"/>
      <c r="E562" s="666"/>
      <c r="F562" s="666"/>
    </row>
    <row r="563" spans="2:6" x14ac:dyDescent="0.3">
      <c r="B563" s="666"/>
      <c r="E563" s="666"/>
      <c r="F563" s="666"/>
    </row>
    <row r="564" spans="2:6" x14ac:dyDescent="0.3">
      <c r="B564" s="666"/>
      <c r="E564" s="666"/>
      <c r="F564" s="666"/>
    </row>
    <row r="565" spans="2:6" x14ac:dyDescent="0.3">
      <c r="B565" s="666"/>
      <c r="E565" s="666"/>
      <c r="F565" s="666"/>
    </row>
    <row r="566" spans="2:6" x14ac:dyDescent="0.3">
      <c r="B566" s="666"/>
      <c r="E566" s="666"/>
      <c r="F566" s="666"/>
    </row>
    <row r="567" spans="2:6" x14ac:dyDescent="0.3">
      <c r="B567" s="666"/>
      <c r="E567" s="666"/>
      <c r="F567" s="666"/>
    </row>
    <row r="568" spans="2:6" x14ac:dyDescent="0.3">
      <c r="B568" s="666"/>
      <c r="E568" s="666"/>
      <c r="F568" s="666"/>
    </row>
    <row r="569" spans="2:6" x14ac:dyDescent="0.3">
      <c r="B569" s="666"/>
      <c r="E569" s="666"/>
      <c r="F569" s="666"/>
    </row>
    <row r="570" spans="2:6" x14ac:dyDescent="0.3">
      <c r="B570" s="666"/>
      <c r="E570" s="666"/>
      <c r="F570" s="666"/>
    </row>
    <row r="571" spans="2:6" x14ac:dyDescent="0.3">
      <c r="B571" s="666"/>
      <c r="E571" s="666"/>
      <c r="F571" s="666"/>
    </row>
    <row r="572" spans="2:6" x14ac:dyDescent="0.3">
      <c r="B572" s="666"/>
      <c r="E572" s="666"/>
      <c r="F572" s="666"/>
    </row>
    <row r="573" spans="2:6" x14ac:dyDescent="0.3">
      <c r="B573" s="666"/>
      <c r="E573" s="666"/>
      <c r="F573" s="666"/>
    </row>
    <row r="574" spans="2:6" x14ac:dyDescent="0.3">
      <c r="B574" s="666"/>
      <c r="E574" s="666"/>
      <c r="F574" s="666"/>
    </row>
    <row r="575" spans="2:6" x14ac:dyDescent="0.3">
      <c r="B575" s="666"/>
      <c r="E575" s="666"/>
      <c r="F575" s="666"/>
    </row>
    <row r="576" spans="2:6" x14ac:dyDescent="0.3">
      <c r="B576" s="666"/>
      <c r="E576" s="666"/>
      <c r="F576" s="666"/>
    </row>
    <row r="577" spans="2:6" x14ac:dyDescent="0.3">
      <c r="B577" s="666"/>
      <c r="E577" s="666"/>
      <c r="F577" s="666"/>
    </row>
    <row r="578" spans="2:6" x14ac:dyDescent="0.3">
      <c r="B578" s="666"/>
      <c r="E578" s="666"/>
      <c r="F578" s="666"/>
    </row>
    <row r="579" spans="2:6" x14ac:dyDescent="0.3">
      <c r="B579" s="666"/>
      <c r="E579" s="666"/>
      <c r="F579" s="666"/>
    </row>
    <row r="580" spans="2:6" x14ac:dyDescent="0.3">
      <c r="B580" s="666"/>
      <c r="E580" s="666"/>
      <c r="F580" s="666"/>
    </row>
    <row r="581" spans="2:6" x14ac:dyDescent="0.3">
      <c r="B581" s="666"/>
      <c r="E581" s="666"/>
      <c r="F581" s="666"/>
    </row>
    <row r="582" spans="2:6" x14ac:dyDescent="0.3">
      <c r="B582" s="666"/>
      <c r="E582" s="666"/>
      <c r="F582" s="666"/>
    </row>
    <row r="583" spans="2:6" x14ac:dyDescent="0.3">
      <c r="B583" s="666"/>
      <c r="E583" s="666"/>
      <c r="F583" s="666"/>
    </row>
    <row r="584" spans="2:6" x14ac:dyDescent="0.3">
      <c r="B584" s="666"/>
      <c r="E584" s="666"/>
      <c r="F584" s="666"/>
    </row>
    <row r="585" spans="2:6" x14ac:dyDescent="0.3">
      <c r="B585" s="666"/>
      <c r="E585" s="666"/>
      <c r="F585" s="666"/>
    </row>
    <row r="586" spans="2:6" x14ac:dyDescent="0.3">
      <c r="B586" s="666"/>
      <c r="E586" s="666"/>
      <c r="F586" s="666"/>
    </row>
    <row r="587" spans="2:6" x14ac:dyDescent="0.3">
      <c r="B587" s="666"/>
      <c r="E587" s="666"/>
      <c r="F587" s="666"/>
    </row>
    <row r="588" spans="2:6" x14ac:dyDescent="0.3">
      <c r="B588" s="666"/>
      <c r="E588" s="666"/>
      <c r="F588" s="666"/>
    </row>
    <row r="589" spans="2:6" x14ac:dyDescent="0.3">
      <c r="B589" s="666"/>
      <c r="E589" s="666"/>
      <c r="F589" s="666"/>
    </row>
    <row r="590" spans="2:6" x14ac:dyDescent="0.3">
      <c r="B590" s="666"/>
      <c r="E590" s="666"/>
      <c r="F590" s="666"/>
    </row>
    <row r="591" spans="2:6" x14ac:dyDescent="0.3">
      <c r="B591" s="666"/>
      <c r="E591" s="666"/>
      <c r="F591" s="666"/>
    </row>
    <row r="592" spans="2:6" x14ac:dyDescent="0.3">
      <c r="B592" s="666"/>
      <c r="E592" s="666"/>
      <c r="F592" s="666"/>
    </row>
    <row r="593" spans="2:6" x14ac:dyDescent="0.3">
      <c r="B593" s="666"/>
      <c r="E593" s="666"/>
      <c r="F593" s="666"/>
    </row>
    <row r="594" spans="2:6" x14ac:dyDescent="0.3">
      <c r="B594" s="666"/>
      <c r="E594" s="666"/>
      <c r="F594" s="666"/>
    </row>
    <row r="595" spans="2:6" x14ac:dyDescent="0.3">
      <c r="B595" s="666"/>
      <c r="E595" s="666"/>
      <c r="F595" s="666"/>
    </row>
    <row r="596" spans="2:6" x14ac:dyDescent="0.3">
      <c r="B596" s="666"/>
      <c r="E596" s="666"/>
      <c r="F596" s="666"/>
    </row>
    <row r="597" spans="2:6" x14ac:dyDescent="0.3">
      <c r="B597" s="666"/>
      <c r="E597" s="666"/>
      <c r="F597" s="666"/>
    </row>
    <row r="598" spans="2:6" x14ac:dyDescent="0.3">
      <c r="B598" s="666"/>
      <c r="E598" s="666"/>
      <c r="F598" s="666"/>
    </row>
    <row r="599" spans="2:6" x14ac:dyDescent="0.3">
      <c r="B599" s="666"/>
      <c r="E599" s="666"/>
      <c r="F599" s="666"/>
    </row>
    <row r="600" spans="2:6" x14ac:dyDescent="0.3">
      <c r="B600" s="666"/>
      <c r="E600" s="666"/>
      <c r="F600" s="666"/>
    </row>
    <row r="601" spans="2:6" x14ac:dyDescent="0.3">
      <c r="B601" s="666"/>
      <c r="E601" s="666"/>
      <c r="F601" s="666"/>
    </row>
    <row r="602" spans="2:6" x14ac:dyDescent="0.3">
      <c r="B602" s="666"/>
      <c r="E602" s="666"/>
      <c r="F602" s="666"/>
    </row>
    <row r="603" spans="2:6" x14ac:dyDescent="0.3">
      <c r="B603" s="666"/>
      <c r="E603" s="666"/>
      <c r="F603" s="666"/>
    </row>
    <row r="604" spans="2:6" x14ac:dyDescent="0.3">
      <c r="B604" s="666"/>
      <c r="E604" s="666"/>
      <c r="F604" s="666"/>
    </row>
    <row r="605" spans="2:6" x14ac:dyDescent="0.3">
      <c r="B605" s="666"/>
      <c r="E605" s="666"/>
      <c r="F605" s="666"/>
    </row>
    <row r="606" spans="2:6" x14ac:dyDescent="0.3">
      <c r="B606" s="666"/>
      <c r="E606" s="666"/>
      <c r="F606" s="666"/>
    </row>
    <row r="607" spans="2:6" x14ac:dyDescent="0.3">
      <c r="B607" s="666"/>
      <c r="E607" s="666"/>
      <c r="F607" s="666"/>
    </row>
    <row r="608" spans="2:6" x14ac:dyDescent="0.3">
      <c r="B608" s="666"/>
      <c r="E608" s="666"/>
      <c r="F608" s="666"/>
    </row>
    <row r="609" spans="2:6" x14ac:dyDescent="0.3">
      <c r="B609" s="666"/>
      <c r="E609" s="666"/>
      <c r="F609" s="666"/>
    </row>
    <row r="610" spans="2:6" x14ac:dyDescent="0.3">
      <c r="B610" s="666"/>
      <c r="E610" s="666"/>
      <c r="F610" s="666"/>
    </row>
    <row r="611" spans="2:6" x14ac:dyDescent="0.3">
      <c r="B611" s="666"/>
      <c r="E611" s="666"/>
      <c r="F611" s="666"/>
    </row>
    <row r="612" spans="2:6" x14ac:dyDescent="0.3">
      <c r="B612" s="666"/>
      <c r="E612" s="666"/>
      <c r="F612" s="666"/>
    </row>
    <row r="613" spans="2:6" x14ac:dyDescent="0.3">
      <c r="B613" s="666"/>
      <c r="E613" s="666"/>
      <c r="F613" s="666"/>
    </row>
    <row r="614" spans="2:6" x14ac:dyDescent="0.3">
      <c r="B614" s="666"/>
      <c r="E614" s="666"/>
      <c r="F614" s="666"/>
    </row>
    <row r="615" spans="2:6" x14ac:dyDescent="0.3">
      <c r="B615" s="666"/>
      <c r="E615" s="666"/>
      <c r="F615" s="666"/>
    </row>
    <row r="616" spans="2:6" x14ac:dyDescent="0.3">
      <c r="B616" s="666"/>
      <c r="E616" s="666"/>
      <c r="F616" s="666"/>
    </row>
    <row r="617" spans="2:6" x14ac:dyDescent="0.3">
      <c r="B617" s="666"/>
      <c r="E617" s="666"/>
      <c r="F617" s="666"/>
    </row>
    <row r="618" spans="2:6" x14ac:dyDescent="0.3">
      <c r="B618" s="666"/>
      <c r="E618" s="666"/>
      <c r="F618" s="666"/>
    </row>
    <row r="619" spans="2:6" x14ac:dyDescent="0.3">
      <c r="B619" s="666"/>
      <c r="E619" s="666"/>
      <c r="F619" s="666"/>
    </row>
    <row r="620" spans="2:6" x14ac:dyDescent="0.3">
      <c r="B620" s="666"/>
      <c r="E620" s="666"/>
      <c r="F620" s="666"/>
    </row>
    <row r="621" spans="2:6" x14ac:dyDescent="0.3">
      <c r="B621" s="666"/>
      <c r="E621" s="666"/>
      <c r="F621" s="666"/>
    </row>
    <row r="622" spans="2:6" x14ac:dyDescent="0.3">
      <c r="B622" s="666"/>
      <c r="E622" s="666"/>
      <c r="F622" s="666"/>
    </row>
    <row r="623" spans="2:6" x14ac:dyDescent="0.3">
      <c r="B623" s="666"/>
      <c r="E623" s="666"/>
      <c r="F623" s="666"/>
    </row>
    <row r="624" spans="2:6" x14ac:dyDescent="0.3">
      <c r="B624" s="666"/>
      <c r="E624" s="666"/>
      <c r="F624" s="666"/>
    </row>
    <row r="625" spans="2:6" x14ac:dyDescent="0.3">
      <c r="B625" s="666"/>
      <c r="E625" s="666"/>
      <c r="F625" s="666"/>
    </row>
    <row r="626" spans="2:6" x14ac:dyDescent="0.3">
      <c r="B626" s="666"/>
      <c r="E626" s="666"/>
      <c r="F626" s="666"/>
    </row>
    <row r="627" spans="2:6" x14ac:dyDescent="0.3">
      <c r="B627" s="666"/>
      <c r="E627" s="666"/>
      <c r="F627" s="666"/>
    </row>
    <row r="628" spans="2:6" x14ac:dyDescent="0.3">
      <c r="B628" s="666"/>
      <c r="E628" s="666"/>
      <c r="F628" s="666"/>
    </row>
    <row r="629" spans="2:6" x14ac:dyDescent="0.3">
      <c r="B629" s="666"/>
      <c r="E629" s="666"/>
      <c r="F629" s="666"/>
    </row>
    <row r="630" spans="2:6" x14ac:dyDescent="0.3">
      <c r="B630" s="666"/>
      <c r="E630" s="666"/>
      <c r="F630" s="666"/>
    </row>
    <row r="631" spans="2:6" x14ac:dyDescent="0.3">
      <c r="B631" s="666"/>
      <c r="E631" s="666"/>
      <c r="F631" s="666"/>
    </row>
    <row r="632" spans="2:6" x14ac:dyDescent="0.3">
      <c r="B632" s="666"/>
      <c r="E632" s="666"/>
      <c r="F632" s="666"/>
    </row>
    <row r="633" spans="2:6" x14ac:dyDescent="0.3">
      <c r="B633" s="666"/>
      <c r="E633" s="666"/>
      <c r="F633" s="666"/>
    </row>
    <row r="634" spans="2:6" x14ac:dyDescent="0.3">
      <c r="B634" s="666"/>
      <c r="E634" s="666"/>
      <c r="F634" s="666"/>
    </row>
    <row r="635" spans="2:6" x14ac:dyDescent="0.3">
      <c r="B635" s="666"/>
      <c r="E635" s="666"/>
      <c r="F635" s="666"/>
    </row>
    <row r="636" spans="2:6" x14ac:dyDescent="0.3">
      <c r="B636" s="666"/>
      <c r="E636" s="666"/>
      <c r="F636" s="666"/>
    </row>
    <row r="637" spans="2:6" x14ac:dyDescent="0.3">
      <c r="B637" s="666"/>
      <c r="E637" s="666"/>
      <c r="F637" s="666"/>
    </row>
    <row r="638" spans="2:6" x14ac:dyDescent="0.3">
      <c r="B638" s="666"/>
      <c r="E638" s="666"/>
      <c r="F638" s="666"/>
    </row>
    <row r="639" spans="2:6" x14ac:dyDescent="0.3">
      <c r="B639" s="666"/>
      <c r="E639" s="666"/>
      <c r="F639" s="666"/>
    </row>
    <row r="640" spans="2:6" x14ac:dyDescent="0.3">
      <c r="B640" s="666"/>
      <c r="E640" s="666"/>
      <c r="F640" s="666"/>
    </row>
    <row r="641" spans="2:6" x14ac:dyDescent="0.3">
      <c r="B641" s="666"/>
      <c r="E641" s="666"/>
      <c r="F641" s="666"/>
    </row>
    <row r="642" spans="2:6" x14ac:dyDescent="0.3">
      <c r="B642" s="666"/>
      <c r="E642" s="666"/>
      <c r="F642" s="666"/>
    </row>
    <row r="643" spans="2:6" x14ac:dyDescent="0.3">
      <c r="B643" s="666"/>
      <c r="E643" s="666"/>
      <c r="F643" s="666"/>
    </row>
    <row r="644" spans="2:6" x14ac:dyDescent="0.3">
      <c r="B644" s="666"/>
      <c r="E644" s="666"/>
      <c r="F644" s="666"/>
    </row>
    <row r="645" spans="2:6" x14ac:dyDescent="0.3">
      <c r="B645" s="666"/>
      <c r="E645" s="666"/>
      <c r="F645" s="666"/>
    </row>
    <row r="646" spans="2:6" x14ac:dyDescent="0.3">
      <c r="B646" s="666"/>
      <c r="E646" s="666"/>
      <c r="F646" s="666"/>
    </row>
    <row r="647" spans="2:6" x14ac:dyDescent="0.3">
      <c r="B647" s="666"/>
      <c r="E647" s="666"/>
      <c r="F647" s="666"/>
    </row>
    <row r="648" spans="2:6" x14ac:dyDescent="0.3">
      <c r="B648" s="666"/>
      <c r="E648" s="666"/>
      <c r="F648" s="666"/>
    </row>
    <row r="649" spans="2:6" x14ac:dyDescent="0.3">
      <c r="B649" s="666"/>
      <c r="E649" s="666"/>
      <c r="F649" s="666"/>
    </row>
    <row r="650" spans="2:6" x14ac:dyDescent="0.3">
      <c r="B650" s="666"/>
      <c r="E650" s="666"/>
      <c r="F650" s="666"/>
    </row>
    <row r="651" spans="2:6" x14ac:dyDescent="0.3">
      <c r="B651" s="666"/>
      <c r="E651" s="666"/>
      <c r="F651" s="666"/>
    </row>
    <row r="652" spans="2:6" x14ac:dyDescent="0.3">
      <c r="B652" s="666"/>
      <c r="E652" s="666"/>
      <c r="F652" s="666"/>
    </row>
    <row r="653" spans="2:6" x14ac:dyDescent="0.3">
      <c r="B653" s="666"/>
      <c r="E653" s="666"/>
      <c r="F653" s="666"/>
    </row>
    <row r="654" spans="2:6" x14ac:dyDescent="0.3">
      <c r="B654" s="666"/>
      <c r="E654" s="666"/>
      <c r="F654" s="666"/>
    </row>
    <row r="655" spans="2:6" x14ac:dyDescent="0.3">
      <c r="B655" s="666"/>
      <c r="E655" s="666"/>
      <c r="F655" s="666"/>
    </row>
    <row r="656" spans="2:6" x14ac:dyDescent="0.3">
      <c r="B656" s="666"/>
      <c r="E656" s="666"/>
      <c r="F656" s="666"/>
    </row>
    <row r="657" spans="2:6" x14ac:dyDescent="0.3">
      <c r="B657" s="666"/>
      <c r="E657" s="666"/>
      <c r="F657" s="666"/>
    </row>
    <row r="658" spans="2:6" x14ac:dyDescent="0.3">
      <c r="B658" s="666"/>
      <c r="E658" s="666"/>
      <c r="F658" s="666"/>
    </row>
    <row r="659" spans="2:6" x14ac:dyDescent="0.3">
      <c r="B659" s="666"/>
      <c r="E659" s="666"/>
      <c r="F659" s="666"/>
    </row>
    <row r="660" spans="2:6" x14ac:dyDescent="0.3">
      <c r="B660" s="666"/>
      <c r="E660" s="666"/>
      <c r="F660" s="666"/>
    </row>
    <row r="661" spans="2:6" x14ac:dyDescent="0.3">
      <c r="B661" s="666"/>
      <c r="E661" s="666"/>
      <c r="F661" s="666"/>
    </row>
    <row r="662" spans="2:6" x14ac:dyDescent="0.3">
      <c r="B662" s="666"/>
      <c r="E662" s="666"/>
      <c r="F662" s="666"/>
    </row>
    <row r="663" spans="2:6" x14ac:dyDescent="0.3">
      <c r="B663" s="666"/>
      <c r="E663" s="666"/>
      <c r="F663" s="666"/>
    </row>
    <row r="664" spans="2:6" x14ac:dyDescent="0.3">
      <c r="B664" s="666"/>
      <c r="E664" s="666"/>
      <c r="F664" s="666"/>
    </row>
    <row r="665" spans="2:6" x14ac:dyDescent="0.3">
      <c r="B665" s="666"/>
      <c r="E665" s="666"/>
      <c r="F665" s="666"/>
    </row>
    <row r="666" spans="2:6" x14ac:dyDescent="0.3">
      <c r="B666" s="666"/>
      <c r="E666" s="666"/>
      <c r="F666" s="666"/>
    </row>
    <row r="667" spans="2:6" x14ac:dyDescent="0.3">
      <c r="B667" s="666"/>
      <c r="E667" s="666"/>
      <c r="F667" s="666"/>
    </row>
    <row r="668" spans="2:6" x14ac:dyDescent="0.3">
      <c r="B668" s="666"/>
      <c r="E668" s="666"/>
      <c r="F668" s="666"/>
    </row>
    <row r="669" spans="2:6" x14ac:dyDescent="0.3">
      <c r="B669" s="666"/>
      <c r="E669" s="666"/>
      <c r="F669" s="666"/>
    </row>
    <row r="670" spans="2:6" x14ac:dyDescent="0.3">
      <c r="B670" s="666"/>
      <c r="E670" s="666"/>
      <c r="F670" s="666"/>
    </row>
    <row r="671" spans="2:6" x14ac:dyDescent="0.3">
      <c r="B671" s="666"/>
      <c r="E671" s="666"/>
      <c r="F671" s="666"/>
    </row>
    <row r="672" spans="2:6" x14ac:dyDescent="0.3">
      <c r="B672" s="666"/>
      <c r="E672" s="666"/>
      <c r="F672" s="666"/>
    </row>
    <row r="673" spans="2:6" x14ac:dyDescent="0.3">
      <c r="B673" s="666"/>
      <c r="E673" s="666"/>
      <c r="F673" s="666"/>
    </row>
    <row r="674" spans="2:6" x14ac:dyDescent="0.3">
      <c r="B674" s="666"/>
      <c r="E674" s="666"/>
      <c r="F674" s="666"/>
    </row>
    <row r="675" spans="2:6" x14ac:dyDescent="0.3">
      <c r="B675" s="666"/>
      <c r="E675" s="666"/>
      <c r="F675" s="666"/>
    </row>
    <row r="676" spans="2:6" x14ac:dyDescent="0.3">
      <c r="B676" s="666"/>
      <c r="E676" s="666"/>
      <c r="F676" s="666"/>
    </row>
    <row r="677" spans="2:6" x14ac:dyDescent="0.3">
      <c r="B677" s="666"/>
      <c r="E677" s="666"/>
      <c r="F677" s="666"/>
    </row>
    <row r="678" spans="2:6" x14ac:dyDescent="0.3">
      <c r="B678" s="666"/>
      <c r="E678" s="666"/>
      <c r="F678" s="666"/>
    </row>
    <row r="679" spans="2:6" x14ac:dyDescent="0.3">
      <c r="B679" s="666"/>
      <c r="E679" s="666"/>
      <c r="F679" s="666"/>
    </row>
    <row r="680" spans="2:6" x14ac:dyDescent="0.3">
      <c r="B680" s="666"/>
      <c r="E680" s="666"/>
      <c r="F680" s="666"/>
    </row>
    <row r="681" spans="2:6" x14ac:dyDescent="0.3">
      <c r="B681" s="666"/>
      <c r="E681" s="666"/>
      <c r="F681" s="666"/>
    </row>
    <row r="682" spans="2:6" x14ac:dyDescent="0.3">
      <c r="B682" s="666"/>
      <c r="E682" s="666"/>
      <c r="F682" s="666"/>
    </row>
    <row r="683" spans="2:6" x14ac:dyDescent="0.3">
      <c r="B683" s="666"/>
      <c r="E683" s="666"/>
      <c r="F683" s="666"/>
    </row>
    <row r="684" spans="2:6" x14ac:dyDescent="0.3">
      <c r="B684" s="666"/>
      <c r="E684" s="666"/>
      <c r="F684" s="666"/>
    </row>
    <row r="685" spans="2:6" x14ac:dyDescent="0.3">
      <c r="B685" s="666"/>
      <c r="E685" s="666"/>
      <c r="F685" s="666"/>
    </row>
    <row r="686" spans="2:6" x14ac:dyDescent="0.3">
      <c r="B686" s="666"/>
      <c r="E686" s="666"/>
      <c r="F686" s="666"/>
    </row>
    <row r="687" spans="2:6" x14ac:dyDescent="0.3">
      <c r="B687" s="666"/>
      <c r="E687" s="666"/>
      <c r="F687" s="666"/>
    </row>
    <row r="688" spans="2:6" x14ac:dyDescent="0.3">
      <c r="B688" s="666"/>
      <c r="E688" s="666"/>
      <c r="F688" s="666"/>
    </row>
    <row r="689" spans="2:6" x14ac:dyDescent="0.3">
      <c r="B689" s="666"/>
      <c r="E689" s="666"/>
      <c r="F689" s="666"/>
    </row>
    <row r="690" spans="2:6" x14ac:dyDescent="0.3">
      <c r="B690" s="666"/>
      <c r="E690" s="666"/>
      <c r="F690" s="666"/>
    </row>
    <row r="691" spans="2:6" x14ac:dyDescent="0.3">
      <c r="B691" s="666"/>
      <c r="E691" s="666"/>
      <c r="F691" s="666"/>
    </row>
    <row r="692" spans="2:6" x14ac:dyDescent="0.3">
      <c r="B692" s="666"/>
      <c r="E692" s="666"/>
      <c r="F692" s="666"/>
    </row>
    <row r="693" spans="2:6" x14ac:dyDescent="0.3">
      <c r="B693" s="666"/>
      <c r="E693" s="666"/>
      <c r="F693" s="666"/>
    </row>
    <row r="694" spans="2:6" x14ac:dyDescent="0.3">
      <c r="B694" s="666"/>
      <c r="E694" s="666"/>
      <c r="F694" s="666"/>
    </row>
    <row r="695" spans="2:6" x14ac:dyDescent="0.3">
      <c r="B695" s="666"/>
      <c r="E695" s="666"/>
      <c r="F695" s="666"/>
    </row>
    <row r="696" spans="2:6" x14ac:dyDescent="0.3">
      <c r="B696" s="666"/>
      <c r="E696" s="666"/>
      <c r="F696" s="666"/>
    </row>
    <row r="697" spans="2:6" x14ac:dyDescent="0.3">
      <c r="B697" s="666"/>
      <c r="E697" s="666"/>
      <c r="F697" s="666"/>
    </row>
    <row r="698" spans="2:6" x14ac:dyDescent="0.3">
      <c r="B698" s="666"/>
      <c r="E698" s="666"/>
      <c r="F698" s="666"/>
    </row>
    <row r="699" spans="2:6" x14ac:dyDescent="0.3">
      <c r="B699" s="666"/>
      <c r="E699" s="666"/>
      <c r="F699" s="666"/>
    </row>
    <row r="700" spans="2:6" x14ac:dyDescent="0.3">
      <c r="B700" s="666"/>
      <c r="E700" s="666"/>
      <c r="F700" s="666"/>
    </row>
    <row r="701" spans="2:6" x14ac:dyDescent="0.3">
      <c r="B701" s="666"/>
      <c r="E701" s="666"/>
      <c r="F701" s="666"/>
    </row>
    <row r="702" spans="2:6" x14ac:dyDescent="0.3">
      <c r="B702" s="666"/>
      <c r="E702" s="666"/>
      <c r="F702" s="666"/>
    </row>
    <row r="703" spans="2:6" x14ac:dyDescent="0.3">
      <c r="B703" s="666"/>
      <c r="E703" s="666"/>
      <c r="F703" s="666"/>
    </row>
    <row r="704" spans="2:6" x14ac:dyDescent="0.3">
      <c r="B704" s="666"/>
      <c r="E704" s="666"/>
      <c r="F704" s="666"/>
    </row>
    <row r="705" spans="2:6" x14ac:dyDescent="0.3">
      <c r="B705" s="666"/>
      <c r="E705" s="666"/>
      <c r="F705" s="666"/>
    </row>
    <row r="706" spans="2:6" x14ac:dyDescent="0.3">
      <c r="B706" s="666"/>
      <c r="E706" s="666"/>
      <c r="F706" s="666"/>
    </row>
    <row r="707" spans="2:6" x14ac:dyDescent="0.3">
      <c r="B707" s="666"/>
      <c r="E707" s="666"/>
      <c r="F707" s="666"/>
    </row>
    <row r="708" spans="2:6" x14ac:dyDescent="0.3">
      <c r="B708" s="666"/>
      <c r="E708" s="666"/>
      <c r="F708" s="666"/>
    </row>
    <row r="709" spans="2:6" x14ac:dyDescent="0.3">
      <c r="B709" s="666"/>
      <c r="E709" s="666"/>
      <c r="F709" s="666"/>
    </row>
    <row r="710" spans="2:6" x14ac:dyDescent="0.3">
      <c r="B710" s="666"/>
      <c r="E710" s="666"/>
      <c r="F710" s="666"/>
    </row>
    <row r="711" spans="2:6" x14ac:dyDescent="0.3">
      <c r="B711" s="666"/>
      <c r="E711" s="666"/>
      <c r="F711" s="666"/>
    </row>
    <row r="712" spans="2:6" x14ac:dyDescent="0.3">
      <c r="B712" s="666"/>
      <c r="E712" s="666"/>
      <c r="F712" s="666"/>
    </row>
    <row r="713" spans="2:6" x14ac:dyDescent="0.3">
      <c r="B713" s="666"/>
      <c r="E713" s="666"/>
      <c r="F713" s="666"/>
    </row>
    <row r="714" spans="2:6" x14ac:dyDescent="0.3">
      <c r="B714" s="666"/>
      <c r="E714" s="666"/>
      <c r="F714" s="666"/>
    </row>
    <row r="715" spans="2:6" x14ac:dyDescent="0.3">
      <c r="B715" s="666"/>
      <c r="E715" s="666"/>
      <c r="F715" s="666"/>
    </row>
    <row r="716" spans="2:6" x14ac:dyDescent="0.3">
      <c r="B716" s="666"/>
      <c r="E716" s="666"/>
      <c r="F716" s="666"/>
    </row>
    <row r="717" spans="2:6" x14ac:dyDescent="0.3">
      <c r="B717" s="666"/>
      <c r="E717" s="666"/>
      <c r="F717" s="666"/>
    </row>
    <row r="718" spans="2:6" x14ac:dyDescent="0.3">
      <c r="B718" s="666"/>
      <c r="E718" s="666"/>
      <c r="F718" s="666"/>
    </row>
    <row r="719" spans="2:6" x14ac:dyDescent="0.3">
      <c r="B719" s="666"/>
      <c r="E719" s="666"/>
      <c r="F719" s="666"/>
    </row>
    <row r="720" spans="2:6" x14ac:dyDescent="0.3">
      <c r="B720" s="666"/>
      <c r="E720" s="666"/>
      <c r="F720" s="666"/>
    </row>
    <row r="721" spans="2:6" x14ac:dyDescent="0.3">
      <c r="B721" s="666"/>
      <c r="E721" s="666"/>
      <c r="F721" s="666"/>
    </row>
    <row r="722" spans="2:6" x14ac:dyDescent="0.3">
      <c r="B722" s="666"/>
      <c r="E722" s="666"/>
      <c r="F722" s="666"/>
    </row>
    <row r="723" spans="2:6" x14ac:dyDescent="0.3">
      <c r="B723" s="666"/>
      <c r="E723" s="666"/>
      <c r="F723" s="666"/>
    </row>
    <row r="724" spans="2:6" x14ac:dyDescent="0.3">
      <c r="B724" s="666"/>
      <c r="E724" s="666"/>
      <c r="F724" s="666"/>
    </row>
    <row r="725" spans="2:6" x14ac:dyDescent="0.3">
      <c r="B725" s="666"/>
      <c r="E725" s="666"/>
      <c r="F725" s="666"/>
    </row>
    <row r="726" spans="2:6" x14ac:dyDescent="0.3">
      <c r="B726" s="666"/>
      <c r="E726" s="666"/>
      <c r="F726" s="666"/>
    </row>
    <row r="727" spans="2:6" x14ac:dyDescent="0.3">
      <c r="B727" s="666"/>
      <c r="E727" s="666"/>
      <c r="F727" s="666"/>
    </row>
    <row r="728" spans="2:6" x14ac:dyDescent="0.3">
      <c r="B728" s="666"/>
      <c r="E728" s="666"/>
      <c r="F728" s="666"/>
    </row>
    <row r="729" spans="2:6" x14ac:dyDescent="0.3">
      <c r="B729" s="666"/>
      <c r="E729" s="666"/>
      <c r="F729" s="666"/>
    </row>
    <row r="730" spans="2:6" x14ac:dyDescent="0.3">
      <c r="B730" s="666"/>
      <c r="E730" s="666"/>
      <c r="F730" s="666"/>
    </row>
    <row r="731" spans="2:6" x14ac:dyDescent="0.3">
      <c r="B731" s="666"/>
      <c r="E731" s="666"/>
      <c r="F731" s="666"/>
    </row>
    <row r="732" spans="2:6" x14ac:dyDescent="0.3">
      <c r="B732" s="666"/>
      <c r="E732" s="666"/>
      <c r="F732" s="666"/>
    </row>
    <row r="733" spans="2:6" x14ac:dyDescent="0.3">
      <c r="B733" s="666"/>
      <c r="E733" s="666"/>
      <c r="F733" s="666"/>
    </row>
    <row r="734" spans="2:6" x14ac:dyDescent="0.3">
      <c r="B734" s="666"/>
      <c r="E734" s="666"/>
      <c r="F734" s="666"/>
    </row>
    <row r="735" spans="2:6" x14ac:dyDescent="0.3">
      <c r="B735" s="666"/>
      <c r="E735" s="666"/>
      <c r="F735" s="666"/>
    </row>
    <row r="736" spans="2:6" x14ac:dyDescent="0.3">
      <c r="B736" s="666"/>
      <c r="E736" s="666"/>
      <c r="F736" s="666"/>
    </row>
    <row r="737" spans="2:6" x14ac:dyDescent="0.3">
      <c r="B737" s="666"/>
      <c r="E737" s="666"/>
      <c r="F737" s="666"/>
    </row>
    <row r="738" spans="2:6" x14ac:dyDescent="0.3">
      <c r="B738" s="666"/>
      <c r="E738" s="666"/>
      <c r="F738" s="666"/>
    </row>
    <row r="739" spans="2:6" x14ac:dyDescent="0.3">
      <c r="B739" s="666"/>
      <c r="E739" s="666"/>
      <c r="F739" s="666"/>
    </row>
    <row r="740" spans="2:6" x14ac:dyDescent="0.3">
      <c r="B740" s="666"/>
      <c r="E740" s="666"/>
      <c r="F740" s="666"/>
    </row>
    <row r="741" spans="2:6" x14ac:dyDescent="0.3">
      <c r="B741" s="666"/>
      <c r="E741" s="666"/>
      <c r="F741" s="666"/>
    </row>
    <row r="742" spans="2:6" x14ac:dyDescent="0.3">
      <c r="B742" s="666"/>
      <c r="E742" s="666"/>
      <c r="F742" s="666"/>
    </row>
    <row r="743" spans="2:6" x14ac:dyDescent="0.3">
      <c r="B743" s="666"/>
      <c r="E743" s="666"/>
      <c r="F743" s="666"/>
    </row>
    <row r="744" spans="2:6" x14ac:dyDescent="0.3">
      <c r="B744" s="666"/>
      <c r="E744" s="666"/>
      <c r="F744" s="666"/>
    </row>
    <row r="745" spans="2:6" x14ac:dyDescent="0.3">
      <c r="B745" s="666"/>
      <c r="E745" s="666"/>
      <c r="F745" s="666"/>
    </row>
    <row r="746" spans="2:6" x14ac:dyDescent="0.3">
      <c r="B746" s="666"/>
      <c r="E746" s="666"/>
      <c r="F746" s="666"/>
    </row>
    <row r="747" spans="2:6" x14ac:dyDescent="0.3">
      <c r="B747" s="666"/>
      <c r="E747" s="666"/>
      <c r="F747" s="666"/>
    </row>
    <row r="748" spans="2:6" x14ac:dyDescent="0.3">
      <c r="B748" s="666"/>
      <c r="E748" s="666"/>
      <c r="F748" s="666"/>
    </row>
    <row r="749" spans="2:6" x14ac:dyDescent="0.3">
      <c r="B749" s="666"/>
      <c r="E749" s="666"/>
      <c r="F749" s="666"/>
    </row>
    <row r="750" spans="2:6" x14ac:dyDescent="0.3">
      <c r="B750" s="666"/>
      <c r="E750" s="666"/>
      <c r="F750" s="666"/>
    </row>
    <row r="751" spans="2:6" x14ac:dyDescent="0.3">
      <c r="B751" s="666"/>
      <c r="E751" s="666"/>
      <c r="F751" s="666"/>
    </row>
    <row r="752" spans="2:6" x14ac:dyDescent="0.3">
      <c r="B752" s="666"/>
      <c r="E752" s="666"/>
      <c r="F752" s="666"/>
    </row>
    <row r="753" spans="2:6" x14ac:dyDescent="0.3">
      <c r="B753" s="666"/>
      <c r="E753" s="666"/>
      <c r="F753" s="666"/>
    </row>
    <row r="754" spans="2:6" x14ac:dyDescent="0.3">
      <c r="B754" s="666"/>
      <c r="E754" s="666"/>
      <c r="F754" s="666"/>
    </row>
    <row r="755" spans="2:6" x14ac:dyDescent="0.3">
      <c r="B755" s="666"/>
      <c r="E755" s="666"/>
      <c r="F755" s="666"/>
    </row>
    <row r="756" spans="2:6" x14ac:dyDescent="0.3">
      <c r="B756" s="666"/>
      <c r="E756" s="666"/>
      <c r="F756" s="666"/>
    </row>
    <row r="757" spans="2:6" x14ac:dyDescent="0.3">
      <c r="B757" s="666"/>
      <c r="E757" s="666"/>
      <c r="F757" s="666"/>
    </row>
    <row r="758" spans="2:6" x14ac:dyDescent="0.3">
      <c r="B758" s="666"/>
      <c r="E758" s="666"/>
      <c r="F758" s="666"/>
    </row>
    <row r="759" spans="2:6" x14ac:dyDescent="0.3">
      <c r="B759" s="666"/>
      <c r="E759" s="666"/>
      <c r="F759" s="666"/>
    </row>
    <row r="760" spans="2:6" x14ac:dyDescent="0.3">
      <c r="B760" s="666"/>
      <c r="E760" s="666"/>
      <c r="F760" s="666"/>
    </row>
    <row r="761" spans="2:6" x14ac:dyDescent="0.3">
      <c r="B761" s="666"/>
      <c r="E761" s="666"/>
      <c r="F761" s="666"/>
    </row>
    <row r="762" spans="2:6" x14ac:dyDescent="0.3">
      <c r="B762" s="666"/>
      <c r="E762" s="666"/>
      <c r="F762" s="666"/>
    </row>
    <row r="763" spans="2:6" x14ac:dyDescent="0.3">
      <c r="B763" s="666"/>
      <c r="E763" s="666"/>
      <c r="F763" s="666"/>
    </row>
    <row r="764" spans="2:6" x14ac:dyDescent="0.3">
      <c r="B764" s="666"/>
      <c r="E764" s="666"/>
      <c r="F764" s="666"/>
    </row>
    <row r="765" spans="2:6" x14ac:dyDescent="0.3">
      <c r="B765" s="666"/>
      <c r="E765" s="666"/>
      <c r="F765" s="666"/>
    </row>
    <row r="766" spans="2:6" x14ac:dyDescent="0.3">
      <c r="B766" s="666"/>
      <c r="E766" s="666"/>
      <c r="F766" s="666"/>
    </row>
    <row r="767" spans="2:6" x14ac:dyDescent="0.3">
      <c r="B767" s="666"/>
      <c r="E767" s="666"/>
      <c r="F767" s="666"/>
    </row>
    <row r="768" spans="2:6" x14ac:dyDescent="0.3">
      <c r="B768" s="666"/>
      <c r="E768" s="666"/>
      <c r="F768" s="666"/>
    </row>
    <row r="769" spans="2:6" x14ac:dyDescent="0.3">
      <c r="B769" s="666"/>
      <c r="E769" s="666"/>
      <c r="F769" s="666"/>
    </row>
    <row r="770" spans="2:6" x14ac:dyDescent="0.3">
      <c r="B770" s="666"/>
      <c r="E770" s="666"/>
      <c r="F770" s="666"/>
    </row>
    <row r="771" spans="2:6" x14ac:dyDescent="0.3">
      <c r="B771" s="666"/>
      <c r="E771" s="666"/>
      <c r="F771" s="666"/>
    </row>
    <row r="772" spans="2:6" x14ac:dyDescent="0.3">
      <c r="B772" s="666"/>
      <c r="E772" s="666"/>
      <c r="F772" s="666"/>
    </row>
    <row r="773" spans="2:6" x14ac:dyDescent="0.3">
      <c r="B773" s="666"/>
      <c r="E773" s="666"/>
      <c r="F773" s="666"/>
    </row>
    <row r="774" spans="2:6" x14ac:dyDescent="0.3">
      <c r="B774" s="666"/>
      <c r="E774" s="666"/>
      <c r="F774" s="666"/>
    </row>
    <row r="775" spans="2:6" x14ac:dyDescent="0.3">
      <c r="B775" s="666"/>
      <c r="E775" s="666"/>
      <c r="F775" s="666"/>
    </row>
    <row r="776" spans="2:6" x14ac:dyDescent="0.3">
      <c r="B776" s="666"/>
      <c r="E776" s="666"/>
      <c r="F776" s="666"/>
    </row>
    <row r="777" spans="2:6" x14ac:dyDescent="0.3">
      <c r="B777" s="666"/>
      <c r="E777" s="666"/>
      <c r="F777" s="666"/>
    </row>
    <row r="778" spans="2:6" x14ac:dyDescent="0.3">
      <c r="B778" s="666"/>
      <c r="E778" s="666"/>
      <c r="F778" s="666"/>
    </row>
    <row r="779" spans="2:6" x14ac:dyDescent="0.3">
      <c r="B779" s="666"/>
      <c r="E779" s="666"/>
      <c r="F779" s="666"/>
    </row>
    <row r="780" spans="2:6" x14ac:dyDescent="0.3">
      <c r="B780" s="666"/>
      <c r="E780" s="666"/>
      <c r="F780" s="666"/>
    </row>
    <row r="781" spans="2:6" x14ac:dyDescent="0.3">
      <c r="B781" s="666"/>
      <c r="E781" s="666"/>
      <c r="F781" s="666"/>
    </row>
    <row r="782" spans="2:6" x14ac:dyDescent="0.3">
      <c r="B782" s="666"/>
      <c r="E782" s="666"/>
      <c r="F782" s="666"/>
    </row>
    <row r="783" spans="2:6" x14ac:dyDescent="0.3">
      <c r="B783" s="666"/>
      <c r="E783" s="666"/>
      <c r="F783" s="666"/>
    </row>
    <row r="784" spans="2:6" x14ac:dyDescent="0.3">
      <c r="B784" s="666"/>
      <c r="E784" s="666"/>
      <c r="F784" s="666"/>
    </row>
    <row r="785" spans="2:6" x14ac:dyDescent="0.3">
      <c r="B785" s="666"/>
      <c r="E785" s="666"/>
      <c r="F785" s="666"/>
    </row>
    <row r="786" spans="2:6" x14ac:dyDescent="0.3">
      <c r="B786" s="666"/>
      <c r="E786" s="666"/>
      <c r="F786" s="666"/>
    </row>
    <row r="787" spans="2:6" x14ac:dyDescent="0.3">
      <c r="B787" s="666"/>
      <c r="E787" s="666"/>
      <c r="F787" s="666"/>
    </row>
    <row r="788" spans="2:6" x14ac:dyDescent="0.3">
      <c r="B788" s="666"/>
      <c r="E788" s="666"/>
      <c r="F788" s="666"/>
    </row>
    <row r="789" spans="2:6" x14ac:dyDescent="0.3">
      <c r="B789" s="666"/>
      <c r="E789" s="666"/>
      <c r="F789" s="666"/>
    </row>
    <row r="790" spans="2:6" x14ac:dyDescent="0.3">
      <c r="B790" s="666"/>
      <c r="E790" s="666"/>
      <c r="F790" s="666"/>
    </row>
    <row r="791" spans="2:6" x14ac:dyDescent="0.3">
      <c r="B791" s="666"/>
      <c r="E791" s="666"/>
      <c r="F791" s="666"/>
    </row>
    <row r="792" spans="2:6" x14ac:dyDescent="0.3">
      <c r="B792" s="666"/>
      <c r="E792" s="666"/>
      <c r="F792" s="666"/>
    </row>
    <row r="793" spans="2:6" x14ac:dyDescent="0.3">
      <c r="B793" s="666"/>
      <c r="E793" s="666"/>
      <c r="F793" s="666"/>
    </row>
    <row r="794" spans="2:6" x14ac:dyDescent="0.3">
      <c r="B794" s="666"/>
      <c r="E794" s="666"/>
      <c r="F794" s="666"/>
    </row>
    <row r="795" spans="2:6" x14ac:dyDescent="0.3">
      <c r="B795" s="666"/>
      <c r="E795" s="666"/>
      <c r="F795" s="666"/>
    </row>
    <row r="796" spans="2:6" x14ac:dyDescent="0.3">
      <c r="B796" s="666"/>
      <c r="E796" s="666"/>
      <c r="F796" s="666"/>
    </row>
    <row r="797" spans="2:6" x14ac:dyDescent="0.3">
      <c r="B797" s="666"/>
      <c r="E797" s="666"/>
      <c r="F797" s="666"/>
    </row>
    <row r="798" spans="2:6" x14ac:dyDescent="0.3">
      <c r="B798" s="666"/>
      <c r="E798" s="666"/>
      <c r="F798" s="666"/>
    </row>
    <row r="799" spans="2:6" x14ac:dyDescent="0.3">
      <c r="B799" s="666"/>
      <c r="E799" s="666"/>
      <c r="F799" s="666"/>
    </row>
    <row r="800" spans="2:6" x14ac:dyDescent="0.3">
      <c r="B800" s="666"/>
      <c r="E800" s="666"/>
      <c r="F800" s="666"/>
    </row>
    <row r="801" spans="2:6" x14ac:dyDescent="0.3">
      <c r="B801" s="666"/>
      <c r="E801" s="666"/>
      <c r="F801" s="666"/>
    </row>
    <row r="802" spans="2:6" x14ac:dyDescent="0.3">
      <c r="B802" s="666"/>
      <c r="E802" s="666"/>
      <c r="F802" s="666"/>
    </row>
    <row r="803" spans="2:6" x14ac:dyDescent="0.3">
      <c r="B803" s="666"/>
      <c r="E803" s="666"/>
      <c r="F803" s="666"/>
    </row>
    <row r="804" spans="2:6" x14ac:dyDescent="0.3">
      <c r="B804" s="666"/>
      <c r="E804" s="666"/>
      <c r="F804" s="666"/>
    </row>
    <row r="805" spans="2:6" x14ac:dyDescent="0.3">
      <c r="B805" s="666"/>
      <c r="E805" s="666"/>
      <c r="F805" s="666"/>
    </row>
    <row r="806" spans="2:6" x14ac:dyDescent="0.3">
      <c r="B806" s="666"/>
      <c r="E806" s="666"/>
      <c r="F806" s="666"/>
    </row>
    <row r="807" spans="2:6" x14ac:dyDescent="0.3">
      <c r="B807" s="666"/>
      <c r="E807" s="666"/>
      <c r="F807" s="666"/>
    </row>
    <row r="808" spans="2:6" x14ac:dyDescent="0.3">
      <c r="B808" s="666"/>
      <c r="E808" s="666"/>
      <c r="F808" s="666"/>
    </row>
    <row r="809" spans="2:6" x14ac:dyDescent="0.3">
      <c r="B809" s="666"/>
      <c r="E809" s="666"/>
      <c r="F809" s="666"/>
    </row>
    <row r="810" spans="2:6" x14ac:dyDescent="0.3">
      <c r="B810" s="666"/>
      <c r="E810" s="666"/>
      <c r="F810" s="666"/>
    </row>
    <row r="811" spans="2:6" x14ac:dyDescent="0.3">
      <c r="B811" s="666"/>
      <c r="E811" s="666"/>
      <c r="F811" s="666"/>
    </row>
    <row r="812" spans="2:6" x14ac:dyDescent="0.3">
      <c r="B812" s="666"/>
      <c r="E812" s="666"/>
      <c r="F812" s="666"/>
    </row>
    <row r="813" spans="2:6" x14ac:dyDescent="0.3">
      <c r="B813" s="666"/>
      <c r="E813" s="666"/>
      <c r="F813" s="666"/>
    </row>
    <row r="814" spans="2:6" x14ac:dyDescent="0.3">
      <c r="B814" s="666"/>
      <c r="E814" s="666"/>
      <c r="F814" s="666"/>
    </row>
    <row r="815" spans="2:6" x14ac:dyDescent="0.3">
      <c r="B815" s="666"/>
      <c r="E815" s="666"/>
      <c r="F815" s="666"/>
    </row>
    <row r="816" spans="2:6" x14ac:dyDescent="0.3">
      <c r="B816" s="666"/>
      <c r="E816" s="666"/>
      <c r="F816" s="666"/>
    </row>
    <row r="817" spans="2:6" x14ac:dyDescent="0.3">
      <c r="B817" s="666"/>
      <c r="E817" s="666"/>
      <c r="F817" s="666"/>
    </row>
    <row r="818" spans="2:6" x14ac:dyDescent="0.3">
      <c r="B818" s="666"/>
      <c r="E818" s="666"/>
      <c r="F818" s="666"/>
    </row>
    <row r="819" spans="2:6" x14ac:dyDescent="0.3">
      <c r="B819" s="666"/>
      <c r="E819" s="666"/>
      <c r="F819" s="666"/>
    </row>
    <row r="820" spans="2:6" x14ac:dyDescent="0.3">
      <c r="B820" s="666"/>
      <c r="E820" s="666"/>
      <c r="F820" s="666"/>
    </row>
    <row r="821" spans="2:6" x14ac:dyDescent="0.3">
      <c r="B821" s="666"/>
      <c r="E821" s="666"/>
      <c r="F821" s="666"/>
    </row>
    <row r="822" spans="2:6" x14ac:dyDescent="0.3">
      <c r="B822" s="666"/>
      <c r="E822" s="666"/>
      <c r="F822" s="666"/>
    </row>
    <row r="823" spans="2:6" x14ac:dyDescent="0.3">
      <c r="B823" s="666"/>
      <c r="E823" s="666"/>
      <c r="F823" s="666"/>
    </row>
    <row r="824" spans="2:6" x14ac:dyDescent="0.3">
      <c r="B824" s="666"/>
      <c r="E824" s="666"/>
      <c r="F824" s="666"/>
    </row>
    <row r="825" spans="2:6" x14ac:dyDescent="0.3">
      <c r="B825" s="666"/>
      <c r="E825" s="666"/>
      <c r="F825" s="666"/>
    </row>
    <row r="826" spans="2:6" x14ac:dyDescent="0.3">
      <c r="B826" s="666"/>
      <c r="E826" s="666"/>
      <c r="F826" s="666"/>
    </row>
    <row r="827" spans="2:6" x14ac:dyDescent="0.3">
      <c r="B827" s="666"/>
      <c r="E827" s="666"/>
      <c r="F827" s="666"/>
    </row>
    <row r="828" spans="2:6" x14ac:dyDescent="0.3">
      <c r="B828" s="666"/>
      <c r="E828" s="666"/>
      <c r="F828" s="666"/>
    </row>
    <row r="829" spans="2:6" x14ac:dyDescent="0.3">
      <c r="B829" s="666"/>
      <c r="E829" s="666"/>
      <c r="F829" s="666"/>
    </row>
    <row r="830" spans="2:6" x14ac:dyDescent="0.3">
      <c r="B830" s="666"/>
      <c r="E830" s="666"/>
      <c r="F830" s="666"/>
    </row>
    <row r="831" spans="2:6" x14ac:dyDescent="0.3">
      <c r="B831" s="666"/>
      <c r="E831" s="666"/>
      <c r="F831" s="666"/>
    </row>
    <row r="832" spans="2:6" x14ac:dyDescent="0.3">
      <c r="B832" s="666"/>
      <c r="E832" s="666"/>
      <c r="F832" s="666"/>
    </row>
    <row r="833" spans="2:6" x14ac:dyDescent="0.3">
      <c r="B833" s="666"/>
      <c r="E833" s="666"/>
      <c r="F833" s="666"/>
    </row>
    <row r="834" spans="2:6" x14ac:dyDescent="0.3">
      <c r="B834" s="666"/>
      <c r="E834" s="666"/>
      <c r="F834" s="666"/>
    </row>
    <row r="835" spans="2:6" x14ac:dyDescent="0.3">
      <c r="B835" s="666"/>
      <c r="E835" s="666"/>
      <c r="F835" s="666"/>
    </row>
    <row r="836" spans="2:6" x14ac:dyDescent="0.3">
      <c r="B836" s="666"/>
      <c r="E836" s="666"/>
      <c r="F836" s="666"/>
    </row>
    <row r="837" spans="2:6" x14ac:dyDescent="0.3">
      <c r="B837" s="666"/>
      <c r="E837" s="666"/>
      <c r="F837" s="666"/>
    </row>
    <row r="838" spans="2:6" x14ac:dyDescent="0.3">
      <c r="B838" s="666"/>
      <c r="E838" s="666"/>
      <c r="F838" s="666"/>
    </row>
    <row r="839" spans="2:6" x14ac:dyDescent="0.3">
      <c r="B839" s="666"/>
      <c r="E839" s="666"/>
      <c r="F839" s="666"/>
    </row>
    <row r="840" spans="2:6" x14ac:dyDescent="0.3">
      <c r="B840" s="666"/>
      <c r="E840" s="666"/>
      <c r="F840" s="666"/>
    </row>
    <row r="841" spans="2:6" x14ac:dyDescent="0.3">
      <c r="B841" s="666"/>
      <c r="E841" s="666"/>
      <c r="F841" s="666"/>
    </row>
    <row r="842" spans="2:6" x14ac:dyDescent="0.3">
      <c r="B842" s="666"/>
      <c r="E842" s="666"/>
      <c r="F842" s="666"/>
    </row>
    <row r="843" spans="2:6" x14ac:dyDescent="0.3">
      <c r="B843" s="666"/>
      <c r="E843" s="666"/>
      <c r="F843" s="666"/>
    </row>
    <row r="844" spans="2:6" x14ac:dyDescent="0.3">
      <c r="B844" s="666"/>
      <c r="E844" s="666"/>
      <c r="F844" s="666"/>
    </row>
    <row r="845" spans="2:6" x14ac:dyDescent="0.3">
      <c r="B845" s="666"/>
      <c r="E845" s="666"/>
      <c r="F845" s="666"/>
    </row>
    <row r="846" spans="2:6" x14ac:dyDescent="0.3">
      <c r="B846" s="666"/>
      <c r="E846" s="666"/>
      <c r="F846" s="666"/>
    </row>
    <row r="847" spans="2:6" x14ac:dyDescent="0.3">
      <c r="B847" s="666"/>
      <c r="E847" s="666"/>
      <c r="F847" s="666"/>
    </row>
    <row r="848" spans="2:6" x14ac:dyDescent="0.3">
      <c r="B848" s="666"/>
      <c r="E848" s="666"/>
      <c r="F848" s="666"/>
    </row>
    <row r="849" spans="2:6" x14ac:dyDescent="0.3">
      <c r="B849" s="666"/>
      <c r="E849" s="666"/>
      <c r="F849" s="666"/>
    </row>
    <row r="850" spans="2:6" x14ac:dyDescent="0.3">
      <c r="B850" s="666"/>
      <c r="E850" s="666"/>
      <c r="F850" s="666"/>
    </row>
    <row r="851" spans="2:6" x14ac:dyDescent="0.3">
      <c r="B851" s="666"/>
      <c r="E851" s="666"/>
      <c r="F851" s="666"/>
    </row>
    <row r="852" spans="2:6" x14ac:dyDescent="0.3">
      <c r="B852" s="666"/>
      <c r="E852" s="666"/>
      <c r="F852" s="666"/>
    </row>
    <row r="853" spans="2:6" x14ac:dyDescent="0.3">
      <c r="B853" s="666"/>
      <c r="E853" s="666"/>
      <c r="F853" s="666"/>
    </row>
    <row r="854" spans="2:6" x14ac:dyDescent="0.3">
      <c r="B854" s="666"/>
      <c r="E854" s="666"/>
      <c r="F854" s="666"/>
    </row>
    <row r="855" spans="2:6" x14ac:dyDescent="0.3">
      <c r="B855" s="666"/>
      <c r="E855" s="666"/>
      <c r="F855" s="666"/>
    </row>
    <row r="856" spans="2:6" x14ac:dyDescent="0.3">
      <c r="B856" s="666"/>
      <c r="E856" s="666"/>
      <c r="F856" s="666"/>
    </row>
    <row r="857" spans="2:6" x14ac:dyDescent="0.3">
      <c r="B857" s="666"/>
      <c r="E857" s="666"/>
      <c r="F857" s="666"/>
    </row>
    <row r="858" spans="2:6" x14ac:dyDescent="0.3">
      <c r="B858" s="666"/>
      <c r="E858" s="666"/>
      <c r="F858" s="666"/>
    </row>
    <row r="859" spans="2:6" x14ac:dyDescent="0.3">
      <c r="B859" s="666"/>
      <c r="E859" s="666"/>
      <c r="F859" s="666"/>
    </row>
    <row r="860" spans="2:6" x14ac:dyDescent="0.3">
      <c r="B860" s="666"/>
      <c r="E860" s="666"/>
      <c r="F860" s="666"/>
    </row>
    <row r="861" spans="2:6" x14ac:dyDescent="0.3">
      <c r="B861" s="666"/>
      <c r="E861" s="666"/>
      <c r="F861" s="666"/>
    </row>
    <row r="862" spans="2:6" x14ac:dyDescent="0.3">
      <c r="B862" s="666"/>
      <c r="E862" s="666"/>
      <c r="F862" s="666"/>
    </row>
    <row r="863" spans="2:6" x14ac:dyDescent="0.3">
      <c r="B863" s="666"/>
      <c r="E863" s="666"/>
      <c r="F863" s="666"/>
    </row>
    <row r="864" spans="2:6" x14ac:dyDescent="0.3">
      <c r="B864" s="666"/>
      <c r="E864" s="666"/>
      <c r="F864" s="666"/>
    </row>
    <row r="865" spans="2:6" x14ac:dyDescent="0.3">
      <c r="B865" s="666"/>
      <c r="E865" s="666"/>
      <c r="F865" s="666"/>
    </row>
    <row r="866" spans="2:6" x14ac:dyDescent="0.3">
      <c r="B866" s="666"/>
      <c r="E866" s="666"/>
      <c r="F866" s="666"/>
    </row>
    <row r="867" spans="2:6" x14ac:dyDescent="0.3">
      <c r="B867" s="666"/>
      <c r="E867" s="666"/>
      <c r="F867" s="666"/>
    </row>
    <row r="868" spans="2:6" x14ac:dyDescent="0.3">
      <c r="B868" s="666"/>
      <c r="E868" s="666"/>
      <c r="F868" s="666"/>
    </row>
    <row r="869" spans="2:6" x14ac:dyDescent="0.3">
      <c r="B869" s="666"/>
      <c r="E869" s="666"/>
      <c r="F869" s="666"/>
    </row>
    <row r="870" spans="2:6" x14ac:dyDescent="0.3">
      <c r="B870" s="666"/>
      <c r="E870" s="666"/>
      <c r="F870" s="666"/>
    </row>
    <row r="871" spans="2:6" x14ac:dyDescent="0.3">
      <c r="B871" s="666"/>
      <c r="E871" s="666"/>
      <c r="F871" s="666"/>
    </row>
    <row r="872" spans="2:6" x14ac:dyDescent="0.3">
      <c r="B872" s="666"/>
      <c r="E872" s="666"/>
      <c r="F872" s="666"/>
    </row>
    <row r="873" spans="2:6" x14ac:dyDescent="0.3">
      <c r="B873" s="666"/>
      <c r="E873" s="666"/>
      <c r="F873" s="666"/>
    </row>
    <row r="874" spans="2:6" x14ac:dyDescent="0.3">
      <c r="B874" s="666"/>
      <c r="E874" s="666"/>
      <c r="F874" s="666"/>
    </row>
    <row r="875" spans="2:6" x14ac:dyDescent="0.3">
      <c r="B875" s="666"/>
      <c r="E875" s="666"/>
      <c r="F875" s="666"/>
    </row>
    <row r="876" spans="2:6" x14ac:dyDescent="0.3">
      <c r="B876" s="666"/>
      <c r="E876" s="666"/>
      <c r="F876" s="666"/>
    </row>
    <row r="877" spans="2:6" x14ac:dyDescent="0.3">
      <c r="B877" s="666"/>
      <c r="E877" s="666"/>
      <c r="F877" s="666"/>
    </row>
    <row r="878" spans="2:6" x14ac:dyDescent="0.3">
      <c r="B878" s="666"/>
      <c r="E878" s="666"/>
      <c r="F878" s="666"/>
    </row>
    <row r="879" spans="2:6" x14ac:dyDescent="0.3">
      <c r="B879" s="666"/>
      <c r="E879" s="666"/>
      <c r="F879" s="666"/>
    </row>
    <row r="880" spans="2:6" x14ac:dyDescent="0.3">
      <c r="B880" s="666"/>
      <c r="E880" s="666"/>
      <c r="F880" s="666"/>
    </row>
    <row r="881" spans="2:6" x14ac:dyDescent="0.3">
      <c r="B881" s="666"/>
      <c r="E881" s="666"/>
      <c r="F881" s="666"/>
    </row>
    <row r="882" spans="2:6" x14ac:dyDescent="0.3">
      <c r="B882" s="666"/>
      <c r="E882" s="666"/>
      <c r="F882" s="666"/>
    </row>
    <row r="883" spans="2:6" x14ac:dyDescent="0.3">
      <c r="B883" s="666"/>
      <c r="E883" s="666"/>
      <c r="F883" s="666"/>
    </row>
    <row r="884" spans="2:6" x14ac:dyDescent="0.3">
      <c r="B884" s="666"/>
      <c r="E884" s="666"/>
      <c r="F884" s="666"/>
    </row>
    <row r="885" spans="2:6" x14ac:dyDescent="0.3">
      <c r="B885" s="666"/>
      <c r="E885" s="666"/>
      <c r="F885" s="666"/>
    </row>
    <row r="886" spans="2:6" x14ac:dyDescent="0.3">
      <c r="B886" s="666"/>
      <c r="E886" s="666"/>
      <c r="F886" s="666"/>
    </row>
    <row r="887" spans="2:6" x14ac:dyDescent="0.3">
      <c r="B887" s="666"/>
      <c r="E887" s="666"/>
      <c r="F887" s="666"/>
    </row>
    <row r="888" spans="2:6" x14ac:dyDescent="0.3">
      <c r="B888" s="666"/>
      <c r="E888" s="666"/>
      <c r="F888" s="666"/>
    </row>
    <row r="889" spans="2:6" x14ac:dyDescent="0.3">
      <c r="B889" s="666"/>
      <c r="E889" s="666"/>
      <c r="F889" s="666"/>
    </row>
    <row r="890" spans="2:6" x14ac:dyDescent="0.3">
      <c r="B890" s="666"/>
      <c r="E890" s="666"/>
      <c r="F890" s="666"/>
    </row>
    <row r="891" spans="2:6" x14ac:dyDescent="0.3">
      <c r="B891" s="666"/>
      <c r="E891" s="666"/>
      <c r="F891" s="666"/>
    </row>
    <row r="892" spans="2:6" x14ac:dyDescent="0.3">
      <c r="B892" s="666"/>
      <c r="E892" s="666"/>
      <c r="F892" s="666"/>
    </row>
    <row r="893" spans="2:6" x14ac:dyDescent="0.3">
      <c r="B893" s="666"/>
      <c r="E893" s="666"/>
      <c r="F893" s="666"/>
    </row>
    <row r="894" spans="2:6" x14ac:dyDescent="0.3">
      <c r="B894" s="666"/>
      <c r="E894" s="666"/>
      <c r="F894" s="666"/>
    </row>
    <row r="895" spans="2:6" x14ac:dyDescent="0.3">
      <c r="B895" s="666"/>
      <c r="E895" s="666"/>
      <c r="F895" s="666"/>
    </row>
    <row r="896" spans="2:6" x14ac:dyDescent="0.3">
      <c r="B896" s="666"/>
      <c r="E896" s="666"/>
      <c r="F896" s="666"/>
    </row>
    <row r="897" spans="2:6" x14ac:dyDescent="0.3">
      <c r="B897" s="666"/>
      <c r="E897" s="666"/>
      <c r="F897" s="666"/>
    </row>
    <row r="898" spans="2:6" x14ac:dyDescent="0.3">
      <c r="B898" s="666"/>
      <c r="E898" s="666"/>
      <c r="F898" s="666"/>
    </row>
    <row r="899" spans="2:6" x14ac:dyDescent="0.3">
      <c r="B899" s="666"/>
      <c r="E899" s="666"/>
      <c r="F899" s="666"/>
    </row>
    <row r="900" spans="2:6" x14ac:dyDescent="0.3">
      <c r="B900" s="666"/>
      <c r="E900" s="666"/>
      <c r="F900" s="666"/>
    </row>
    <row r="901" spans="2:6" x14ac:dyDescent="0.3">
      <c r="B901" s="666"/>
      <c r="E901" s="666"/>
      <c r="F901" s="666"/>
    </row>
    <row r="902" spans="2:6" x14ac:dyDescent="0.3">
      <c r="B902" s="666"/>
      <c r="E902" s="666"/>
      <c r="F902" s="666"/>
    </row>
    <row r="903" spans="2:6" x14ac:dyDescent="0.3">
      <c r="B903" s="666"/>
      <c r="E903" s="666"/>
      <c r="F903" s="666"/>
    </row>
    <row r="904" spans="2:6" x14ac:dyDescent="0.3">
      <c r="B904" s="666"/>
      <c r="E904" s="666"/>
      <c r="F904" s="666"/>
    </row>
    <row r="905" spans="2:6" x14ac:dyDescent="0.3">
      <c r="B905" s="666"/>
      <c r="E905" s="666"/>
      <c r="F905" s="666"/>
    </row>
    <row r="906" spans="2:6" x14ac:dyDescent="0.3">
      <c r="B906" s="666"/>
      <c r="E906" s="666"/>
      <c r="F906" s="666"/>
    </row>
    <row r="907" spans="2:6" x14ac:dyDescent="0.3">
      <c r="B907" s="666"/>
      <c r="E907" s="666"/>
      <c r="F907" s="666"/>
    </row>
    <row r="908" spans="2:6" x14ac:dyDescent="0.3">
      <c r="B908" s="666"/>
      <c r="E908" s="666"/>
      <c r="F908" s="666"/>
    </row>
    <row r="909" spans="2:6" x14ac:dyDescent="0.3">
      <c r="B909" s="666"/>
      <c r="E909" s="666"/>
      <c r="F909" s="666"/>
    </row>
    <row r="910" spans="2:6" x14ac:dyDescent="0.3">
      <c r="B910" s="666"/>
      <c r="E910" s="666"/>
      <c r="F910" s="666"/>
    </row>
    <row r="911" spans="2:6" x14ac:dyDescent="0.3">
      <c r="B911" s="666"/>
      <c r="E911" s="666"/>
      <c r="F911" s="666"/>
    </row>
    <row r="912" spans="2:6" x14ac:dyDescent="0.3">
      <c r="B912" s="666"/>
      <c r="E912" s="666"/>
      <c r="F912" s="666"/>
    </row>
    <row r="913" spans="2:6" x14ac:dyDescent="0.3">
      <c r="B913" s="666"/>
      <c r="E913" s="666"/>
      <c r="F913" s="666"/>
    </row>
    <row r="914" spans="2:6" x14ac:dyDescent="0.3">
      <c r="B914" s="666"/>
      <c r="E914" s="666"/>
      <c r="F914" s="666"/>
    </row>
    <row r="915" spans="2:6" x14ac:dyDescent="0.3">
      <c r="B915" s="666"/>
      <c r="E915" s="666"/>
      <c r="F915" s="666"/>
    </row>
    <row r="916" spans="2:6" x14ac:dyDescent="0.3">
      <c r="B916" s="666"/>
      <c r="E916" s="666"/>
      <c r="F916" s="666"/>
    </row>
    <row r="917" spans="2:6" x14ac:dyDescent="0.3">
      <c r="B917" s="666"/>
      <c r="E917" s="666"/>
      <c r="F917" s="666"/>
    </row>
    <row r="918" spans="2:6" x14ac:dyDescent="0.3">
      <c r="B918" s="666"/>
      <c r="E918" s="666"/>
      <c r="F918" s="666"/>
    </row>
    <row r="919" spans="2:6" x14ac:dyDescent="0.3">
      <c r="B919" s="666"/>
      <c r="E919" s="666"/>
      <c r="F919" s="666"/>
    </row>
    <row r="920" spans="2:6" x14ac:dyDescent="0.3">
      <c r="B920" s="666"/>
      <c r="E920" s="666"/>
      <c r="F920" s="666"/>
    </row>
    <row r="921" spans="2:6" x14ac:dyDescent="0.3">
      <c r="B921" s="666"/>
      <c r="E921" s="666"/>
      <c r="F921" s="666"/>
    </row>
    <row r="922" spans="2:6" x14ac:dyDescent="0.3">
      <c r="B922" s="666"/>
      <c r="E922" s="666"/>
      <c r="F922" s="666"/>
    </row>
    <row r="923" spans="2:6" x14ac:dyDescent="0.3">
      <c r="B923" s="666"/>
      <c r="E923" s="666"/>
      <c r="F923" s="666"/>
    </row>
    <row r="924" spans="2:6" x14ac:dyDescent="0.3">
      <c r="B924" s="666"/>
      <c r="E924" s="666"/>
      <c r="F924" s="666"/>
    </row>
    <row r="925" spans="2:6" x14ac:dyDescent="0.3">
      <c r="B925" s="666"/>
      <c r="E925" s="666"/>
      <c r="F925" s="666"/>
    </row>
    <row r="926" spans="2:6" x14ac:dyDescent="0.3">
      <c r="B926" s="666"/>
      <c r="E926" s="666"/>
      <c r="F926" s="666"/>
    </row>
    <row r="927" spans="2:6" x14ac:dyDescent="0.3">
      <c r="B927" s="666"/>
      <c r="E927" s="666"/>
      <c r="F927" s="666"/>
    </row>
    <row r="928" spans="2:6" x14ac:dyDescent="0.3">
      <c r="B928" s="666"/>
      <c r="E928" s="666"/>
      <c r="F928" s="666"/>
    </row>
    <row r="929" spans="2:6" x14ac:dyDescent="0.3">
      <c r="B929" s="666"/>
      <c r="E929" s="666"/>
      <c r="F929" s="666"/>
    </row>
    <row r="930" spans="2:6" x14ac:dyDescent="0.3">
      <c r="B930" s="666"/>
      <c r="E930" s="666"/>
      <c r="F930" s="666"/>
    </row>
    <row r="931" spans="2:6" x14ac:dyDescent="0.3">
      <c r="B931" s="666"/>
      <c r="E931" s="666"/>
      <c r="F931" s="666"/>
    </row>
    <row r="932" spans="2:6" x14ac:dyDescent="0.3">
      <c r="B932" s="666"/>
      <c r="E932" s="666"/>
      <c r="F932" s="666"/>
    </row>
    <row r="933" spans="2:6" x14ac:dyDescent="0.3">
      <c r="B933" s="666"/>
      <c r="E933" s="666"/>
      <c r="F933" s="666"/>
    </row>
    <row r="934" spans="2:6" x14ac:dyDescent="0.3">
      <c r="B934" s="666"/>
      <c r="E934" s="666"/>
      <c r="F934" s="666"/>
    </row>
    <row r="935" spans="2:6" x14ac:dyDescent="0.3">
      <c r="B935" s="666"/>
      <c r="E935" s="666"/>
      <c r="F935" s="666"/>
    </row>
    <row r="936" spans="2:6" x14ac:dyDescent="0.3">
      <c r="B936" s="666"/>
      <c r="E936" s="666"/>
      <c r="F936" s="666"/>
    </row>
    <row r="937" spans="2:6" x14ac:dyDescent="0.3">
      <c r="B937" s="666"/>
      <c r="E937" s="666"/>
      <c r="F937" s="666"/>
    </row>
    <row r="938" spans="2:6" x14ac:dyDescent="0.3">
      <c r="B938" s="666"/>
      <c r="E938" s="666"/>
      <c r="F938" s="666"/>
    </row>
    <row r="939" spans="2:6" x14ac:dyDescent="0.3">
      <c r="B939" s="666"/>
      <c r="E939" s="666"/>
      <c r="F939" s="666"/>
    </row>
    <row r="940" spans="2:6" x14ac:dyDescent="0.3">
      <c r="B940" s="666"/>
      <c r="E940" s="666"/>
      <c r="F940" s="666"/>
    </row>
    <row r="941" spans="2:6" x14ac:dyDescent="0.3">
      <c r="B941" s="666"/>
      <c r="E941" s="666"/>
      <c r="F941" s="666"/>
    </row>
    <row r="942" spans="2:6" x14ac:dyDescent="0.3">
      <c r="B942" s="666"/>
      <c r="E942" s="666"/>
      <c r="F942" s="666"/>
    </row>
    <row r="943" spans="2:6" x14ac:dyDescent="0.3">
      <c r="B943" s="666"/>
      <c r="E943" s="666"/>
      <c r="F943" s="666"/>
    </row>
    <row r="944" spans="2:6" x14ac:dyDescent="0.3">
      <c r="B944" s="666"/>
      <c r="E944" s="666"/>
      <c r="F944" s="666"/>
    </row>
    <row r="945" spans="2:6" x14ac:dyDescent="0.3">
      <c r="B945" s="666"/>
      <c r="E945" s="666"/>
      <c r="F945" s="666"/>
    </row>
    <row r="946" spans="2:6" x14ac:dyDescent="0.3">
      <c r="B946" s="666"/>
      <c r="E946" s="666"/>
      <c r="F946" s="666"/>
    </row>
    <row r="947" spans="2:6" x14ac:dyDescent="0.3">
      <c r="B947" s="666"/>
      <c r="E947" s="666"/>
      <c r="F947" s="666"/>
    </row>
    <row r="948" spans="2:6" x14ac:dyDescent="0.3">
      <c r="B948" s="666"/>
      <c r="E948" s="666"/>
      <c r="F948" s="666"/>
    </row>
    <row r="949" spans="2:6" x14ac:dyDescent="0.3">
      <c r="B949" s="666"/>
      <c r="E949" s="666"/>
      <c r="F949" s="666"/>
    </row>
    <row r="950" spans="2:6" x14ac:dyDescent="0.3">
      <c r="B950" s="666"/>
      <c r="E950" s="666"/>
      <c r="F950" s="666"/>
    </row>
    <row r="951" spans="2:6" x14ac:dyDescent="0.3">
      <c r="B951" s="666"/>
      <c r="E951" s="666"/>
      <c r="F951" s="666"/>
    </row>
    <row r="952" spans="2:6" x14ac:dyDescent="0.3">
      <c r="B952" s="666"/>
      <c r="E952" s="666"/>
      <c r="F952" s="666"/>
    </row>
    <row r="953" spans="2:6" x14ac:dyDescent="0.3">
      <c r="B953" s="666"/>
      <c r="E953" s="666"/>
      <c r="F953" s="666"/>
    </row>
    <row r="954" spans="2:6" x14ac:dyDescent="0.3">
      <c r="B954" s="666"/>
      <c r="E954" s="666"/>
      <c r="F954" s="666"/>
    </row>
    <row r="955" spans="2:6" x14ac:dyDescent="0.3">
      <c r="B955" s="666"/>
      <c r="E955" s="666"/>
      <c r="F955" s="666"/>
    </row>
    <row r="956" spans="2:6" x14ac:dyDescent="0.3">
      <c r="B956" s="666"/>
      <c r="E956" s="666"/>
      <c r="F956" s="666"/>
    </row>
    <row r="957" spans="2:6" x14ac:dyDescent="0.3">
      <c r="B957" s="666"/>
      <c r="E957" s="666"/>
      <c r="F957" s="666"/>
    </row>
    <row r="958" spans="2:6" x14ac:dyDescent="0.3">
      <c r="B958" s="666"/>
      <c r="E958" s="666"/>
      <c r="F958" s="666"/>
    </row>
    <row r="959" spans="2:6" x14ac:dyDescent="0.3">
      <c r="B959" s="666"/>
      <c r="E959" s="666"/>
      <c r="F959" s="666"/>
    </row>
    <row r="960" spans="2:6" x14ac:dyDescent="0.3">
      <c r="B960" s="666"/>
      <c r="E960" s="666"/>
      <c r="F960" s="666"/>
    </row>
    <row r="961" spans="2:6" x14ac:dyDescent="0.3">
      <c r="B961" s="666"/>
      <c r="E961" s="666"/>
      <c r="F961" s="666"/>
    </row>
    <row r="962" spans="2:6" x14ac:dyDescent="0.3">
      <c r="B962" s="666"/>
      <c r="E962" s="666"/>
      <c r="F962" s="666"/>
    </row>
  </sheetData>
  <mergeCells count="10">
    <mergeCell ref="B93:H93"/>
    <mergeCell ref="B94:H94"/>
    <mergeCell ref="B2:H3"/>
    <mergeCell ref="R25:S25"/>
    <mergeCell ref="B62:H62"/>
    <mergeCell ref="B63:H63"/>
    <mergeCell ref="B73:H73"/>
    <mergeCell ref="B74:H74"/>
    <mergeCell ref="B84:H84"/>
    <mergeCell ref="B85:H85"/>
  </mergeCells>
  <printOptions horizontalCentered="1"/>
  <pageMargins left="0.5" right="0.5" top="1" bottom="0.5" header="0.3" footer="0.3"/>
  <pageSetup paperSize="9" scale="20"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78">
    <tabColor rgb="FFFFFF00"/>
    <pageSetUpPr fitToPage="1"/>
  </sheetPr>
  <dimension ref="A1:AD117"/>
  <sheetViews>
    <sheetView zoomScale="55" zoomScaleNormal="55" workbookViewId="0">
      <selection activeCell="I43" sqref="I43"/>
    </sheetView>
  </sheetViews>
  <sheetFormatPr defaultColWidth="12.5" defaultRowHeight="12.5" x14ac:dyDescent="0.25"/>
  <cols>
    <col min="1" max="1" width="12.5" style="14" customWidth="1"/>
    <col min="2" max="2" width="31.4140625" style="14" customWidth="1"/>
    <col min="3" max="3" width="23.91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7" width="3.6640625" style="14" customWidth="1"/>
    <col min="18" max="18" width="22.9140625" style="14" customWidth="1"/>
    <col min="19" max="19" width="16.25" style="14" bestFit="1" customWidth="1"/>
    <col min="20" max="24" width="4.58203125" style="14" customWidth="1"/>
    <col min="25" max="16384" width="12.5" style="14"/>
  </cols>
  <sheetData>
    <row r="1" spans="1:30" ht="28.5" customHeight="1" x14ac:dyDescent="0.25">
      <c r="B1" s="80" t="s">
        <v>243</v>
      </c>
      <c r="C1" s="81">
        <v>1000</v>
      </c>
      <c r="D1" s="82" t="s">
        <v>244</v>
      </c>
      <c r="E1" s="117">
        <f>S30</f>
        <v>17250</v>
      </c>
      <c r="F1" s="80" t="s">
        <v>245</v>
      </c>
      <c r="G1" s="117">
        <f>E1/C1</f>
        <v>17.25</v>
      </c>
      <c r="H1" s="80" t="s">
        <v>246</v>
      </c>
      <c r="I1" s="117">
        <f>G1/K1</f>
        <v>17.25</v>
      </c>
      <c r="J1" s="326" t="s">
        <v>247</v>
      </c>
      <c r="K1" s="327">
        <v>1</v>
      </c>
      <c r="L1" s="100"/>
      <c r="M1" s="100" t="s">
        <v>415</v>
      </c>
      <c r="N1" s="100"/>
      <c r="O1" s="100"/>
      <c r="Y1" s="91" t="s">
        <v>479</v>
      </c>
      <c r="Z1" s="847">
        <v>17250</v>
      </c>
      <c r="AA1" s="91" t="s">
        <v>600</v>
      </c>
      <c r="AB1" s="847">
        <v>0</v>
      </c>
      <c r="AC1" s="91" t="s">
        <v>587</v>
      </c>
      <c r="AD1" s="847">
        <v>115</v>
      </c>
    </row>
    <row r="2" spans="1:30" ht="12.75" customHeight="1" x14ac:dyDescent="0.25">
      <c r="A2" s="936"/>
      <c r="B2" s="1408" t="s">
        <v>416</v>
      </c>
      <c r="C2" s="1429"/>
      <c r="D2" s="1429"/>
      <c r="E2" s="1429"/>
      <c r="F2" s="1429"/>
      <c r="G2" s="1429"/>
      <c r="H2" s="1429"/>
      <c r="I2" s="100"/>
      <c r="J2" s="100"/>
      <c r="K2" s="100"/>
      <c r="L2" s="100"/>
      <c r="M2" s="100"/>
      <c r="N2" s="100"/>
      <c r="O2" s="100"/>
    </row>
    <row r="3" spans="1:30" ht="12.75" customHeight="1" x14ac:dyDescent="0.25">
      <c r="A3" s="936"/>
      <c r="B3" s="1388"/>
      <c r="C3" s="1388"/>
      <c r="D3" s="1388"/>
      <c r="E3" s="1388"/>
      <c r="F3" s="1388"/>
      <c r="G3" s="1388"/>
      <c r="H3" s="1388"/>
      <c r="I3" s="100"/>
      <c r="J3" s="100"/>
      <c r="K3" s="100"/>
      <c r="L3" s="100"/>
      <c r="M3" s="100"/>
      <c r="N3" s="100"/>
      <c r="O3" s="100"/>
    </row>
    <row r="4" spans="1:30" ht="68.75" customHeight="1" x14ac:dyDescent="0.25">
      <c r="A4" s="91" t="s">
        <v>1</v>
      </c>
      <c r="B4" s="416" t="s">
        <v>253</v>
      </c>
      <c r="C4" s="107" t="s">
        <v>254</v>
      </c>
      <c r="D4" s="91" t="s">
        <v>243</v>
      </c>
      <c r="E4" s="218" t="s">
        <v>246</v>
      </c>
      <c r="F4" s="108" t="s">
        <v>255</v>
      </c>
      <c r="G4" s="91" t="s">
        <v>256</v>
      </c>
      <c r="H4" s="107" t="s">
        <v>347</v>
      </c>
      <c r="I4" s="91" t="s">
        <v>258</v>
      </c>
      <c r="J4" s="91" t="s">
        <v>259</v>
      </c>
      <c r="K4" s="91" t="s">
        <v>260</v>
      </c>
      <c r="L4" s="91" t="s">
        <v>261</v>
      </c>
      <c r="M4" s="100"/>
      <c r="N4" s="100"/>
      <c r="O4" s="100"/>
    </row>
    <row r="5" spans="1:30" ht="14.25" customHeight="1" x14ac:dyDescent="0.25">
      <c r="A5" s="219"/>
      <c r="B5" s="654"/>
      <c r="C5" s="655"/>
      <c r="D5" s="219"/>
      <c r="E5" s="656"/>
      <c r="F5" s="219"/>
      <c r="G5" s="219"/>
      <c r="H5" s="655"/>
      <c r="I5" s="81"/>
      <c r="J5" s="119"/>
      <c r="K5" s="122"/>
      <c r="L5" s="122"/>
    </row>
    <row r="6" spans="1:30" ht="14.25" customHeight="1" x14ac:dyDescent="0.25">
      <c r="A6" s="295" t="s">
        <v>13</v>
      </c>
      <c r="B6" s="22" t="s">
        <v>19</v>
      </c>
      <c r="C6" s="124" t="s">
        <v>14</v>
      </c>
      <c r="D6" s="1142">
        <v>450</v>
      </c>
      <c r="E6" s="116">
        <f t="shared" ref="E6:E14" si="0">$I$1</f>
        <v>17.25</v>
      </c>
      <c r="F6" s="127">
        <v>1</v>
      </c>
      <c r="G6" s="119">
        <f t="shared" ref="G6:G14" si="1">D6*E6</f>
        <v>7762.5</v>
      </c>
      <c r="H6" s="120">
        <f t="shared" ref="H6:H14" si="2">G6*F6</f>
        <v>7762.5</v>
      </c>
      <c r="I6" s="81">
        <f>VLOOKUP(B6,All_Ingredients!$A$1:$F$151,6,FALSE())</f>
        <v>0.84</v>
      </c>
      <c r="J6" s="119">
        <f>VLOOKUP(B6,All_Ingredients!$A$1:$J$151,10,FALSE())</f>
        <v>2.6</v>
      </c>
      <c r="K6" s="122">
        <f t="shared" ref="K6:K14" si="3">(H6/I6)/1000</f>
        <v>9.2410714285714288</v>
      </c>
      <c r="L6" s="122">
        <f t="shared" ref="L6:L14" si="4">K6*J6</f>
        <v>24.026785714285715</v>
      </c>
    </row>
    <row r="7" spans="1:30" ht="14.25" customHeight="1" x14ac:dyDescent="0.25">
      <c r="A7" s="295" t="s">
        <v>13</v>
      </c>
      <c r="B7" s="22" t="s">
        <v>47</v>
      </c>
      <c r="C7" s="124" t="s">
        <v>14</v>
      </c>
      <c r="D7" s="1142">
        <v>450</v>
      </c>
      <c r="E7" s="116">
        <f t="shared" si="0"/>
        <v>17.25</v>
      </c>
      <c r="F7" s="127">
        <v>1</v>
      </c>
      <c r="G7" s="119">
        <f t="shared" si="1"/>
        <v>7762.5</v>
      </c>
      <c r="H7" s="120">
        <f t="shared" si="2"/>
        <v>7762.5</v>
      </c>
      <c r="I7" s="81">
        <f>VLOOKUP(B7,All_Ingredients!$A$1:$F$151,6,FALSE())</f>
        <v>0.78</v>
      </c>
      <c r="J7" s="119">
        <f>VLOOKUP(B7,All_Ingredients!$A$1:$J$151,10,FALSE())</f>
        <v>3.7</v>
      </c>
      <c r="K7" s="122">
        <f t="shared" si="3"/>
        <v>9.9519230769230766</v>
      </c>
      <c r="L7" s="122">
        <f t="shared" si="4"/>
        <v>36.822115384615387</v>
      </c>
    </row>
    <row r="8" spans="1:30" ht="14.25" customHeight="1" x14ac:dyDescent="0.25">
      <c r="A8" s="295" t="s">
        <v>13</v>
      </c>
      <c r="B8" s="22" t="s">
        <v>28</v>
      </c>
      <c r="C8" s="124" t="s">
        <v>14</v>
      </c>
      <c r="D8" s="1142">
        <v>80</v>
      </c>
      <c r="E8" s="116">
        <f t="shared" si="0"/>
        <v>17.25</v>
      </c>
      <c r="F8" s="127">
        <v>1</v>
      </c>
      <c r="G8" s="119">
        <f t="shared" si="1"/>
        <v>1380</v>
      </c>
      <c r="H8" s="120">
        <f t="shared" si="2"/>
        <v>1380</v>
      </c>
      <c r="I8" s="81">
        <f>VLOOKUP(B8,All_Ingredients!$A$1:$F$151,6,FALSE())</f>
        <v>0.56999999999999995</v>
      </c>
      <c r="J8" s="119">
        <f>VLOOKUP(B8,All_Ingredients!$A$1:$J$151,10,FALSE())</f>
        <v>8.5</v>
      </c>
      <c r="K8" s="122">
        <f t="shared" si="3"/>
        <v>2.4210526315789473</v>
      </c>
      <c r="L8" s="122">
        <f t="shared" si="4"/>
        <v>20.578947368421051</v>
      </c>
    </row>
    <row r="9" spans="1:30" ht="14.25" customHeight="1" x14ac:dyDescent="0.25">
      <c r="A9" s="295" t="s">
        <v>13</v>
      </c>
      <c r="B9" s="22" t="s">
        <v>30</v>
      </c>
      <c r="C9" s="124" t="s">
        <v>14</v>
      </c>
      <c r="D9" s="1142">
        <v>80</v>
      </c>
      <c r="E9" s="116">
        <f t="shared" si="0"/>
        <v>17.25</v>
      </c>
      <c r="F9" s="127">
        <v>1</v>
      </c>
      <c r="G9" s="119">
        <f t="shared" si="1"/>
        <v>1380</v>
      </c>
      <c r="H9" s="120">
        <f t="shared" si="2"/>
        <v>1380</v>
      </c>
      <c r="I9" s="81">
        <f>VLOOKUP(B9,All_Ingredients!$A$1:$F$151,6,FALSE())</f>
        <v>0.56999999999999995</v>
      </c>
      <c r="J9" s="119">
        <f>VLOOKUP(B9,All_Ingredients!$A$1:$J$151,10,FALSE())</f>
        <v>8.5</v>
      </c>
      <c r="K9" s="122">
        <f t="shared" si="3"/>
        <v>2.4210526315789473</v>
      </c>
      <c r="L9" s="122">
        <f t="shared" si="4"/>
        <v>20.578947368421051</v>
      </c>
    </row>
    <row r="10" spans="1:30" ht="14.25" customHeight="1" x14ac:dyDescent="0.25">
      <c r="A10" s="295" t="s">
        <v>13</v>
      </c>
      <c r="B10" s="22" t="s">
        <v>32</v>
      </c>
      <c r="C10" s="124" t="s">
        <v>14</v>
      </c>
      <c r="D10" s="1142">
        <v>80</v>
      </c>
      <c r="E10" s="116">
        <f t="shared" si="0"/>
        <v>17.25</v>
      </c>
      <c r="F10" s="127">
        <v>1</v>
      </c>
      <c r="G10" s="119">
        <f t="shared" si="1"/>
        <v>1380</v>
      </c>
      <c r="H10" s="120">
        <f t="shared" si="2"/>
        <v>1380</v>
      </c>
      <c r="I10" s="81">
        <f>VLOOKUP(B10,All_Ingredients!$A$1:$F$151,6,FALSE())</f>
        <v>0.96</v>
      </c>
      <c r="J10" s="119">
        <f>VLOOKUP(B10,All_Ingredients!$A$1:$J$151,10,FALSE())</f>
        <v>4</v>
      </c>
      <c r="K10" s="122">
        <f t="shared" si="3"/>
        <v>1.4375</v>
      </c>
      <c r="L10" s="122">
        <f t="shared" si="4"/>
        <v>5.75</v>
      </c>
    </row>
    <row r="11" spans="1:30" ht="14.25" customHeight="1" x14ac:dyDescent="0.25">
      <c r="A11" s="295" t="s">
        <v>13</v>
      </c>
      <c r="B11" s="22" t="s">
        <v>51</v>
      </c>
      <c r="C11" s="124" t="s">
        <v>14</v>
      </c>
      <c r="D11" s="1142">
        <v>80</v>
      </c>
      <c r="E11" s="116">
        <f t="shared" si="0"/>
        <v>17.25</v>
      </c>
      <c r="F11" s="127">
        <v>1</v>
      </c>
      <c r="G11" s="119">
        <f t="shared" si="1"/>
        <v>1380</v>
      </c>
      <c r="H11" s="120">
        <f t="shared" si="2"/>
        <v>1380</v>
      </c>
      <c r="I11" s="81">
        <f>VLOOKUP(B11,All_Ingredients!$A$1:$F$151,6,FALSE())</f>
        <v>0.75</v>
      </c>
      <c r="J11" s="119">
        <f>VLOOKUP(B11,All_Ingredients!$A$1:$J$151,10,FALSE())</f>
        <v>20</v>
      </c>
      <c r="K11" s="122">
        <f t="shared" si="3"/>
        <v>1.84</v>
      </c>
      <c r="L11" s="122">
        <f t="shared" si="4"/>
        <v>36.800000000000004</v>
      </c>
    </row>
    <row r="12" spans="1:30" ht="14.25" customHeight="1" x14ac:dyDescent="0.25">
      <c r="A12" s="295" t="s">
        <v>225</v>
      </c>
      <c r="B12" s="22" t="s">
        <v>563</v>
      </c>
      <c r="C12" s="124" t="s">
        <v>14</v>
      </c>
      <c r="D12" s="1142">
        <v>80</v>
      </c>
      <c r="E12" s="116">
        <f t="shared" si="0"/>
        <v>17.25</v>
      </c>
      <c r="F12" s="127">
        <v>1</v>
      </c>
      <c r="G12" s="119">
        <f t="shared" si="1"/>
        <v>1380</v>
      </c>
      <c r="H12" s="120">
        <f t="shared" si="2"/>
        <v>1380</v>
      </c>
      <c r="I12" s="81">
        <f>VLOOKUP(B12,All_Ingredients!$A$1:$F$151,6,FALSE())</f>
        <v>1</v>
      </c>
      <c r="J12" s="119">
        <f>VLOOKUP(B12,All_Ingredients!$A$1:$J$151,10,FALSE())</f>
        <v>10.196078431372548</v>
      </c>
      <c r="K12" s="122">
        <f t="shared" si="3"/>
        <v>1.38</v>
      </c>
      <c r="L12" s="122">
        <f t="shared" si="4"/>
        <v>14.070588235294116</v>
      </c>
    </row>
    <row r="13" spans="1:30" ht="14.25" customHeight="1" x14ac:dyDescent="0.25">
      <c r="A13" s="295" t="s">
        <v>97</v>
      </c>
      <c r="B13" s="22" t="s">
        <v>96</v>
      </c>
      <c r="C13" s="124" t="s">
        <v>14</v>
      </c>
      <c r="D13" s="116">
        <v>4</v>
      </c>
      <c r="E13" s="116">
        <f t="shared" si="0"/>
        <v>17.25</v>
      </c>
      <c r="F13" s="127">
        <v>0.75</v>
      </c>
      <c r="G13" s="119">
        <f t="shared" si="1"/>
        <v>69</v>
      </c>
      <c r="H13" s="120">
        <f t="shared" si="2"/>
        <v>51.75</v>
      </c>
      <c r="I13" s="81">
        <f>VLOOKUP(B13,All_Ingredients!$A$1:$F$151,6,FALSE())</f>
        <v>1</v>
      </c>
      <c r="J13" s="119">
        <f>VLOOKUP(B13,All_Ingredients!$A$1:$J$151,10,FALSE())</f>
        <v>0.74</v>
      </c>
      <c r="K13" s="122">
        <f t="shared" si="3"/>
        <v>5.1749999999999997E-2</v>
      </c>
      <c r="L13" s="122">
        <f t="shared" si="4"/>
        <v>3.8294999999999996E-2</v>
      </c>
    </row>
    <row r="14" spans="1:30" ht="14.25" customHeight="1" x14ac:dyDescent="0.25">
      <c r="A14" s="295" t="s">
        <v>97</v>
      </c>
      <c r="B14" s="22" t="s">
        <v>102</v>
      </c>
      <c r="C14" s="124" t="s">
        <v>14</v>
      </c>
      <c r="D14" s="197">
        <v>0.5</v>
      </c>
      <c r="E14" s="116">
        <f t="shared" si="0"/>
        <v>17.25</v>
      </c>
      <c r="F14" s="127">
        <v>1</v>
      </c>
      <c r="G14" s="119">
        <f t="shared" si="1"/>
        <v>8.625</v>
      </c>
      <c r="H14" s="120">
        <f t="shared" si="2"/>
        <v>8.625</v>
      </c>
      <c r="I14" s="81">
        <f>VLOOKUP(B14,All_Ingredients!$A$1:$F$151,6,FALSE())</f>
        <v>1</v>
      </c>
      <c r="J14" s="119">
        <f>VLOOKUP(B14,All_Ingredients!$A$1:$J$151,10,FALSE())</f>
        <v>31</v>
      </c>
      <c r="K14" s="122">
        <f t="shared" si="3"/>
        <v>8.6250000000000007E-3</v>
      </c>
      <c r="L14" s="122">
        <f t="shared" si="4"/>
        <v>0.26737500000000003</v>
      </c>
    </row>
    <row r="15" spans="1:30" ht="14.25" customHeight="1" x14ac:dyDescent="0.25">
      <c r="B15" s="356"/>
      <c r="C15" s="357"/>
      <c r="D15" s="359"/>
      <c r="E15" s="359"/>
      <c r="F15" s="360"/>
      <c r="G15" s="361"/>
      <c r="H15" s="362"/>
    </row>
    <row r="16" spans="1:30" ht="14.25" customHeight="1" x14ac:dyDescent="0.25">
      <c r="E16" s="225"/>
      <c r="F16" s="136"/>
      <c r="G16" s="140"/>
      <c r="H16" s="138"/>
    </row>
    <row r="17" spans="2:29" ht="14.25" customHeight="1" x14ac:dyDescent="0.25">
      <c r="E17" s="100"/>
      <c r="F17" s="100"/>
    </row>
    <row r="18" spans="2:29" ht="14.25" customHeight="1" x14ac:dyDescent="0.25">
      <c r="E18" s="100"/>
      <c r="F18" s="100"/>
    </row>
    <row r="19" spans="2:29" ht="14.25" customHeight="1" x14ac:dyDescent="0.25">
      <c r="E19" s="100"/>
      <c r="F19" s="100"/>
    </row>
    <row r="20" spans="2:29" ht="14.25" customHeight="1" x14ac:dyDescent="0.25">
      <c r="E20" s="100"/>
      <c r="F20" s="100"/>
    </row>
    <row r="21" spans="2:29" ht="14.25" customHeight="1" x14ac:dyDescent="0.25">
      <c r="E21" s="100"/>
      <c r="F21" s="100"/>
    </row>
    <row r="22" spans="2:29" ht="14.25" customHeight="1" x14ac:dyDescent="0.3">
      <c r="B22" s="11"/>
      <c r="C22" s="336"/>
      <c r="D22" s="337"/>
      <c r="E22" s="100"/>
      <c r="F22" s="100"/>
    </row>
    <row r="23" spans="2:29" ht="14.25" customHeight="1" x14ac:dyDescent="0.3">
      <c r="B23" s="11"/>
      <c r="C23" s="336"/>
      <c r="D23" s="337"/>
      <c r="E23" s="100"/>
      <c r="F23" s="100"/>
    </row>
    <row r="24" spans="2:29" ht="14.25" customHeight="1" x14ac:dyDescent="0.3">
      <c r="B24" s="11"/>
      <c r="C24" s="336"/>
      <c r="D24" s="337"/>
      <c r="E24" s="100"/>
      <c r="F24" s="100"/>
      <c r="Z24" s="1234"/>
    </row>
    <row r="25" spans="2:29" ht="14.25" customHeight="1" x14ac:dyDescent="0.3">
      <c r="B25" s="11"/>
      <c r="C25" s="336"/>
      <c r="D25" s="337"/>
      <c r="E25" s="100"/>
      <c r="F25" s="100"/>
      <c r="R25" s="1493" t="s">
        <v>417</v>
      </c>
      <c r="S25" s="1438"/>
      <c r="Z25" s="141" t="s">
        <v>14</v>
      </c>
      <c r="AA25" s="142">
        <v>17250</v>
      </c>
      <c r="AB25" s="141" t="s">
        <v>261</v>
      </c>
      <c r="AC25" s="143">
        <f>(S31/S30)*AA25</f>
        <v>158.9330540710373</v>
      </c>
    </row>
    <row r="26" spans="2:29" ht="14.25" customHeight="1" x14ac:dyDescent="0.3">
      <c r="B26" s="11"/>
      <c r="C26" s="336"/>
      <c r="D26" s="337"/>
      <c r="E26" s="100"/>
      <c r="F26" s="100"/>
      <c r="R26" s="1493" t="s">
        <v>350</v>
      </c>
      <c r="S26" s="1438"/>
    </row>
    <row r="27" spans="2:29" ht="14.25" customHeight="1" x14ac:dyDescent="0.3">
      <c r="B27" s="11"/>
      <c r="C27" s="336"/>
      <c r="D27" s="337"/>
      <c r="E27" s="100"/>
      <c r="F27" s="100"/>
      <c r="R27" s="145" t="s">
        <v>266</v>
      </c>
      <c r="S27" s="145" t="s">
        <v>351</v>
      </c>
    </row>
    <row r="28" spans="2:29" ht="14.25" customHeight="1" x14ac:dyDescent="0.3">
      <c r="B28" s="11"/>
      <c r="C28" s="336"/>
      <c r="D28" s="337"/>
      <c r="E28" s="100"/>
      <c r="F28" s="100"/>
      <c r="R28" s="145" t="s">
        <v>275</v>
      </c>
      <c r="S28" s="790">
        <f>Z1</f>
        <v>17250</v>
      </c>
    </row>
    <row r="29" spans="2:29" ht="14.25" customHeight="1" x14ac:dyDescent="0.3">
      <c r="B29" s="11"/>
      <c r="C29" s="336"/>
      <c r="D29" s="337"/>
      <c r="E29" s="100"/>
      <c r="F29" s="100"/>
      <c r="R29" s="145" t="s">
        <v>277</v>
      </c>
      <c r="S29" s="790">
        <f>AB1</f>
        <v>0</v>
      </c>
    </row>
    <row r="30" spans="2:29" ht="14.25" customHeight="1" thickBot="1" x14ac:dyDescent="0.35">
      <c r="E30" s="100"/>
      <c r="F30" s="100"/>
      <c r="R30" s="145" t="s">
        <v>269</v>
      </c>
      <c r="S30" s="339">
        <f>SUM(S28:S29)</f>
        <v>17250</v>
      </c>
    </row>
    <row r="31" spans="2:29" ht="14.25" customHeight="1" thickBot="1" x14ac:dyDescent="0.35">
      <c r="B31" s="100"/>
      <c r="E31" s="100"/>
      <c r="F31" s="100"/>
      <c r="R31" s="163" t="s">
        <v>261</v>
      </c>
      <c r="S31" s="1203">
        <f>SUM(L6:L14)</f>
        <v>158.9330540710373</v>
      </c>
    </row>
    <row r="32" spans="2:29" ht="14.25" customHeight="1" x14ac:dyDescent="0.25">
      <c r="B32" s="100"/>
      <c r="E32" s="100"/>
      <c r="F32" s="100"/>
    </row>
    <row r="40" spans="18:18" x14ac:dyDescent="0.25">
      <c r="R40" s="14" t="s">
        <v>582</v>
      </c>
    </row>
    <row r="43" spans="18:18" ht="14" customHeight="1" x14ac:dyDescent="0.25"/>
    <row r="44" spans="18:18" ht="14" customHeight="1" x14ac:dyDescent="0.25"/>
    <row r="47" spans="18:18" ht="19.5" customHeight="1" x14ac:dyDescent="0.25"/>
    <row r="49" spans="1:8" ht="12" customHeight="1" x14ac:dyDescent="0.25"/>
    <row r="50" spans="1:8" ht="14" x14ac:dyDescent="0.3">
      <c r="B50" s="226"/>
      <c r="C50" s="226" t="s">
        <v>245</v>
      </c>
      <c r="D50" s="226" t="s">
        <v>291</v>
      </c>
    </row>
    <row r="51" spans="1:8" ht="19.25" customHeight="1" x14ac:dyDescent="0.3">
      <c r="B51" s="180" t="s">
        <v>295</v>
      </c>
      <c r="C51" s="181">
        <f>10/$K$1</f>
        <v>10</v>
      </c>
      <c r="D51" s="182">
        <f>$C$1*10</f>
        <v>10000</v>
      </c>
    </row>
    <row r="52" spans="1:8" ht="14" x14ac:dyDescent="0.3">
      <c r="B52" s="231" t="s">
        <v>269</v>
      </c>
      <c r="C52" s="233">
        <f>G1</f>
        <v>17.25</v>
      </c>
      <c r="D52" s="233">
        <f>E1</f>
        <v>17250</v>
      </c>
    </row>
    <row r="53" spans="1:8" ht="14" x14ac:dyDescent="0.3">
      <c r="B53" s="231" t="s">
        <v>296</v>
      </c>
      <c r="C53" s="234">
        <f>MIN($C$52, C51)</f>
        <v>10</v>
      </c>
      <c r="D53" s="924">
        <f>(C53*$K$1)*$C$1</f>
        <v>10000</v>
      </c>
    </row>
    <row r="54" spans="1:8" ht="14" x14ac:dyDescent="0.3">
      <c r="B54" s="231" t="s">
        <v>297</v>
      </c>
      <c r="C54" s="234">
        <f>MIN(MAX($C$52-C53,0),C51)</f>
        <v>7.25</v>
      </c>
      <c r="D54" s="924">
        <f>(C54*$K$1)*$C$1</f>
        <v>7250</v>
      </c>
    </row>
    <row r="55" spans="1:8" ht="14" x14ac:dyDescent="0.3">
      <c r="B55" s="231" t="s">
        <v>298</v>
      </c>
      <c r="C55" s="234">
        <f>MIN(MAX($C$52-C53-C54,0),10)</f>
        <v>0</v>
      </c>
      <c r="D55" s="233">
        <f>(C55*$K$1)*$C$1</f>
        <v>0</v>
      </c>
    </row>
    <row r="62" spans="1:8" ht="17.75" customHeight="1" x14ac:dyDescent="0.25"/>
    <row r="63" spans="1:8" ht="17.75" customHeight="1" x14ac:dyDescent="0.3">
      <c r="A63" s="943"/>
      <c r="B63" s="1382" t="s">
        <v>861</v>
      </c>
      <c r="C63" s="1383"/>
      <c r="D63" s="1383"/>
      <c r="E63" s="1383"/>
      <c r="F63" s="1383"/>
      <c r="G63" s="1383"/>
      <c r="H63" s="1383"/>
    </row>
    <row r="64" spans="1:8" ht="14" x14ac:dyDescent="0.3">
      <c r="A64" s="943"/>
      <c r="B64" s="1384" t="s">
        <v>416</v>
      </c>
      <c r="C64" s="1385"/>
      <c r="D64" s="1385"/>
      <c r="E64" s="1385"/>
      <c r="F64" s="1385"/>
      <c r="G64" s="1385"/>
      <c r="H64" s="1385"/>
    </row>
    <row r="65" spans="1:8" ht="45" customHeight="1" x14ac:dyDescent="0.25">
      <c r="A65" s="91"/>
      <c r="B65" s="245" t="s">
        <v>253</v>
      </c>
      <c r="C65" s="244" t="s">
        <v>254</v>
      </c>
      <c r="D65" s="245" t="s">
        <v>243</v>
      </c>
      <c r="E65" s="218" t="s">
        <v>246</v>
      </c>
      <c r="F65" s="218" t="s">
        <v>255</v>
      </c>
      <c r="G65" s="245" t="s">
        <v>256</v>
      </c>
      <c r="H65" s="218" t="s">
        <v>257</v>
      </c>
    </row>
    <row r="66" spans="1:8" ht="14.25" customHeight="1" x14ac:dyDescent="0.25">
      <c r="A66" s="295" t="s">
        <v>13</v>
      </c>
      <c r="B66" s="22" t="str">
        <f t="shared" ref="B66:D74" si="5">B6</f>
        <v>Carrot - جزر</v>
      </c>
      <c r="C66" s="124" t="str">
        <f t="shared" si="5"/>
        <v>gm</v>
      </c>
      <c r="D66" s="116">
        <f t="shared" si="5"/>
        <v>450</v>
      </c>
      <c r="E66" s="116">
        <f>$C$52</f>
        <v>17.25</v>
      </c>
      <c r="F66" s="127">
        <f t="shared" ref="F66:F74" si="6">F6</f>
        <v>1</v>
      </c>
      <c r="G66" s="119">
        <f t="shared" ref="G66:G74" si="7">D66*E66</f>
        <v>7762.5</v>
      </c>
      <c r="H66" s="120">
        <f t="shared" ref="H66:H74" si="8">G66*F66</f>
        <v>7762.5</v>
      </c>
    </row>
    <row r="67" spans="1:8" ht="14.25" customHeight="1" x14ac:dyDescent="0.25">
      <c r="A67" s="295" t="s">
        <v>13</v>
      </c>
      <c r="B67" s="22" t="str">
        <f t="shared" si="5"/>
        <v>Zucchini - كوسة</v>
      </c>
      <c r="C67" s="124" t="str">
        <f t="shared" si="5"/>
        <v>gm</v>
      </c>
      <c r="D67" s="116">
        <f t="shared" si="5"/>
        <v>450</v>
      </c>
      <c r="E67" s="116">
        <f t="shared" ref="E67:E74" si="9">$C$52</f>
        <v>17.25</v>
      </c>
      <c r="F67" s="127">
        <f t="shared" si="6"/>
        <v>1</v>
      </c>
      <c r="G67" s="119">
        <f t="shared" si="7"/>
        <v>7762.5</v>
      </c>
      <c r="H67" s="120">
        <f t="shared" si="8"/>
        <v>7762.5</v>
      </c>
    </row>
    <row r="68" spans="1:8" ht="14.25" customHeight="1" x14ac:dyDescent="0.25">
      <c r="A68" s="295" t="s">
        <v>13</v>
      </c>
      <c r="B68" s="22" t="str">
        <f t="shared" si="5"/>
        <v xml:space="preserve">Red Bell Pepper - فلفل أحمر </v>
      </c>
      <c r="C68" s="124" t="str">
        <f t="shared" si="5"/>
        <v>gm</v>
      </c>
      <c r="D68" s="116">
        <f t="shared" si="5"/>
        <v>80</v>
      </c>
      <c r="E68" s="116">
        <f t="shared" si="9"/>
        <v>17.25</v>
      </c>
      <c r="F68" s="127">
        <f t="shared" si="6"/>
        <v>1</v>
      </c>
      <c r="G68" s="119">
        <f t="shared" si="7"/>
        <v>1380</v>
      </c>
      <c r="H68" s="120">
        <f t="shared" si="8"/>
        <v>1380</v>
      </c>
    </row>
    <row r="69" spans="1:8" ht="14.25" customHeight="1" x14ac:dyDescent="0.25">
      <c r="A69" s="295" t="s">
        <v>13</v>
      </c>
      <c r="B69" s="22" t="str">
        <f t="shared" si="5"/>
        <v xml:space="preserve">Yellow Bell Pepper - فلفل أصفر </v>
      </c>
      <c r="C69" s="124" t="str">
        <f t="shared" si="5"/>
        <v>gm</v>
      </c>
      <c r="D69" s="116">
        <f t="shared" si="5"/>
        <v>80</v>
      </c>
      <c r="E69" s="116">
        <f t="shared" si="9"/>
        <v>17.25</v>
      </c>
      <c r="F69" s="127">
        <f t="shared" si="6"/>
        <v>1</v>
      </c>
      <c r="G69" s="119">
        <f t="shared" si="7"/>
        <v>1380</v>
      </c>
      <c r="H69" s="120">
        <f t="shared" si="8"/>
        <v>1380</v>
      </c>
    </row>
    <row r="70" spans="1:8" ht="14.25" customHeight="1" x14ac:dyDescent="0.25">
      <c r="A70" s="295" t="s">
        <v>13</v>
      </c>
      <c r="B70" s="22" t="str">
        <f t="shared" si="5"/>
        <v>Green Bell Pepper - فلفل أخضر رومى</v>
      </c>
      <c r="C70" s="124" t="str">
        <f t="shared" si="5"/>
        <v>gm</v>
      </c>
      <c r="D70" s="116">
        <f t="shared" si="5"/>
        <v>80</v>
      </c>
      <c r="E70" s="116">
        <f t="shared" si="9"/>
        <v>17.25</v>
      </c>
      <c r="F70" s="127">
        <f t="shared" si="6"/>
        <v>1</v>
      </c>
      <c r="G70" s="119">
        <f t="shared" si="7"/>
        <v>1380</v>
      </c>
      <c r="H70" s="120">
        <f t="shared" si="8"/>
        <v>1380</v>
      </c>
    </row>
    <row r="71" spans="1:8" ht="14.25" customHeight="1" x14ac:dyDescent="0.25">
      <c r="A71" s="295" t="s">
        <v>13</v>
      </c>
      <c r="B71" s="22" t="str">
        <f t="shared" si="5"/>
        <v>Chinese Cabbage - ملفوف صيني</v>
      </c>
      <c r="C71" s="124" t="str">
        <f t="shared" si="5"/>
        <v>gm</v>
      </c>
      <c r="D71" s="116">
        <f t="shared" si="5"/>
        <v>80</v>
      </c>
      <c r="E71" s="116">
        <f t="shared" si="9"/>
        <v>17.25</v>
      </c>
      <c r="F71" s="127">
        <f t="shared" si="6"/>
        <v>1</v>
      </c>
      <c r="G71" s="119">
        <f t="shared" si="7"/>
        <v>1380</v>
      </c>
      <c r="H71" s="120">
        <f t="shared" si="8"/>
        <v>1380</v>
      </c>
    </row>
    <row r="72" spans="1:8" ht="14.25" customHeight="1" x14ac:dyDescent="0.25">
      <c r="A72" s="295" t="s">
        <v>225</v>
      </c>
      <c r="B72" s="22" t="str">
        <f t="shared" si="5"/>
        <v>Sweet Corn - ذرة حلوة</v>
      </c>
      <c r="C72" s="124" t="str">
        <f t="shared" si="5"/>
        <v>gm</v>
      </c>
      <c r="D72" s="116">
        <f t="shared" si="5"/>
        <v>80</v>
      </c>
      <c r="E72" s="116">
        <f t="shared" si="9"/>
        <v>17.25</v>
      </c>
      <c r="F72" s="127">
        <f t="shared" si="6"/>
        <v>1</v>
      </c>
      <c r="G72" s="119">
        <f t="shared" si="7"/>
        <v>1380</v>
      </c>
      <c r="H72" s="120">
        <f t="shared" si="8"/>
        <v>1380</v>
      </c>
    </row>
    <row r="73" spans="1:8" ht="14.25" customHeight="1" x14ac:dyDescent="0.25">
      <c r="A73" s="295" t="s">
        <v>97</v>
      </c>
      <c r="B73" s="22" t="str">
        <f t="shared" si="5"/>
        <v>Salt - ملح</v>
      </c>
      <c r="C73" s="124" t="str">
        <f t="shared" si="5"/>
        <v>gm</v>
      </c>
      <c r="D73" s="116">
        <f t="shared" si="5"/>
        <v>4</v>
      </c>
      <c r="E73" s="116">
        <f t="shared" si="9"/>
        <v>17.25</v>
      </c>
      <c r="F73" s="127">
        <f t="shared" si="6"/>
        <v>0.75</v>
      </c>
      <c r="G73" s="119">
        <f t="shared" si="7"/>
        <v>69</v>
      </c>
      <c r="H73" s="120">
        <f t="shared" si="8"/>
        <v>51.75</v>
      </c>
    </row>
    <row r="74" spans="1:8" ht="12.75" customHeight="1" x14ac:dyDescent="0.25">
      <c r="A74" s="295" t="s">
        <v>97</v>
      </c>
      <c r="B74" s="22" t="str">
        <f t="shared" si="5"/>
        <v>Black Pepper Powder - فلفل أسود مطحون</v>
      </c>
      <c r="C74" s="124" t="str">
        <f t="shared" si="5"/>
        <v>gm</v>
      </c>
      <c r="D74" s="197">
        <f t="shared" si="5"/>
        <v>0.5</v>
      </c>
      <c r="E74" s="116">
        <f t="shared" si="9"/>
        <v>17.25</v>
      </c>
      <c r="F74" s="127">
        <f t="shared" si="6"/>
        <v>1</v>
      </c>
      <c r="G74" s="119">
        <f t="shared" si="7"/>
        <v>8.625</v>
      </c>
      <c r="H74" s="120">
        <f t="shared" si="8"/>
        <v>8.625</v>
      </c>
    </row>
    <row r="75" spans="1:8" ht="12.75" customHeight="1" x14ac:dyDescent="0.25">
      <c r="B75" s="198" t="s">
        <v>770</v>
      </c>
      <c r="C75" s="133"/>
      <c r="D75" s="296"/>
      <c r="E75" s="333"/>
      <c r="F75" s="136"/>
      <c r="G75" s="137"/>
      <c r="H75" s="138"/>
    </row>
    <row r="76" spans="1:8" ht="26" customHeight="1" x14ac:dyDescent="0.4">
      <c r="B76" s="199">
        <f>D52</f>
        <v>17250</v>
      </c>
      <c r="E76" s="100"/>
      <c r="F76" s="100"/>
    </row>
    <row r="77" spans="1:8" ht="26" customHeight="1" x14ac:dyDescent="0.4">
      <c r="A77" s="881"/>
      <c r="B77" s="1257"/>
      <c r="C77" s="881"/>
      <c r="D77" s="881"/>
      <c r="E77" s="875"/>
      <c r="F77" s="875"/>
      <c r="G77" s="881"/>
      <c r="H77" s="881"/>
    </row>
    <row r="78" spans="1:8" ht="17.75" customHeight="1" x14ac:dyDescent="0.3">
      <c r="A78" s="1253"/>
      <c r="B78" s="1439"/>
      <c r="C78" s="1440"/>
      <c r="D78" s="1440"/>
      <c r="E78" s="1440"/>
      <c r="F78" s="1440"/>
      <c r="G78" s="1440"/>
      <c r="H78" s="1440"/>
    </row>
    <row r="79" spans="1:8" ht="25.5" customHeight="1" x14ac:dyDescent="0.3">
      <c r="A79" s="1253"/>
      <c r="B79" s="1439"/>
      <c r="C79" s="1440"/>
      <c r="D79" s="1440"/>
      <c r="E79" s="1440"/>
      <c r="F79" s="1440"/>
      <c r="G79" s="1440"/>
      <c r="H79" s="1440"/>
    </row>
    <row r="80" spans="1:8" ht="42.5" customHeight="1" x14ac:dyDescent="0.25">
      <c r="A80" s="1258"/>
      <c r="B80" s="1268"/>
      <c r="C80" s="1269"/>
      <c r="D80" s="1268"/>
      <c r="E80" s="1270"/>
      <c r="F80" s="1270"/>
      <c r="G80" s="1268"/>
      <c r="H80" s="1270"/>
    </row>
    <row r="81" spans="1:8" ht="14.25" customHeight="1" x14ac:dyDescent="0.25">
      <c r="A81" s="881"/>
      <c r="B81" s="1271"/>
      <c r="C81" s="1271"/>
      <c r="D81" s="1276"/>
      <c r="E81" s="1276"/>
      <c r="F81" s="1273"/>
      <c r="G81" s="1274"/>
      <c r="H81" s="1275"/>
    </row>
    <row r="82" spans="1:8" ht="14.25" customHeight="1" x14ac:dyDescent="0.25">
      <c r="A82" s="881"/>
      <c r="B82" s="1271"/>
      <c r="C82" s="1271"/>
      <c r="D82" s="1276"/>
      <c r="E82" s="1276"/>
      <c r="F82" s="1273"/>
      <c r="G82" s="1274"/>
      <c r="H82" s="1275"/>
    </row>
    <row r="83" spans="1:8" ht="14.25" customHeight="1" x14ac:dyDescent="0.25">
      <c r="A83" s="881"/>
      <c r="B83" s="1271"/>
      <c r="C83" s="1271"/>
      <c r="D83" s="1276"/>
      <c r="E83" s="1276"/>
      <c r="F83" s="1273"/>
      <c r="G83" s="1274"/>
      <c r="H83" s="1275"/>
    </row>
    <row r="84" spans="1:8" ht="14.25" customHeight="1" x14ac:dyDescent="0.25">
      <c r="A84" s="881"/>
      <c r="B84" s="1271"/>
      <c r="C84" s="1271"/>
      <c r="D84" s="1276"/>
      <c r="E84" s="1276"/>
      <c r="F84" s="1273"/>
      <c r="G84" s="1274"/>
      <c r="H84" s="1275"/>
    </row>
    <row r="85" spans="1:8" ht="14.25" customHeight="1" x14ac:dyDescent="0.25">
      <c r="A85" s="881"/>
      <c r="B85" s="1271"/>
      <c r="C85" s="1271"/>
      <c r="D85" s="1276"/>
      <c r="E85" s="1276"/>
      <c r="F85" s="1273"/>
      <c r="G85" s="1274"/>
      <c r="H85" s="1275"/>
    </row>
    <row r="86" spans="1:8" ht="14.25" customHeight="1" x14ac:dyDescent="0.25">
      <c r="A86" s="881"/>
      <c r="B86" s="1271"/>
      <c r="C86" s="1271"/>
      <c r="D86" s="1276"/>
      <c r="E86" s="1276"/>
      <c r="F86" s="1273"/>
      <c r="G86" s="1274"/>
      <c r="H86" s="1275"/>
    </row>
    <row r="87" spans="1:8" ht="14.25" customHeight="1" x14ac:dyDescent="0.25">
      <c r="A87" s="881"/>
      <c r="B87" s="1271"/>
      <c r="C87" s="1271"/>
      <c r="D87" s="1276"/>
      <c r="E87" s="1276"/>
      <c r="F87" s="1273"/>
      <c r="G87" s="1274"/>
      <c r="H87" s="1275"/>
    </row>
    <row r="88" spans="1:8" ht="14.25" customHeight="1" x14ac:dyDescent="0.25">
      <c r="A88" s="881"/>
      <c r="B88" s="1271"/>
      <c r="C88" s="1271"/>
      <c r="D88" s="1276"/>
      <c r="E88" s="1276"/>
      <c r="F88" s="1273"/>
      <c r="G88" s="1274"/>
      <c r="H88" s="1275"/>
    </row>
    <row r="89" spans="1:8" ht="12.75" customHeight="1" x14ac:dyDescent="0.25">
      <c r="A89" s="881"/>
      <c r="B89" s="1271"/>
      <c r="C89" s="1271"/>
      <c r="D89" s="1278"/>
      <c r="E89" s="1276"/>
      <c r="F89" s="1273"/>
      <c r="G89" s="1274"/>
      <c r="H89" s="1275"/>
    </row>
    <row r="90" spans="1:8" ht="12.75" customHeight="1" x14ac:dyDescent="0.25">
      <c r="A90" s="881"/>
      <c r="B90" s="900"/>
      <c r="C90" s="1271"/>
      <c r="D90" s="1278"/>
      <c r="E90" s="1276"/>
      <c r="F90" s="1273"/>
      <c r="G90" s="1274"/>
      <c r="H90" s="1275"/>
    </row>
    <row r="91" spans="1:8" ht="34.25" customHeight="1" x14ac:dyDescent="0.4">
      <c r="A91" s="881"/>
      <c r="B91" s="901"/>
      <c r="C91" s="881"/>
      <c r="D91" s="881"/>
      <c r="E91" s="875"/>
      <c r="F91" s="875"/>
      <c r="G91" s="881"/>
      <c r="H91" s="881"/>
    </row>
    <row r="92" spans="1:8" ht="34.25" customHeight="1" x14ac:dyDescent="0.4">
      <c r="A92" s="881"/>
      <c r="B92" s="1257"/>
      <c r="C92" s="881"/>
      <c r="D92" s="881"/>
      <c r="E92" s="875"/>
      <c r="F92" s="875"/>
      <c r="G92" s="881"/>
      <c r="H92" s="881"/>
    </row>
    <row r="93" spans="1:8" ht="17.75" customHeight="1" x14ac:dyDescent="0.3">
      <c r="A93" s="1253"/>
      <c r="B93" s="1439"/>
      <c r="C93" s="1440"/>
      <c r="D93" s="1440"/>
      <c r="E93" s="1440"/>
      <c r="F93" s="1440"/>
      <c r="G93" s="1440"/>
      <c r="H93" s="1440"/>
    </row>
    <row r="94" spans="1:8" ht="25.5" customHeight="1" x14ac:dyDescent="0.3">
      <c r="A94" s="1253"/>
      <c r="B94" s="1439"/>
      <c r="C94" s="1440"/>
      <c r="D94" s="1440"/>
      <c r="E94" s="1440"/>
      <c r="F94" s="1440"/>
      <c r="G94" s="1440"/>
      <c r="H94" s="1440"/>
    </row>
    <row r="95" spans="1:8" ht="56" customHeight="1" x14ac:dyDescent="0.25">
      <c r="A95" s="1258"/>
      <c r="B95" s="1268"/>
      <c r="C95" s="1269"/>
      <c r="D95" s="1268"/>
      <c r="E95" s="1270"/>
      <c r="F95" s="1270"/>
      <c r="G95" s="1268"/>
      <c r="H95" s="1270"/>
    </row>
    <row r="96" spans="1:8" ht="14.25" customHeight="1" x14ac:dyDescent="0.25">
      <c r="A96" s="881"/>
      <c r="B96" s="1271"/>
      <c r="C96" s="1271"/>
      <c r="D96" s="1271"/>
      <c r="E96" s="1272"/>
      <c r="F96" s="1273"/>
      <c r="G96" s="1274"/>
      <c r="H96" s="1275"/>
    </row>
    <row r="97" spans="1:8" ht="14.25" customHeight="1" x14ac:dyDescent="0.25">
      <c r="A97" s="881"/>
      <c r="B97" s="1271"/>
      <c r="C97" s="1271"/>
      <c r="D97" s="1271"/>
      <c r="E97" s="1272"/>
      <c r="F97" s="1273"/>
      <c r="G97" s="1274"/>
      <c r="H97" s="1275"/>
    </row>
    <row r="98" spans="1:8" ht="14.25" customHeight="1" x14ac:dyDescent="0.25">
      <c r="A98" s="881"/>
      <c r="B98" s="1271"/>
      <c r="C98" s="1271"/>
      <c r="D98" s="1271"/>
      <c r="E98" s="1272"/>
      <c r="F98" s="1273"/>
      <c r="G98" s="1274"/>
      <c r="H98" s="1275"/>
    </row>
    <row r="99" spans="1:8" ht="14.25" customHeight="1" x14ac:dyDescent="0.25">
      <c r="A99" s="881"/>
      <c r="B99" s="1271"/>
      <c r="C99" s="1271"/>
      <c r="D99" s="1271"/>
      <c r="E99" s="1272"/>
      <c r="F99" s="1273"/>
      <c r="G99" s="1274"/>
      <c r="H99" s="1275"/>
    </row>
    <row r="100" spans="1:8" ht="14.25" customHeight="1" x14ac:dyDescent="0.25">
      <c r="A100" s="881"/>
      <c r="B100" s="1271"/>
      <c r="C100" s="1271"/>
      <c r="D100" s="1271"/>
      <c r="E100" s="1272"/>
      <c r="F100" s="1273"/>
      <c r="G100" s="1274"/>
      <c r="H100" s="1275"/>
    </row>
    <row r="101" spans="1:8" ht="14.25" customHeight="1" x14ac:dyDescent="0.25">
      <c r="A101" s="881"/>
      <c r="B101" s="1271"/>
      <c r="C101" s="1271"/>
      <c r="D101" s="1271"/>
      <c r="E101" s="1272"/>
      <c r="F101" s="1273"/>
      <c r="G101" s="1274"/>
      <c r="H101" s="1275"/>
    </row>
    <row r="102" spans="1:8" ht="14.25" customHeight="1" x14ac:dyDescent="0.25">
      <c r="A102" s="881"/>
      <c r="B102" s="1271"/>
      <c r="C102" s="1271"/>
      <c r="D102" s="1271"/>
      <c r="E102" s="1272"/>
      <c r="F102" s="1273"/>
      <c r="G102" s="1274"/>
      <c r="H102" s="1275"/>
    </row>
    <row r="103" spans="1:8" ht="14.25" customHeight="1" x14ac:dyDescent="0.25">
      <c r="A103" s="881"/>
      <c r="B103" s="1271"/>
      <c r="C103" s="1271"/>
      <c r="D103" s="1271"/>
      <c r="E103" s="1272"/>
      <c r="F103" s="1273"/>
      <c r="G103" s="1274"/>
      <c r="H103" s="1275"/>
    </row>
    <row r="104" spans="1:8" ht="14" x14ac:dyDescent="0.25">
      <c r="A104" s="881"/>
      <c r="B104" s="1271"/>
      <c r="C104" s="1271"/>
      <c r="D104" s="1271"/>
      <c r="E104" s="1272"/>
      <c r="F104" s="1273"/>
      <c r="G104" s="1274"/>
      <c r="H104" s="1275"/>
    </row>
    <row r="105" spans="1:8" ht="15.5" x14ac:dyDescent="0.25">
      <c r="A105" s="881"/>
      <c r="B105" s="900"/>
      <c r="C105" s="881"/>
      <c r="D105" s="881"/>
      <c r="E105" s="881"/>
      <c r="F105" s="881"/>
      <c r="G105" s="881"/>
      <c r="H105" s="881"/>
    </row>
    <row r="106" spans="1:8" ht="20" x14ac:dyDescent="0.4">
      <c r="A106" s="881"/>
      <c r="B106" s="901"/>
      <c r="C106" s="881"/>
      <c r="D106" s="881"/>
      <c r="E106" s="881"/>
      <c r="F106" s="881"/>
      <c r="G106" s="881"/>
      <c r="H106" s="881"/>
    </row>
    <row r="107" spans="1:8" x14ac:dyDescent="0.25">
      <c r="A107" s="881"/>
      <c r="B107" s="881"/>
      <c r="C107" s="881"/>
      <c r="D107" s="881"/>
      <c r="E107" s="881"/>
      <c r="F107" s="881"/>
      <c r="G107" s="881"/>
      <c r="H107" s="881"/>
    </row>
    <row r="108" spans="1:8" x14ac:dyDescent="0.25">
      <c r="A108" s="881"/>
      <c r="B108" s="881"/>
      <c r="C108" s="881"/>
      <c r="D108" s="881"/>
      <c r="E108" s="881"/>
      <c r="F108" s="881"/>
      <c r="G108" s="881"/>
      <c r="H108" s="881"/>
    </row>
    <row r="109" spans="1:8" x14ac:dyDescent="0.25">
      <c r="A109" s="881"/>
      <c r="B109" s="881"/>
      <c r="C109" s="881"/>
      <c r="D109" s="881"/>
      <c r="E109" s="881"/>
      <c r="F109" s="881"/>
      <c r="G109" s="881"/>
      <c r="H109" s="881"/>
    </row>
    <row r="110" spans="1:8" x14ac:dyDescent="0.25">
      <c r="A110" s="881"/>
      <c r="B110" s="881"/>
      <c r="C110" s="881"/>
      <c r="D110" s="881"/>
      <c r="E110" s="881"/>
      <c r="F110" s="881"/>
      <c r="G110" s="881"/>
      <c r="H110" s="881"/>
    </row>
    <row r="111" spans="1:8" x14ac:dyDescent="0.25">
      <c r="A111" s="881"/>
      <c r="B111" s="881"/>
      <c r="C111" s="881"/>
      <c r="D111" s="881"/>
      <c r="E111" s="881"/>
      <c r="F111" s="881"/>
      <c r="G111" s="881"/>
      <c r="H111" s="881"/>
    </row>
    <row r="112" spans="1:8" x14ac:dyDescent="0.25">
      <c r="A112" s="881"/>
      <c r="B112" s="881"/>
      <c r="C112" s="881"/>
      <c r="D112" s="881"/>
      <c r="E112" s="881"/>
      <c r="F112" s="881"/>
      <c r="G112" s="881"/>
      <c r="H112" s="881"/>
    </row>
    <row r="113" spans="1:8" x14ac:dyDescent="0.25">
      <c r="A113" s="881"/>
      <c r="B113" s="881"/>
      <c r="C113" s="881"/>
      <c r="D113" s="881"/>
      <c r="E113" s="881"/>
      <c r="F113" s="881"/>
      <c r="G113" s="881"/>
      <c r="H113" s="881"/>
    </row>
    <row r="114" spans="1:8" x14ac:dyDescent="0.25">
      <c r="A114" s="881"/>
      <c r="B114" s="881"/>
      <c r="C114" s="881"/>
      <c r="D114" s="881"/>
      <c r="E114" s="881"/>
      <c r="F114" s="881"/>
      <c r="G114" s="881"/>
      <c r="H114" s="881"/>
    </row>
    <row r="115" spans="1:8" x14ac:dyDescent="0.25">
      <c r="A115" s="881"/>
      <c r="B115" s="881"/>
      <c r="C115" s="881"/>
      <c r="D115" s="881"/>
      <c r="E115" s="881"/>
      <c r="F115" s="881"/>
      <c r="G115" s="881"/>
      <c r="H115" s="881"/>
    </row>
    <row r="116" spans="1:8" x14ac:dyDescent="0.25">
      <c r="A116" s="881"/>
      <c r="B116" s="881"/>
      <c r="C116" s="881"/>
      <c r="D116" s="881"/>
      <c r="E116" s="881"/>
      <c r="F116" s="881"/>
      <c r="G116" s="881"/>
      <c r="H116" s="881"/>
    </row>
    <row r="117" spans="1:8" x14ac:dyDescent="0.25">
      <c r="A117" s="881"/>
      <c r="B117" s="881"/>
      <c r="C117" s="881"/>
      <c r="D117" s="881"/>
      <c r="E117" s="881"/>
      <c r="F117" s="881"/>
      <c r="G117" s="881"/>
      <c r="H117" s="881"/>
    </row>
  </sheetData>
  <mergeCells count="9">
    <mergeCell ref="R25:S25"/>
    <mergeCell ref="R26:S26"/>
    <mergeCell ref="B2:H3"/>
    <mergeCell ref="B64:H64"/>
    <mergeCell ref="B94:H94"/>
    <mergeCell ref="B78:H78"/>
    <mergeCell ref="B79:H79"/>
    <mergeCell ref="B63:H63"/>
    <mergeCell ref="B93:H93"/>
  </mergeCells>
  <printOptions horizontalCentered="1"/>
  <pageMargins left="0.5" right="0.5" top="1" bottom="0.5" header="0.3" footer="0.511811023622047"/>
  <pageSetup paperSize="9" scale="33"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88</vt:i4>
      </vt:variant>
      <vt:variant>
        <vt:lpstr>Named Ranges</vt:lpstr>
      </vt:variant>
      <vt:variant>
        <vt:i4>77</vt:i4>
      </vt:variant>
    </vt:vector>
  </HeadingPairs>
  <TitlesOfParts>
    <vt:vector size="165" baseType="lpstr">
      <vt:lpstr>Butchery</vt:lpstr>
      <vt:lpstr>All_Ingredients</vt:lpstr>
      <vt:lpstr>Marination_Ordering</vt:lpstr>
      <vt:lpstr>Curry Chicken</vt:lpstr>
      <vt:lpstr>Kabsa Lahm</vt:lpstr>
      <vt:lpstr>Pan Fried Fish</vt:lpstr>
      <vt:lpstr>Beef Chilli Dry</vt:lpstr>
      <vt:lpstr>Meat with Bamiya</vt:lpstr>
      <vt:lpstr>Chinese Chicken</vt:lpstr>
      <vt:lpstr>Herbal Chicken</vt:lpstr>
      <vt:lpstr>Asian Chicken Sandwich</vt:lpstr>
      <vt:lpstr>Jollof Sauce</vt:lpstr>
      <vt:lpstr>Chicken Mandi (1)</vt:lpstr>
      <vt:lpstr>Asian Potato Cubes</vt:lpstr>
      <vt:lpstr>Herbal Potato Wedges</vt:lpstr>
      <vt:lpstr>Spaghetti pasta</vt:lpstr>
      <vt:lpstr>Sautee Vegetables (1)</vt:lpstr>
      <vt:lpstr>Mached Potato(1)</vt:lpstr>
      <vt:lpstr>Chicken Alfredo</vt:lpstr>
      <vt:lpstr>Fettuccine Pasta Sauce</vt:lpstr>
      <vt:lpstr>Blankwet Shrimp</vt:lpstr>
      <vt:lpstr>Coconut Chicken</vt:lpstr>
      <vt:lpstr>Chicken 65</vt:lpstr>
      <vt:lpstr>Mkhtoum Lahm</vt:lpstr>
      <vt:lpstr>BBQ Chicken Skewers</vt:lpstr>
      <vt:lpstr>Beef Burger</vt:lpstr>
      <vt:lpstr>Beef Zurbian</vt:lpstr>
      <vt:lpstr>Burger Potato Wedges</vt:lpstr>
      <vt:lpstr>Grilled Vegetables(2)</vt:lpstr>
      <vt:lpstr>Almond Chicken</vt:lpstr>
      <vt:lpstr>Chicken Pasta with Vegetable</vt:lpstr>
      <vt:lpstr>Pasta with Vegetable(Pasta)</vt:lpstr>
      <vt:lpstr>Changezi Chicken</vt:lpstr>
      <vt:lpstr>Daoud Basha</vt:lpstr>
      <vt:lpstr>Salmon with cream</vt:lpstr>
      <vt:lpstr>Moussaka Vegi</vt:lpstr>
      <vt:lpstr>Moussaka Meat</vt:lpstr>
      <vt:lpstr>Laham Oriental</vt:lpstr>
      <vt:lpstr>Chicken Saleeq (3)</vt:lpstr>
      <vt:lpstr>Beef Oriental rice</vt:lpstr>
      <vt:lpstr>Chicken Mandi (3)</vt:lpstr>
      <vt:lpstr>Chicken Caesar Salad</vt:lpstr>
      <vt:lpstr>Chicken Fajita</vt:lpstr>
      <vt:lpstr>Mached Potato(3)</vt:lpstr>
      <vt:lpstr>Potato Wedges</vt:lpstr>
      <vt:lpstr>Oven Vegetables (3)</vt:lpstr>
      <vt:lpstr>Chicken Steak Sauce</vt:lpstr>
      <vt:lpstr>Chicken Steak Topping</vt:lpstr>
      <vt:lpstr>Chicken Mushroom</vt:lpstr>
      <vt:lpstr>Stroganoff Beef</vt:lpstr>
      <vt:lpstr>Stroganoff pasta</vt:lpstr>
      <vt:lpstr>Beef Amansi</vt:lpstr>
      <vt:lpstr>Chicken Tikka</vt:lpstr>
      <vt:lpstr>Lahm Fasooliya</vt:lpstr>
      <vt:lpstr>Lemon Shrimp</vt:lpstr>
      <vt:lpstr>Orzo Pasta</vt:lpstr>
      <vt:lpstr>Octa Poki Bowl</vt:lpstr>
      <vt:lpstr>Chicken Makloba</vt:lpstr>
      <vt:lpstr>Makloba Veggi</vt:lpstr>
      <vt:lpstr>BBQ Chicken</vt:lpstr>
      <vt:lpstr>Mached Potato(4)</vt:lpstr>
      <vt:lpstr>Sautee Vegetables (4)</vt:lpstr>
      <vt:lpstr>Sriracha Chicken</vt:lpstr>
      <vt:lpstr>Butter Chicken</vt:lpstr>
      <vt:lpstr>Meat Kebab</vt:lpstr>
      <vt:lpstr>Curry Shrimp</vt:lpstr>
      <vt:lpstr>Kebab Hindi</vt:lpstr>
      <vt:lpstr>Pizziola Chicken</vt:lpstr>
      <vt:lpstr>Lahm Bolognese</vt:lpstr>
      <vt:lpstr>Lasagne Bachamel</vt:lpstr>
      <vt:lpstr>Beef Lasagne Sauce</vt:lpstr>
      <vt:lpstr>Beef Bokhary</vt:lpstr>
      <vt:lpstr>Beef philly cheese steak</vt:lpstr>
      <vt:lpstr>Spaghetti pasta (2)</vt:lpstr>
      <vt:lpstr>Grilled Vegetables(5)</vt:lpstr>
      <vt:lpstr>Sigapore Vegetables</vt:lpstr>
      <vt:lpstr>Mexican Vegetables</vt:lpstr>
      <vt:lpstr>Pink Chicken</vt:lpstr>
      <vt:lpstr>Ginger Chicken</vt:lpstr>
      <vt:lpstr>French Meatball</vt:lpstr>
      <vt:lpstr>Singapore Chicken</vt:lpstr>
      <vt:lpstr>Fish with Shabat and Lemon</vt:lpstr>
      <vt:lpstr>Chicken Molokeya</vt:lpstr>
      <vt:lpstr>Beef Kebab Sandwich</vt:lpstr>
      <vt:lpstr>Chicken Saleeq (6)</vt:lpstr>
      <vt:lpstr>Beef Kabli</vt:lpstr>
      <vt:lpstr>Spaghetti pasta (3)</vt:lpstr>
      <vt:lpstr>Oven Vegetables (6)</vt:lpstr>
      <vt:lpstr>'Almond Chicken'!Print_Area</vt:lpstr>
      <vt:lpstr>'Asian Chicken Sandwich'!Print_Area</vt:lpstr>
      <vt:lpstr>'Asian Potato Cubes'!Print_Area</vt:lpstr>
      <vt:lpstr>'BBQ Chicken'!Print_Area</vt:lpstr>
      <vt:lpstr>'BBQ Chicken Skewers'!Print_Area</vt:lpstr>
      <vt:lpstr>'Beef Amansi'!Print_Area</vt:lpstr>
      <vt:lpstr>'Beef Bokhary'!Print_Area</vt:lpstr>
      <vt:lpstr>'Beef Burger'!Print_Area</vt:lpstr>
      <vt:lpstr>'Beef Chilli Dry'!Print_Area</vt:lpstr>
      <vt:lpstr>'Beef Kabli'!Print_Area</vt:lpstr>
      <vt:lpstr>'Beef Kebab Sandwich'!Print_Area</vt:lpstr>
      <vt:lpstr>'Beef Lasagne Sauce'!Print_Area</vt:lpstr>
      <vt:lpstr>'Beef philly cheese steak'!Print_Area</vt:lpstr>
      <vt:lpstr>'Beef Zurbian'!Print_Area</vt:lpstr>
      <vt:lpstr>'Blankwet Shrimp'!Print_Area</vt:lpstr>
      <vt:lpstr>'Burger Potato Wedges'!Print_Area</vt:lpstr>
      <vt:lpstr>Butchery!Print_Area</vt:lpstr>
      <vt:lpstr>'Butter Chicken'!Print_Area</vt:lpstr>
      <vt:lpstr>'Changezi Chicken'!Print_Area</vt:lpstr>
      <vt:lpstr>'Chicken 65'!Print_Area</vt:lpstr>
      <vt:lpstr>'Chicken Alfredo'!Print_Area</vt:lpstr>
      <vt:lpstr>'Chicken Fajita'!Print_Area</vt:lpstr>
      <vt:lpstr>'Chicken Makloba'!Print_Area</vt:lpstr>
      <vt:lpstr>'Chicken Mandi (1)'!Print_Area</vt:lpstr>
      <vt:lpstr>'Chicken Mandi (3)'!Print_Area</vt:lpstr>
      <vt:lpstr>'Chicken Molokeya'!Print_Area</vt:lpstr>
      <vt:lpstr>'Chicken Mushroom'!Print_Area</vt:lpstr>
      <vt:lpstr>'Chicken Pasta with Vegetable'!Print_Area</vt:lpstr>
      <vt:lpstr>'Chicken Saleeq (3)'!Print_Area</vt:lpstr>
      <vt:lpstr>'Chicken Saleeq (6)'!Print_Area</vt:lpstr>
      <vt:lpstr>'Chicken Steak Sauce'!Print_Area</vt:lpstr>
      <vt:lpstr>'Chicken Steak Topping'!Print_Area</vt:lpstr>
      <vt:lpstr>'Chicken Tikka'!Print_Area</vt:lpstr>
      <vt:lpstr>'Chinese Chicken'!Print_Area</vt:lpstr>
      <vt:lpstr>'Coconut Chicken'!Print_Area</vt:lpstr>
      <vt:lpstr>'Curry Chicken'!Print_Area</vt:lpstr>
      <vt:lpstr>'Curry Shrimp'!Print_Area</vt:lpstr>
      <vt:lpstr>'Daoud Basha'!Print_Area</vt:lpstr>
      <vt:lpstr>'Fettuccine Pasta Sauce'!Print_Area</vt:lpstr>
      <vt:lpstr>'Fish with Shabat and Lemon'!Print_Area</vt:lpstr>
      <vt:lpstr>'French Meatball'!Print_Area</vt:lpstr>
      <vt:lpstr>'Ginger Chicken'!Print_Area</vt:lpstr>
      <vt:lpstr>'Grilled Vegetables(2)'!Print_Area</vt:lpstr>
      <vt:lpstr>'Grilled Vegetables(5)'!Print_Area</vt:lpstr>
      <vt:lpstr>'Herbal Chicken'!Print_Area</vt:lpstr>
      <vt:lpstr>'Herbal Potato Wedges'!Print_Area</vt:lpstr>
      <vt:lpstr>'Kabsa Lahm'!Print_Area</vt:lpstr>
      <vt:lpstr>'Kebab Hindi'!Print_Area</vt:lpstr>
      <vt:lpstr>'Laham Oriental'!Print_Area</vt:lpstr>
      <vt:lpstr>'Lahm Bolognese'!Print_Area</vt:lpstr>
      <vt:lpstr>'Lahm Fasooliya'!Print_Area</vt:lpstr>
      <vt:lpstr>'Lasagne Bachamel'!Print_Area</vt:lpstr>
      <vt:lpstr>'Lemon Shrimp'!Print_Area</vt:lpstr>
      <vt:lpstr>'Mached Potato(1)'!Print_Area</vt:lpstr>
      <vt:lpstr>'Mached Potato(3)'!Print_Area</vt:lpstr>
      <vt:lpstr>'Mached Potato(4)'!Print_Area</vt:lpstr>
      <vt:lpstr>'Meat Kebab'!Print_Area</vt:lpstr>
      <vt:lpstr>'Meat with Bamiya'!Print_Area</vt:lpstr>
      <vt:lpstr>'Mkhtoum Lahm'!Print_Area</vt:lpstr>
      <vt:lpstr>'Moussaka Meat'!Print_Area</vt:lpstr>
      <vt:lpstr>'Moussaka Vegi'!Print_Area</vt:lpstr>
      <vt:lpstr>'Octa Poki Bowl'!Print_Area</vt:lpstr>
      <vt:lpstr>'Orzo Pasta'!Print_Area</vt:lpstr>
      <vt:lpstr>'Oven Vegetables (3)'!Print_Area</vt:lpstr>
      <vt:lpstr>'Oven Vegetables (6)'!Print_Area</vt:lpstr>
      <vt:lpstr>'Pan Fried Fish'!Print_Area</vt:lpstr>
      <vt:lpstr>'Pasta with Vegetable(Pasta)'!Print_Area</vt:lpstr>
      <vt:lpstr>'Pink Chicken'!Print_Area</vt:lpstr>
      <vt:lpstr>'Pizziola Chicken'!Print_Area</vt:lpstr>
      <vt:lpstr>'Potato Wedges'!Print_Area</vt:lpstr>
      <vt:lpstr>'Salmon with cream'!Print_Area</vt:lpstr>
      <vt:lpstr>'Sautee Vegetables (1)'!Print_Area</vt:lpstr>
      <vt:lpstr>'Sautee Vegetables (4)'!Print_Area</vt:lpstr>
      <vt:lpstr>'Singapore Chicken'!Print_Area</vt:lpstr>
      <vt:lpstr>'Sriracha Chicken'!Print_Area</vt:lpstr>
      <vt:lpstr>'Stroganoff Beef'!Print_Area</vt:lpstr>
      <vt:lpstr>'Stroganoff pasta'!Print_Area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Amira Fathy</dc:creator>
  <cp:lastModifiedBy>Amira Fathy</cp:lastModifiedBy>
  <cp:revision>0</cp:revision>
  <cp:lastPrinted>2026-06-27T17:32:33Z</cp:lastPrinted>
  <dcterms:created xsi:type="dcterms:W3CDTF">2025-11-16T19:56:38Z</dcterms:created>
  <dcterms:modified xsi:type="dcterms:W3CDTF">2026-06-27T18:06:25Z</dcterms:modified>
  <dc:language>en-US</dc:language>
</cp:coreProperties>
</file>